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3年\项目\3中行租金\"/>
    </mc:Choice>
  </mc:AlternateContent>
  <xr:revisionPtr revIDLastSave="0" documentId="13_ncr:1_{7F887BF6-5B02-4852-9D12-4AFBB37D5833}" xr6:coauthVersionLast="45" xr6:coauthVersionMax="45" xr10:uidLastSave="{00000000-0000-0000-0000-000000000000}"/>
  <bookViews>
    <workbookView xWindow="1170" yWindow="45" windowWidth="14565" windowHeight="10650" tabRatio="899" firstSheet="13"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state="hidden" r:id="rId17"/>
    <sheet name="成本法 (元)" sheetId="69" state="hidden" r:id="rId18"/>
    <sheet name="假设开发法" sheetId="12" state="hidden" r:id="rId19"/>
    <sheet name="租金比较法-商业" sheetId="34" r:id="rId20"/>
    <sheet name="周边商铺价格调研表" sheetId="88" r:id="rId21"/>
    <sheet name="租金案例" sheetId="80" r:id="rId22"/>
    <sheet name="收益法倒推-商业" sheetId="78"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state="hidden" r:id="rId34"/>
    <sheet name="基准地价修正" sheetId="43" state="hidden" r:id="rId35"/>
    <sheet name="修正" sheetId="45" state="hidden" r:id="rId36"/>
    <sheet name="容积率修正" sheetId="46" state="hidden" r:id="rId37"/>
    <sheet name="基准地价（汇总）" sheetId="76" state="hidden" r:id="rId38"/>
    <sheet name="比较法-商业" sheetId="33" r:id="rId39"/>
    <sheet name="商业案例" sheetId="85"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售价比较法-办公" sheetId="77" state="hidden" r:id="rId48"/>
    <sheet name="售价案例" sheetId="81" state="hidden" r:id="rId49"/>
    <sheet name="系统读取表" sheetId="74" r:id="rId50"/>
    <sheet name="Sheet3" sheetId="84" state="hidden" r:id="rId51"/>
  </sheets>
  <externalReferences>
    <externalReference r:id="rId52"/>
    <externalReference r:id="rId53"/>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'比较法-商业'!$A$1:$L$49</definedName>
    <definedName name="_xlnm._FilterDatabase" localSheetId="27" hidden="1">'比较法-住宅'!$A$1:$L$49</definedName>
    <definedName name="_xlnm._FilterDatabase" localSheetId="47" hidden="1">'售价比较法-办公'!$A$1:$L$50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_FilterDatabase" localSheetId="19" hidden="1">'租金比较法-商业'!$A$1:$L$50</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8">'比较法-商业'!$A$1:$K$54</definedName>
    <definedName name="_xlnm.Print_Area" localSheetId="27">'比较法-住宅'!$A$1:$K$54,'比较法-住宅'!$A$57:$M$131</definedName>
    <definedName name="_xlnm.Print_Area" localSheetId="33">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8">假设开发法!$A$1:$K$32</definedName>
    <definedName name="_xlnm.Print_Area" localSheetId="16">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22">'收益法倒推-商业'!$A$1:$I$42</definedName>
    <definedName name="_xlnm.Print_Area" localSheetId="47">'售价比较法-办公'!$A$1:$K$55,'售价比较法-办公'!$A$58:$M$132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49">系统读取表!$A$1:$J$26</definedName>
    <definedName name="_xlnm.Print_Area" localSheetId="10">项目基本情况!$A$1:$I$38</definedName>
    <definedName name="_xlnm.Print_Area" localSheetId="19">'租金比较法-商业'!$A$1:$K$55,'租金比较法-商业'!$A$58:$M$132</definedName>
    <definedName name="八级">区片价!$O$1:$O$40</definedName>
    <definedName name="办公层高" localSheetId="22">'[1]比较法-办公'!$B$119:$M$119</definedName>
    <definedName name="办公层高" localSheetId="47">'售价比较法-办公'!$B$119:$M$119</definedName>
    <definedName name="办公层高">'租金比较法-商业'!$B$119:$M$119</definedName>
    <definedName name="办公朝向" localSheetId="22">'[1]比较法-办公'!$B$91:$M$91</definedName>
    <definedName name="办公朝向" localSheetId="47">'售价比较法-办公'!$B$91:$M$91</definedName>
    <definedName name="办公朝向">'租金比较法-商业'!$B$91:$M$91</definedName>
    <definedName name="办公道路级别" localSheetId="22">'[1]比较法-办公'!$B$87:$M$87</definedName>
    <definedName name="办公道路级别" localSheetId="47">'售价比较法-办公'!$B$87:$M$87</definedName>
    <definedName name="办公道路级别">'租金比较法-商业'!$B$87:$M$87</definedName>
    <definedName name="办公公共部分装修" localSheetId="22">'[1]比较法-办公'!$B$108:$M$108</definedName>
    <definedName name="办公公共部分装修" localSheetId="47">'售价比较法-办公'!$B$108:$M$108</definedName>
    <definedName name="办公公共部分装修">'租金比较法-商业'!$B$108:$M$108</definedName>
    <definedName name="办公基础设施水平" localSheetId="22">'[1]比较法-办公'!$B$117:$M$117</definedName>
    <definedName name="办公基础设施水平" localSheetId="47">'售价比较法-办公'!$B$117:$M$117</definedName>
    <definedName name="办公基础设施水平">'租金比较法-商业'!$B$117:$M$117</definedName>
    <definedName name="办公集聚程度" localSheetId="22">[1]定义!$M$1:$M$6</definedName>
    <definedName name="办公集聚程度">定义!$M$1:$M$6</definedName>
    <definedName name="办公建筑结构" localSheetId="22">'[1]比较法-办公'!$B$106:$M$106</definedName>
    <definedName name="办公建筑结构" localSheetId="47">'售价比较法-办公'!$B$106:$M$106</definedName>
    <definedName name="办公建筑结构">'租金比较法-商业'!$B$106:$M$106</definedName>
    <definedName name="办公建筑类型" localSheetId="22">'[1]比较法-办公'!$B$101:$M$101</definedName>
    <definedName name="办公建筑类型" localSheetId="47">'售价比较法-办公'!$B$101:$M$101</definedName>
    <definedName name="办公建筑类型">'租金比较法-商业'!$B$101:$M$101</definedName>
    <definedName name="办公交易情况" localSheetId="22">'[1]比较法-办公'!$A$62:$M$62</definedName>
    <definedName name="办公交易情况" localSheetId="47">'售价比较法-办公'!$A$62:$M$62</definedName>
    <definedName name="办公交易情况">'租金比较法-商业'!$A$62:$M$62</definedName>
    <definedName name="办公楼层" localSheetId="22">'[1]比较法-办公'!$B$89:$M$89</definedName>
    <definedName name="办公楼层" localSheetId="47">'售价比较法-办公'!$B$89:$M$89</definedName>
    <definedName name="办公楼层">'租金比较法-商业'!$B$89:$M$89</definedName>
    <definedName name="办公内部装修" localSheetId="22">'[1]比较法-办公'!$B$123:$M$123</definedName>
    <definedName name="办公内部装修" localSheetId="47">'售价比较法-办公'!$B$123:$M$123</definedName>
    <definedName name="办公内部装修">'租金比较法-商业'!$B$123:$M$123</definedName>
    <definedName name="办公物业管理" localSheetId="22">'[1]比较法-办公'!$B$115:$M$115</definedName>
    <definedName name="办公物业管理" localSheetId="47">'售价比较法-办公'!$B$115:$M$115</definedName>
    <definedName name="办公物业管理">'租金比较法-商业'!$B$115:$M$115</definedName>
    <definedName name="办公用途" localSheetId="22">'[1]比较法-办公'!$B$64:$M$64</definedName>
    <definedName name="办公用途" localSheetId="47">'售价比较法-办公'!$B$64:$M$64</definedName>
    <definedName name="办公用途">'租金比较法-商业'!$B$64:$M$64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评估方法">[2]定义!$B$1:$B$50</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'[1]土地比较法-住宅、综合'!$A$73:$M$73</definedName>
    <definedName name="套工交易情况">'土地比较法-住宅、综合'!$A$73:$M$73</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'土地比较法-住宅、综合'!$B$106:$M$106</definedName>
    <definedName name="套综工程地质条件" localSheetId="22">'[1]土地比较法-住宅、综合'!$B$125:$M$125</definedName>
    <definedName name="套综工程地质条件">'土地比较法-住宅、综合'!$B$125:$M$125</definedName>
    <definedName name="套综交易情况" localSheetId="22">'[1]土地比较法-住宅、综合'!$A$73:$M$73</definedName>
    <definedName name="套综交易情况">'土地比较法-住宅、综合'!$A$73:$M$73</definedName>
    <definedName name="套综临街宽度及深度" localSheetId="22">'[1]土地比较法-住宅、综合'!$B$121:$M$121</definedName>
    <definedName name="套综临街宽度及深度">'土地比较法-住宅、综合'!$B$121:$M$121</definedName>
    <definedName name="套综土地级别" localSheetId="22">'[1]土地比较法-住宅、综合'!$B$108:$M$108</definedName>
    <definedName name="套综土地级别">'土地比较法-住宅、综合'!$B$108:$M$108</definedName>
    <definedName name="套综用途" localSheetId="22">'[1]土地比较法-住宅、综合'!$B$75:$M$75</definedName>
    <definedName name="套综用途">'土地比较法-住宅、综合'!$B$75:$M$75</definedName>
    <definedName name="套综宗地内开发程度" localSheetId="22">'[1]土地比较法-住宅、综合'!$B$123:$M$123</definedName>
    <definedName name="套综宗地内开发程度">'土地比较法-住宅、综合'!$B$123:$M$123</definedName>
    <definedName name="套综宗地形状" localSheetId="22">'[1]土地比较法-住宅、综合'!$B$119:$M$119</definedName>
    <definedName name="套综宗地形状">'土地比较法-住宅、综合'!$B$119:$M$119</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 localSheetId="47">'售价比较法-办公'!$B$113:$M$113</definedName>
    <definedName name="写字楼等级">'租金比较法-商业'!$B$113:$M$113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估价师及机构信息!$A$3:$A$16</definedName>
  </definedNames>
  <calcPr calcId="18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36" i="78" l="1"/>
  <c r="I47" i="33"/>
  <c r="G47" i="33"/>
  <c r="E47" i="33"/>
  <c r="J44" i="33"/>
  <c r="F44" i="33"/>
  <c r="G4" i="85"/>
  <c r="G3" i="85"/>
  <c r="G2" i="85"/>
  <c r="I33" i="33"/>
  <c r="G33" i="33"/>
  <c r="E33" i="33"/>
  <c r="I6" i="33"/>
  <c r="G6" i="33"/>
  <c r="E6" i="33"/>
  <c r="I5" i="33"/>
  <c r="G5" i="33"/>
  <c r="E5" i="33"/>
  <c r="I47" i="34"/>
  <c r="G47" i="34"/>
  <c r="E47" i="34"/>
  <c r="I6" i="34"/>
  <c r="G6" i="34"/>
  <c r="E6" i="34"/>
  <c r="I5" i="34"/>
  <c r="G5" i="34"/>
  <c r="E5" i="34"/>
  <c r="I48" i="34"/>
  <c r="G48" i="34"/>
  <c r="E48" i="34"/>
  <c r="I5" i="78" l="1"/>
  <c r="C5" i="33" l="1"/>
  <c r="I4" i="88"/>
  <c r="I5" i="88"/>
  <c r="I3" i="88"/>
  <c r="C37" i="78"/>
  <c r="B126" i="33"/>
  <c r="AC44" i="33"/>
  <c r="D3" i="4"/>
  <c r="C1" i="73" s="1"/>
  <c r="F8" i="33"/>
  <c r="AA8" i="33" s="1"/>
  <c r="R47" i="33"/>
  <c r="C63" i="33"/>
  <c r="F9" i="33"/>
  <c r="AA9" i="33" s="1"/>
  <c r="G66" i="33"/>
  <c r="F10" i="33"/>
  <c r="AA10" i="33" s="1"/>
  <c r="D77" i="33"/>
  <c r="F15" i="33"/>
  <c r="AA15" i="33"/>
  <c r="F11" i="33"/>
  <c r="AA11" i="33"/>
  <c r="D79" i="33"/>
  <c r="F17" i="33"/>
  <c r="AA17" i="33"/>
  <c r="D81" i="33"/>
  <c r="F19" i="33"/>
  <c r="AA19" i="33"/>
  <c r="D83" i="33"/>
  <c r="E83" i="33"/>
  <c r="D85" i="33"/>
  <c r="D87" i="33"/>
  <c r="F25" i="33" s="1"/>
  <c r="D101" i="33"/>
  <c r="F34" i="33"/>
  <c r="AA34" i="33"/>
  <c r="F35" i="33"/>
  <c r="AA35" i="33"/>
  <c r="F37" i="33"/>
  <c r="AA37" i="33" s="1"/>
  <c r="F39" i="33"/>
  <c r="AA39" i="33"/>
  <c r="F41" i="33"/>
  <c r="AA41" i="33"/>
  <c r="F38" i="33"/>
  <c r="AA38" i="33"/>
  <c r="F40" i="33"/>
  <c r="AA40" i="33" s="1"/>
  <c r="D125" i="33"/>
  <c r="D111" i="33"/>
  <c r="E111" i="33"/>
  <c r="F111" i="33"/>
  <c r="G111" i="33"/>
  <c r="AA44" i="33"/>
  <c r="H8" i="33"/>
  <c r="AB8" i="33" s="1"/>
  <c r="T47" i="33"/>
  <c r="H9" i="33"/>
  <c r="AB9" i="33" s="1"/>
  <c r="H10" i="33"/>
  <c r="AB10" i="33"/>
  <c r="H15" i="33"/>
  <c r="AB15" i="33"/>
  <c r="H11" i="33"/>
  <c r="AB11" i="33"/>
  <c r="H17" i="33"/>
  <c r="AB17" i="33" s="1"/>
  <c r="H19" i="33"/>
  <c r="AB19" i="33"/>
  <c r="H23" i="33"/>
  <c r="AB23" i="33" s="1"/>
  <c r="H34" i="33"/>
  <c r="AB34" i="33"/>
  <c r="H35" i="33"/>
  <c r="AB35" i="33"/>
  <c r="H37" i="33"/>
  <c r="AB37" i="33" s="1"/>
  <c r="H39" i="33"/>
  <c r="AB39" i="33"/>
  <c r="H41" i="33"/>
  <c r="AB41" i="33"/>
  <c r="H38" i="33"/>
  <c r="AB38" i="33" s="1"/>
  <c r="H40" i="33"/>
  <c r="AB40" i="33" s="1"/>
  <c r="H43" i="33"/>
  <c r="AB43" i="33"/>
  <c r="H44" i="33"/>
  <c r="AB44" i="33" s="1"/>
  <c r="J8" i="33"/>
  <c r="AC8" i="33" s="1"/>
  <c r="V47" i="33"/>
  <c r="J9" i="33"/>
  <c r="AC9" i="33"/>
  <c r="J10" i="33"/>
  <c r="AC10" i="33"/>
  <c r="J15" i="33"/>
  <c r="AC15" i="33"/>
  <c r="J11" i="33"/>
  <c r="AC11" i="33"/>
  <c r="J19" i="33"/>
  <c r="AC19" i="33"/>
  <c r="J25" i="33"/>
  <c r="AC25" i="33" s="1"/>
  <c r="J34" i="33"/>
  <c r="AC34" i="33"/>
  <c r="J35" i="33"/>
  <c r="AC35" i="33" s="1"/>
  <c r="J37" i="33"/>
  <c r="AC37" i="33" s="1"/>
  <c r="J39" i="33"/>
  <c r="AC39" i="33"/>
  <c r="J41" i="33"/>
  <c r="AC41" i="33"/>
  <c r="J38" i="33"/>
  <c r="AC38" i="33"/>
  <c r="J40" i="33"/>
  <c r="AC40" i="33"/>
  <c r="G2" i="43"/>
  <c r="I17" i="43"/>
  <c r="I2" i="43"/>
  <c r="M2" i="43"/>
  <c r="H17" i="43"/>
  <c r="J17" i="43"/>
  <c r="L17" i="43"/>
  <c r="N17" i="43"/>
  <c r="C17" i="43"/>
  <c r="N2" i="43"/>
  <c r="D52" i="43"/>
  <c r="D55" i="43"/>
  <c r="F33" i="43"/>
  <c r="F35" i="43"/>
  <c r="F37" i="43"/>
  <c r="F39" i="43"/>
  <c r="B15" i="34"/>
  <c r="T48" i="34"/>
  <c r="D88" i="34"/>
  <c r="E88" i="34" s="1"/>
  <c r="D78" i="34"/>
  <c r="E78" i="34"/>
  <c r="F15" i="34"/>
  <c r="AA15" i="34"/>
  <c r="D80" i="34"/>
  <c r="H17" i="34"/>
  <c r="V48" i="34"/>
  <c r="F17" i="34"/>
  <c r="AA17" i="34" s="1"/>
  <c r="E15" i="4"/>
  <c r="F16" i="4" s="1"/>
  <c r="A18" i="51" s="1"/>
  <c r="B13" i="72" s="1"/>
  <c r="J20" i="43"/>
  <c r="M3" i="43"/>
  <c r="C7" i="43"/>
  <c r="B2" i="1"/>
  <c r="G19" i="43" s="1"/>
  <c r="BB13" i="3"/>
  <c r="BC13" i="3"/>
  <c r="H13" i="3"/>
  <c r="I5" i="3"/>
  <c r="F19" i="6" s="1"/>
  <c r="BC10" i="3"/>
  <c r="C18" i="43"/>
  <c r="A6" i="1"/>
  <c r="F131" i="34"/>
  <c r="E131" i="34"/>
  <c r="D131" i="34"/>
  <c r="AH6" i="71"/>
  <c r="AG6" i="71"/>
  <c r="AE6" i="71"/>
  <c r="AF6" i="71"/>
  <c r="AD6" i="71"/>
  <c r="C25" i="77"/>
  <c r="D5" i="9"/>
  <c r="F93" i="77"/>
  <c r="E93" i="77"/>
  <c r="D93" i="77"/>
  <c r="C29" i="77"/>
  <c r="J29" i="77" s="1"/>
  <c r="AC29" i="77" s="1"/>
  <c r="C93" i="77"/>
  <c r="B93" i="77"/>
  <c r="I11" i="77"/>
  <c r="G11" i="77"/>
  <c r="E11" i="77"/>
  <c r="C6" i="77"/>
  <c r="C5" i="77"/>
  <c r="E5" i="77" s="1"/>
  <c r="G5" i="77" s="1"/>
  <c r="I5" i="77" s="1"/>
  <c r="E25" i="77"/>
  <c r="I11" i="34"/>
  <c r="G11" i="34"/>
  <c r="E11" i="34"/>
  <c r="E6" i="77"/>
  <c r="H26" i="78"/>
  <c r="C22" i="78"/>
  <c r="H12" i="78"/>
  <c r="E29" i="78"/>
  <c r="E25" i="78"/>
  <c r="F19" i="78"/>
  <c r="F16" i="78"/>
  <c r="E15" i="78"/>
  <c r="C15" i="78"/>
  <c r="M10" i="78"/>
  <c r="P9" i="78"/>
  <c r="O10" i="78"/>
  <c r="M4" i="78"/>
  <c r="N11" i="78"/>
  <c r="B131" i="77"/>
  <c r="B129" i="77"/>
  <c r="H46" i="77"/>
  <c r="AB46" i="77"/>
  <c r="B127" i="77"/>
  <c r="J45" i="77"/>
  <c r="AC45" i="77"/>
  <c r="D126" i="77"/>
  <c r="E126" i="77"/>
  <c r="F126" i="77"/>
  <c r="G126" i="77"/>
  <c r="D124" i="77"/>
  <c r="E124"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H31" i="77"/>
  <c r="AB31" i="77"/>
  <c r="B95" i="77"/>
  <c r="D92" i="77"/>
  <c r="E92" i="77"/>
  <c r="F92" i="77"/>
  <c r="G92" i="77"/>
  <c r="H92" i="77"/>
  <c r="I92" i="77"/>
  <c r="J92" i="77"/>
  <c r="K92" i="77"/>
  <c r="L92" i="77"/>
  <c r="M92" i="77"/>
  <c r="B91" i="77"/>
  <c r="D90" i="77"/>
  <c r="E90" i="77"/>
  <c r="F90" i="77"/>
  <c r="G90" i="77"/>
  <c r="H90" i="77"/>
  <c r="I90" i="77"/>
  <c r="J90" i="77"/>
  <c r="K90" i="77"/>
  <c r="L90" i="77"/>
  <c r="M90" i="77"/>
  <c r="B89" i="77"/>
  <c r="D88" i="77"/>
  <c r="E88" i="77"/>
  <c r="F88" i="77"/>
  <c r="G88" i="77"/>
  <c r="H88" i="77"/>
  <c r="I88" i="77"/>
  <c r="J88" i="77"/>
  <c r="K88" i="77"/>
  <c r="L88" i="77"/>
  <c r="M88" i="77"/>
  <c r="D86" i="77"/>
  <c r="E86" i="77"/>
  <c r="F86" i="77"/>
  <c r="G86" i="77"/>
  <c r="D84" i="77"/>
  <c r="E84" i="77"/>
  <c r="D82" i="77"/>
  <c r="D80" i="77"/>
  <c r="E80" i="77"/>
  <c r="F80" i="77"/>
  <c r="G80" i="77"/>
  <c r="D78" i="77"/>
  <c r="E78" i="77"/>
  <c r="F78" i="77"/>
  <c r="G78" i="77"/>
  <c r="B75" i="77"/>
  <c r="B73" i="77"/>
  <c r="B71" i="77"/>
  <c r="D70" i="77"/>
  <c r="E70" i="77"/>
  <c r="F70" i="77"/>
  <c r="G70" i="77"/>
  <c r="H70" i="77"/>
  <c r="I70" i="77"/>
  <c r="J70" i="77"/>
  <c r="K70" i="77"/>
  <c r="L70" i="77"/>
  <c r="M70" i="77"/>
  <c r="M68" i="77"/>
  <c r="L68" i="77"/>
  <c r="K68" i="77"/>
  <c r="J68" i="77"/>
  <c r="I68" i="77"/>
  <c r="H68" i="77"/>
  <c r="G68" i="77"/>
  <c r="F68" i="77"/>
  <c r="E68" i="77"/>
  <c r="D68" i="77"/>
  <c r="C68" i="77"/>
  <c r="F67" i="77"/>
  <c r="C64" i="77"/>
  <c r="I55" i="77"/>
  <c r="J55" i="77"/>
  <c r="G55" i="77"/>
  <c r="H55" i="77"/>
  <c r="E55" i="77"/>
  <c r="F55" i="77"/>
  <c r="P50" i="77"/>
  <c r="P49" i="77"/>
  <c r="K49" i="77"/>
  <c r="V48" i="77"/>
  <c r="T48" i="77"/>
  <c r="R48" i="77"/>
  <c r="P48" i="77"/>
  <c r="Q47" i="77"/>
  <c r="Z47" i="77"/>
  <c r="J47" i="77"/>
  <c r="AC47" i="77"/>
  <c r="H47" i="77"/>
  <c r="AB47" i="77"/>
  <c r="F47" i="77"/>
  <c r="AA47" i="77"/>
  <c r="Q46" i="77"/>
  <c r="Z46" i="77"/>
  <c r="J46" i="77"/>
  <c r="AC46" i="77"/>
  <c r="F46" i="77"/>
  <c r="AA46" i="77"/>
  <c r="Q45" i="77"/>
  <c r="Z45" i="77"/>
  <c r="Q44" i="77"/>
  <c r="Z44" i="77"/>
  <c r="J44" i="77"/>
  <c r="AC44" i="77"/>
  <c r="H44" i="77"/>
  <c r="AB44" i="77"/>
  <c r="F44" i="77"/>
  <c r="AA44" i="77"/>
  <c r="Q43" i="77"/>
  <c r="Z43" i="77"/>
  <c r="J43" i="77"/>
  <c r="AC43" i="77"/>
  <c r="H43" i="77"/>
  <c r="AB43" i="77"/>
  <c r="F43" i="77"/>
  <c r="AA43" i="77"/>
  <c r="Q42" i="77"/>
  <c r="Z42" i="77"/>
  <c r="J42" i="77"/>
  <c r="AC42" i="77"/>
  <c r="H42" i="77"/>
  <c r="AB42" i="77"/>
  <c r="F42" i="77"/>
  <c r="AA42" i="77"/>
  <c r="Q41" i="77"/>
  <c r="Z41" i="77"/>
  <c r="J41" i="77"/>
  <c r="AC41" i="77"/>
  <c r="H41" i="77"/>
  <c r="AB41" i="77"/>
  <c r="F41" i="77"/>
  <c r="AA41" i="77"/>
  <c r="Q40" i="77"/>
  <c r="Z40" i="77"/>
  <c r="J40" i="77"/>
  <c r="AC40" i="77"/>
  <c r="H40" i="77"/>
  <c r="AB40" i="77"/>
  <c r="F40" i="77"/>
  <c r="AA40" i="77"/>
  <c r="Q39" i="77"/>
  <c r="Z39" i="77"/>
  <c r="J39" i="77"/>
  <c r="AC39" i="77"/>
  <c r="H39" i="77"/>
  <c r="AB39" i="77"/>
  <c r="F39" i="77"/>
  <c r="AA39" i="77"/>
  <c r="Q38" i="77"/>
  <c r="Z38" i="77"/>
  <c r="J38" i="77"/>
  <c r="AC38" i="77"/>
  <c r="H38" i="77"/>
  <c r="AB38" i="77"/>
  <c r="F38" i="77"/>
  <c r="AA38" i="77"/>
  <c r="Q37" i="77"/>
  <c r="Z37" i="77"/>
  <c r="J37" i="77"/>
  <c r="AC37" i="77"/>
  <c r="H37" i="77"/>
  <c r="AB37" i="77"/>
  <c r="F37" i="77"/>
  <c r="AA37" i="77"/>
  <c r="Q36" i="77"/>
  <c r="Z36" i="77"/>
  <c r="J36" i="77"/>
  <c r="AC36" i="77"/>
  <c r="H36" i="77"/>
  <c r="AB36" i="77"/>
  <c r="F36" i="77"/>
  <c r="AA36" i="77"/>
  <c r="Q35" i="77"/>
  <c r="Z35" i="77"/>
  <c r="J35" i="77"/>
  <c r="AC35" i="77"/>
  <c r="H35" i="77"/>
  <c r="AB35" i="77"/>
  <c r="F35" i="77"/>
  <c r="AA35" i="77"/>
  <c r="Q34" i="77"/>
  <c r="Z34" i="77"/>
  <c r="Q33" i="77"/>
  <c r="Z33" i="77"/>
  <c r="J33" i="77"/>
  <c r="AC33" i="77"/>
  <c r="H33" i="77"/>
  <c r="AB33" i="77"/>
  <c r="F33" i="77"/>
  <c r="AA33" i="77"/>
  <c r="Q32" i="77"/>
  <c r="Z32" i="77"/>
  <c r="J32" i="77"/>
  <c r="AC32" i="77"/>
  <c r="H32" i="77"/>
  <c r="AB32" i="77"/>
  <c r="F32" i="77"/>
  <c r="AA32" i="77"/>
  <c r="Q31" i="77"/>
  <c r="Z31" i="77"/>
  <c r="J31" i="77"/>
  <c r="AC31" i="77"/>
  <c r="F31" i="77"/>
  <c r="AA31" i="77"/>
  <c r="Q30" i="77"/>
  <c r="Z30" i="77"/>
  <c r="J30" i="77"/>
  <c r="H30" i="77"/>
  <c r="AB30" i="77"/>
  <c r="F30" i="77"/>
  <c r="AA30" i="77"/>
  <c r="Q29" i="77"/>
  <c r="Z29" i="77"/>
  <c r="H29" i="77"/>
  <c r="AB29" i="77" s="1"/>
  <c r="Q28" i="77"/>
  <c r="Z28" i="77"/>
  <c r="J28" i="77"/>
  <c r="H28" i="77"/>
  <c r="AB28" i="77"/>
  <c r="F28" i="77"/>
  <c r="AA28" i="77"/>
  <c r="Q27" i="77"/>
  <c r="Z27" i="77"/>
  <c r="J27" i="77"/>
  <c r="AC27" i="77"/>
  <c r="H27" i="77"/>
  <c r="F27" i="77"/>
  <c r="AA27" i="77"/>
  <c r="Q25" i="77"/>
  <c r="Z25" i="77"/>
  <c r="J25" i="77"/>
  <c r="AC25" i="77"/>
  <c r="H25" i="77"/>
  <c r="AB25" i="77"/>
  <c r="F25" i="77"/>
  <c r="Q23" i="77"/>
  <c r="Z23" i="77"/>
  <c r="J23" i="77"/>
  <c r="AC23" i="77"/>
  <c r="H23" i="77"/>
  <c r="AB23" i="77"/>
  <c r="F23" i="77"/>
  <c r="AA23" i="77"/>
  <c r="C23" i="77"/>
  <c r="Q21" i="77"/>
  <c r="Z21" i="77"/>
  <c r="C21" i="77"/>
  <c r="Q19" i="77"/>
  <c r="Z19" i="77"/>
  <c r="J19" i="77"/>
  <c r="F19" i="77"/>
  <c r="AA19" i="77"/>
  <c r="C19" i="77"/>
  <c r="Q17" i="77"/>
  <c r="Z17" i="77"/>
  <c r="J17" i="77"/>
  <c r="AC17" i="77"/>
  <c r="H17" i="77"/>
  <c r="AB17" i="77"/>
  <c r="F17" i="77"/>
  <c r="AA17" i="77"/>
  <c r="C17" i="77"/>
  <c r="Q15" i="77"/>
  <c r="Z15" i="77"/>
  <c r="J15" i="77"/>
  <c r="AC15" i="77"/>
  <c r="H15" i="77"/>
  <c r="AB15" i="77"/>
  <c r="F15" i="77"/>
  <c r="C15" i="77"/>
  <c r="Q14" i="77"/>
  <c r="Z14" i="77"/>
  <c r="Q13" i="77"/>
  <c r="Z13" i="77"/>
  <c r="J13" i="77"/>
  <c r="AC13" i="77"/>
  <c r="H13" i="77"/>
  <c r="AB13" i="77"/>
  <c r="F13" i="77"/>
  <c r="AA13" i="77"/>
  <c r="Q12" i="77"/>
  <c r="Z12" i="77"/>
  <c r="Q11" i="77"/>
  <c r="Z11" i="77"/>
  <c r="J11" i="77"/>
  <c r="AC11" i="77"/>
  <c r="F11" i="77"/>
  <c r="AA11" i="77"/>
  <c r="Q10" i="77"/>
  <c r="Z10" i="77"/>
  <c r="Q9" i="77"/>
  <c r="Z9" i="77"/>
  <c r="J8" i="77"/>
  <c r="W8" i="77"/>
  <c r="H8" i="77"/>
  <c r="AB8" i="77"/>
  <c r="F8" i="77"/>
  <c r="S8" i="77"/>
  <c r="H11" i="77"/>
  <c r="AB11" i="77"/>
  <c r="F9" i="77"/>
  <c r="AA9" i="77"/>
  <c r="U8" i="77"/>
  <c r="C21" i="78"/>
  <c r="E19" i="78" s="1"/>
  <c r="E24" i="78"/>
  <c r="AC8" i="77"/>
  <c r="U11" i="77"/>
  <c r="W15" i="77"/>
  <c r="S17" i="77"/>
  <c r="S19" i="77"/>
  <c r="W11" i="77"/>
  <c r="S13" i="77"/>
  <c r="U15" i="77"/>
  <c r="U17" i="77"/>
  <c r="U23" i="77"/>
  <c r="W25" i="77"/>
  <c r="S28" i="77"/>
  <c r="S30" i="77"/>
  <c r="U31" i="77"/>
  <c r="S32" i="77"/>
  <c r="W32" i="77"/>
  <c r="U33" i="77"/>
  <c r="U35" i="77"/>
  <c r="S36" i="77"/>
  <c r="W36" i="77"/>
  <c r="U37" i="77"/>
  <c r="S38" i="77"/>
  <c r="W38" i="77"/>
  <c r="U39" i="77"/>
  <c r="S40" i="77"/>
  <c r="W40" i="77"/>
  <c r="U41" i="77"/>
  <c r="S42" i="77"/>
  <c r="W42" i="77"/>
  <c r="U43" i="77"/>
  <c r="S44" i="77"/>
  <c r="W44" i="77"/>
  <c r="S46" i="77"/>
  <c r="W46" i="77"/>
  <c r="W47" i="77"/>
  <c r="W23" i="77"/>
  <c r="U25" i="77"/>
  <c r="S27" i="77"/>
  <c r="U28" i="77"/>
  <c r="U30" i="77"/>
  <c r="S31" i="77"/>
  <c r="W31" i="77"/>
  <c r="U32" i="77"/>
  <c r="S33" i="77"/>
  <c r="W33" i="77"/>
  <c r="S35" i="77"/>
  <c r="W35" i="77"/>
  <c r="U36" i="77"/>
  <c r="S37" i="77"/>
  <c r="W37" i="77"/>
  <c r="U38" i="77"/>
  <c r="S39" i="77"/>
  <c r="W39" i="77"/>
  <c r="U40" i="77"/>
  <c r="S41" i="77"/>
  <c r="W41" i="77"/>
  <c r="U42" i="77"/>
  <c r="S43" i="77"/>
  <c r="W43" i="77"/>
  <c r="U44" i="77"/>
  <c r="W45" i="77"/>
  <c r="U46" i="77"/>
  <c r="S47" i="77"/>
  <c r="U47" i="77"/>
  <c r="I6" i="77"/>
  <c r="G6" i="77"/>
  <c r="S9" i="77"/>
  <c r="H16" i="49"/>
  <c r="D16" i="49"/>
  <c r="D15" i="49"/>
  <c r="B2" i="49"/>
  <c r="F15" i="49" s="1"/>
  <c r="H15" i="49" s="1"/>
  <c r="K42" i="40"/>
  <c r="K47" i="39"/>
  <c r="K36" i="36"/>
  <c r="E59" i="9"/>
  <c r="K38" i="35"/>
  <c r="K42" i="37"/>
  <c r="K49" i="34"/>
  <c r="K48" i="33"/>
  <c r="K48" i="21"/>
  <c r="H104" i="9"/>
  <c r="F59" i="9"/>
  <c r="AH5" i="71"/>
  <c r="AG5" i="71"/>
  <c r="AE5" i="71"/>
  <c r="AF5" i="71"/>
  <c r="AD5" i="71"/>
  <c r="Q5" i="71"/>
  <c r="P5" i="71"/>
  <c r="O5" i="71"/>
  <c r="N5" i="71"/>
  <c r="AH7" i="71"/>
  <c r="AG7" i="71"/>
  <c r="AE7" i="71"/>
  <c r="AF7" i="71"/>
  <c r="AD7" i="71"/>
  <c r="Q7" i="71"/>
  <c r="P7" i="71"/>
  <c r="O7" i="71"/>
  <c r="N7" i="71"/>
  <c r="Q9" i="71"/>
  <c r="P9" i="71"/>
  <c r="O9" i="71"/>
  <c r="N9" i="71"/>
  <c r="AH8" i="71"/>
  <c r="AG8" i="71"/>
  <c r="AE8" i="71"/>
  <c r="AF8" i="7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C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O13" i="71"/>
  <c r="O14" i="71"/>
  <c r="N13" i="71"/>
  <c r="N14" i="71"/>
  <c r="N15" i="71"/>
  <c r="AH14" i="71"/>
  <c r="AG14" i="71"/>
  <c r="AE14" i="71"/>
  <c r="AF14" i="71"/>
  <c r="AD14" i="71"/>
  <c r="Q15" i="71"/>
  <c r="P15" i="71"/>
  <c r="O15" i="71"/>
  <c r="D17" i="71"/>
  <c r="AH15" i="71"/>
  <c r="AG15" i="71"/>
  <c r="AE15" i="71"/>
  <c r="AF15" i="71"/>
  <c r="AD15" i="71"/>
  <c r="AD16" i="71"/>
  <c r="AG16" i="71"/>
  <c r="AH16" i="71"/>
  <c r="AE16" i="71"/>
  <c r="AF16" i="71"/>
  <c r="N16" i="71"/>
  <c r="Q16" i="71"/>
  <c r="F16" i="71"/>
  <c r="F15" i="71"/>
  <c r="F14" i="71"/>
  <c r="P16" i="71"/>
  <c r="E16" i="71"/>
  <c r="O16" i="71"/>
  <c r="Q17" i="71"/>
  <c r="P17" i="71"/>
  <c r="O17" i="71"/>
  <c r="N17" i="71"/>
  <c r="A2" i="53"/>
  <c r="K59" i="67"/>
  <c r="P61" i="67"/>
  <c r="K59" i="15"/>
  <c r="P74" i="15"/>
  <c r="P61" i="15"/>
  <c r="D116" i="39"/>
  <c r="E116" i="39"/>
  <c r="F116" i="39"/>
  <c r="G116" i="39"/>
  <c r="H116" i="39"/>
  <c r="I116" i="39"/>
  <c r="J116" i="39"/>
  <c r="K116" i="39"/>
  <c r="L116" i="39"/>
  <c r="M116" i="39"/>
  <c r="C116" i="39"/>
  <c r="A21" i="62"/>
  <c r="A20" i="62"/>
  <c r="A22" i="51"/>
  <c r="A21" i="51"/>
  <c r="A20" i="51"/>
  <c r="A15" i="62"/>
  <c r="B61" i="72"/>
  <c r="A14" i="62"/>
  <c r="A13" i="62"/>
  <c r="B59" i="72"/>
  <c r="A19" i="62"/>
  <c r="B65" i="72"/>
  <c r="A12" i="62"/>
  <c r="B58" i="72"/>
  <c r="A120" i="9"/>
  <c r="H2" i="52"/>
  <c r="A1" i="52"/>
  <c r="A3" i="53"/>
  <c r="Q18" i="71"/>
  <c r="P18" i="71"/>
  <c r="O18" i="71"/>
  <c r="N18" i="71"/>
  <c r="A15" i="51"/>
  <c r="B12" i="72" s="1"/>
  <c r="C76" i="9"/>
  <c r="I107" i="40"/>
  <c r="K6" i="4"/>
  <c r="M56" i="9"/>
  <c r="B22" i="31"/>
  <c r="K56" i="9"/>
  <c r="E15" i="74"/>
  <c r="F15" i="74"/>
  <c r="E16" i="74"/>
  <c r="F16" i="74"/>
  <c r="E17" i="74"/>
  <c r="F17" i="74"/>
  <c r="E18" i="74"/>
  <c r="F18" i="74"/>
  <c r="E19" i="74"/>
  <c r="F19" i="74"/>
  <c r="E20" i="74"/>
  <c r="F20" i="74"/>
  <c r="E21" i="74"/>
  <c r="F21" i="74"/>
  <c r="E22" i="74"/>
  <c r="F22" i="74"/>
  <c r="E23" i="74"/>
  <c r="F2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B54" i="72"/>
  <c r="E111" i="9"/>
  <c r="A126" i="9"/>
  <c r="E109" i="9"/>
  <c r="A124" i="9"/>
  <c r="B44" i="72"/>
  <c r="B42" i="72"/>
  <c r="B69" i="72"/>
  <c r="B68" i="72"/>
  <c r="B63" i="72"/>
  <c r="B62" i="72"/>
  <c r="B16" i="72"/>
  <c r="B60" i="72"/>
  <c r="B67" i="72"/>
  <c r="B66" i="72"/>
  <c r="B10" i="72"/>
  <c r="C53" i="10"/>
  <c r="B51" i="10"/>
  <c r="B19" i="72"/>
  <c r="B49" i="48"/>
  <c r="B5" i="72"/>
  <c r="I19" i="43"/>
  <c r="D81" i="71"/>
  <c r="F80" i="71"/>
  <c r="F79" i="71"/>
  <c r="F78" i="71"/>
  <c r="E80" i="71"/>
  <c r="E79" i="71"/>
  <c r="E78" i="71"/>
  <c r="C80" i="71"/>
  <c r="D80" i="71"/>
  <c r="B80" i="71"/>
  <c r="B79" i="71"/>
  <c r="B78" i="71"/>
  <c r="D77" i="71"/>
  <c r="F76" i="71"/>
  <c r="F75" i="71"/>
  <c r="F74" i="71"/>
  <c r="E76" i="71"/>
  <c r="E75" i="71"/>
  <c r="E74" i="71"/>
  <c r="C76" i="71"/>
  <c r="D76" i="71"/>
  <c r="B76"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AB31" i="71"/>
  <c r="P31" i="71"/>
  <c r="AA31" i="71"/>
  <c r="O31" i="71"/>
  <c r="Y31" i="71"/>
  <c r="Z31" i="71"/>
  <c r="N31" i="71"/>
  <c r="X31" i="71"/>
  <c r="Q30" i="71"/>
  <c r="AB30" i="71"/>
  <c r="P30" i="71"/>
  <c r="O30" i="71"/>
  <c r="Y30" i="71"/>
  <c r="Z30" i="71"/>
  <c r="N30" i="71"/>
  <c r="Q29" i="71"/>
  <c r="F30" i="71"/>
  <c r="F31" i="71"/>
  <c r="F32" i="71"/>
  <c r="V32" i="71"/>
  <c r="P29" i="71"/>
  <c r="O29" i="71"/>
  <c r="N29" i="71"/>
  <c r="B30" i="71"/>
  <c r="B31" i="71"/>
  <c r="B32" i="71"/>
  <c r="S32" i="71"/>
  <c r="D29" i="71"/>
  <c r="Q28" i="71"/>
  <c r="AB28" i="71"/>
  <c r="P28" i="71"/>
  <c r="O28" i="71"/>
  <c r="Y28" i="71"/>
  <c r="Z28" i="71"/>
  <c r="N28" i="71"/>
  <c r="Q27" i="71"/>
  <c r="AB27" i="71"/>
  <c r="P27" i="71"/>
  <c r="O27" i="71"/>
  <c r="Y27" i="71"/>
  <c r="Z27" i="71"/>
  <c r="N27" i="71"/>
  <c r="Q26" i="71"/>
  <c r="P26" i="71"/>
  <c r="O26" i="71"/>
  <c r="N26" i="71"/>
  <c r="Q25" i="71"/>
  <c r="F26" i="71"/>
  <c r="F27" i="71"/>
  <c r="F28" i="71"/>
  <c r="V28" i="71"/>
  <c r="P25" i="71"/>
  <c r="O25" i="71"/>
  <c r="C26" i="71"/>
  <c r="N25" i="71"/>
  <c r="X25" i="71"/>
  <c r="D25" i="71"/>
  <c r="Q24" i="71"/>
  <c r="AB24" i="71"/>
  <c r="P24" i="71"/>
  <c r="AA24" i="71"/>
  <c r="O24" i="71"/>
  <c r="Y24" i="71"/>
  <c r="Z24" i="71"/>
  <c r="N24" i="71"/>
  <c r="Q23" i="71"/>
  <c r="P23" i="71"/>
  <c r="P22" i="71"/>
  <c r="AA22" i="71"/>
  <c r="O23" i="71"/>
  <c r="N23" i="71"/>
  <c r="X23" i="71"/>
  <c r="Q22" i="71"/>
  <c r="AB22" i="71"/>
  <c r="O22" i="71"/>
  <c r="N22" i="71"/>
  <c r="Q21" i="71"/>
  <c r="F22" i="71"/>
  <c r="F23" i="71"/>
  <c r="F24" i="71"/>
  <c r="V24" i="71"/>
  <c r="P21" i="71"/>
  <c r="E22" i="71"/>
  <c r="E23" i="71"/>
  <c r="E24" i="71"/>
  <c r="U24" i="71"/>
  <c r="O21" i="71"/>
  <c r="O20" i="71"/>
  <c r="Y18" i="71"/>
  <c r="Z18" i="71"/>
  <c r="N21" i="71"/>
  <c r="D21" i="71"/>
  <c r="N20" i="71"/>
  <c r="B22" i="71"/>
  <c r="B26" i="71"/>
  <c r="B27" i="71"/>
  <c r="B28" i="71"/>
  <c r="S28" i="71"/>
  <c r="E30" i="71"/>
  <c r="E31" i="71"/>
  <c r="E32" i="71"/>
  <c r="U32" i="71"/>
  <c r="AA29" i="71"/>
  <c r="N60" i="71"/>
  <c r="E26" i="71"/>
  <c r="E27" i="71"/>
  <c r="E28" i="71"/>
  <c r="U28" i="71"/>
  <c r="AA25" i="71"/>
  <c r="X22" i="71"/>
  <c r="X24" i="71"/>
  <c r="C27" i="71"/>
  <c r="AB25" i="71"/>
  <c r="AA26" i="71"/>
  <c r="AA27" i="71"/>
  <c r="X28" i="71"/>
  <c r="AA28" i="71"/>
  <c r="C30" i="71"/>
  <c r="Y29" i="71"/>
  <c r="Z29" i="71"/>
  <c r="AB29" i="71"/>
  <c r="X30" i="71"/>
  <c r="AA30" i="71"/>
  <c r="F43" i="71"/>
  <c r="F44" i="71"/>
  <c r="V44" i="71"/>
  <c r="C20" i="71"/>
  <c r="C19" i="71"/>
  <c r="B20" i="71"/>
  <c r="B19" i="71"/>
  <c r="B18" i="71"/>
  <c r="X17" i="71"/>
  <c r="X19" i="71"/>
  <c r="D26" i="71"/>
  <c r="C31" i="71"/>
  <c r="D30" i="71"/>
  <c r="C39" i="71"/>
  <c r="D39" i="71"/>
  <c r="D38" i="71"/>
  <c r="C43" i="71"/>
  <c r="D42" i="71"/>
  <c r="P20" i="71"/>
  <c r="AA3" i="71"/>
  <c r="E47" i="71"/>
  <c r="E48" i="71"/>
  <c r="U48" i="71"/>
  <c r="E51" i="71"/>
  <c r="E52" i="71"/>
  <c r="U52" i="71"/>
  <c r="E55" i="71"/>
  <c r="E56" i="71"/>
  <c r="U56" i="71"/>
  <c r="U60" i="71"/>
  <c r="E59" i="71"/>
  <c r="Q20" i="71"/>
  <c r="F20" i="71"/>
  <c r="F19" i="71"/>
  <c r="F18" i="71"/>
  <c r="C51" i="71"/>
  <c r="D50" i="71"/>
  <c r="C55" i="71"/>
  <c r="D54" i="71"/>
  <c r="N59" i="71"/>
  <c r="B58" i="71"/>
  <c r="N58" i="71"/>
  <c r="T60" i="71"/>
  <c r="O60" i="71"/>
  <c r="D60" i="71"/>
  <c r="C59" i="71"/>
  <c r="D59" i="71"/>
  <c r="Q60" i="71"/>
  <c r="C63" i="71"/>
  <c r="C62" i="71"/>
  <c r="D62" i="71"/>
  <c r="E63" i="71"/>
  <c r="E62" i="71"/>
  <c r="D64" i="71"/>
  <c r="C67" i="71"/>
  <c r="D67" i="71"/>
  <c r="E67" i="71"/>
  <c r="E66" i="71"/>
  <c r="D68" i="71"/>
  <c r="C71" i="71"/>
  <c r="D71" i="71"/>
  <c r="E71" i="71"/>
  <c r="E70" i="71"/>
  <c r="D72" i="71"/>
  <c r="C75" i="71"/>
  <c r="C74" i="71"/>
  <c r="D74" i="71"/>
  <c r="C79" i="71"/>
  <c r="T20" i="71"/>
  <c r="S20" i="71"/>
  <c r="AB17" i="71"/>
  <c r="AB19" i="71"/>
  <c r="E20" i="71"/>
  <c r="E19" i="71"/>
  <c r="E18" i="71"/>
  <c r="AA19" i="71"/>
  <c r="D20" i="71"/>
  <c r="U20" i="71"/>
  <c r="C58" i="71"/>
  <c r="D58" i="71"/>
  <c r="O59" i="71"/>
  <c r="C56" i="71"/>
  <c r="D55" i="71"/>
  <c r="D75" i="71"/>
  <c r="D79" i="71"/>
  <c r="C78" i="71"/>
  <c r="D78" i="71"/>
  <c r="C70" i="71"/>
  <c r="D70" i="71"/>
  <c r="C52" i="71"/>
  <c r="T52" i="71"/>
  <c r="D51" i="71"/>
  <c r="P59" i="71"/>
  <c r="E58" i="71"/>
  <c r="P57" i="71"/>
  <c r="C44" i="71"/>
  <c r="T44" i="71"/>
  <c r="D43" i="71"/>
  <c r="C32" i="71"/>
  <c r="T32" i="71"/>
  <c r="D31" i="71"/>
  <c r="V20" i="71"/>
  <c r="P58" i="71"/>
  <c r="O57" i="71"/>
  <c r="D32" i="71"/>
  <c r="M19" i="43"/>
  <c r="D44"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C21" i="34"/>
  <c r="Q21" i="33"/>
  <c r="Z21" i="33"/>
  <c r="C21" i="33"/>
  <c r="C21" i="21"/>
  <c r="Q21" i="21"/>
  <c r="Z21" i="21"/>
  <c r="H19" i="21"/>
  <c r="D83" i="21"/>
  <c r="F21" i="21"/>
  <c r="AA21" i="21"/>
  <c r="D81" i="21"/>
  <c r="G20" i="20"/>
  <c r="B86" i="43"/>
  <c r="C22" i="20"/>
  <c r="B75" i="43"/>
  <c r="B55" i="43"/>
  <c r="B66" i="43"/>
  <c r="C25" i="40"/>
  <c r="C29" i="39"/>
  <c r="S25" i="40"/>
  <c r="S29" i="39"/>
  <c r="U18" i="36"/>
  <c r="H25" i="40"/>
  <c r="U25" i="40"/>
  <c r="J25" i="40"/>
  <c r="W25" i="40"/>
  <c r="H29" i="39"/>
  <c r="U29" i="39"/>
  <c r="J29" i="39"/>
  <c r="W29" i="39"/>
  <c r="J18" i="36"/>
  <c r="W18" i="36"/>
  <c r="F68" i="35"/>
  <c r="H18" i="35"/>
  <c r="U18" i="35"/>
  <c r="S18" i="35"/>
  <c r="G68" i="35"/>
  <c r="J18" i="35"/>
  <c r="H21" i="37"/>
  <c r="F21" i="37"/>
  <c r="S21" i="37"/>
  <c r="F83" i="33"/>
  <c r="G83" i="33"/>
  <c r="E83" i="21"/>
  <c r="F83" i="21"/>
  <c r="G83" i="21"/>
  <c r="H1" i="69"/>
  <c r="AB25" i="40"/>
  <c r="AB29" i="39"/>
  <c r="AC18" i="36"/>
  <c r="AB21" i="37"/>
  <c r="U21" i="37"/>
  <c r="AB18" i="35"/>
  <c r="AC18" i="35"/>
  <c r="W18" i="35"/>
  <c r="J21" i="37"/>
  <c r="W21" i="37"/>
  <c r="H21" i="21"/>
  <c r="F38" i="69"/>
  <c r="E37" i="69"/>
  <c r="F36" i="69"/>
  <c r="F35" i="69"/>
  <c r="F21" i="69"/>
  <c r="F40" i="69"/>
  <c r="F20" i="69"/>
  <c r="F39" i="69"/>
  <c r="E10" i="69"/>
  <c r="E9" i="69"/>
  <c r="AC21" i="37"/>
  <c r="AB21" i="21"/>
  <c r="U21" i="21"/>
  <c r="J21" i="21"/>
  <c r="W21" i="21"/>
  <c r="F38" i="68"/>
  <c r="E37" i="68"/>
  <c r="F36" i="68"/>
  <c r="F35" i="68"/>
  <c r="F21" i="68"/>
  <c r="F40" i="68"/>
  <c r="F20" i="68"/>
  <c r="F39" i="68"/>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B1" i="4"/>
  <c r="C27" i="66"/>
  <c r="C31"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G8" i="1" s="1"/>
  <c r="F9" i="1"/>
  <c r="G9" i="1" s="1"/>
  <c r="F10" i="1"/>
  <c r="G10" i="1" s="1"/>
  <c r="F11" i="1"/>
  <c r="G11" i="1" s="1"/>
  <c r="F12" i="1"/>
  <c r="G12" i="1" s="1"/>
  <c r="F13" i="1"/>
  <c r="G13" i="1" s="1"/>
  <c r="D6" i="1"/>
  <c r="D9" i="1"/>
  <c r="D10" i="1"/>
  <c r="D11" i="1"/>
  <c r="D12" i="1"/>
  <c r="D13" i="1"/>
  <c r="D7" i="1"/>
  <c r="D8" i="1"/>
  <c r="A7" i="1"/>
  <c r="A8" i="1"/>
  <c r="K8" i="1"/>
  <c r="M8" i="1" s="1"/>
  <c r="A9" i="1"/>
  <c r="K9" i="1"/>
  <c r="M9" i="1" s="1"/>
  <c r="A10" i="1"/>
  <c r="K10" i="1"/>
  <c r="M10" i="1" s="1"/>
  <c r="A11" i="1"/>
  <c r="K11" i="1"/>
  <c r="M11" i="1" s="1"/>
  <c r="A12" i="1"/>
  <c r="K12" i="1"/>
  <c r="M12" i="1" s="1"/>
  <c r="A13" i="1"/>
  <c r="K13" i="1"/>
  <c r="M13" i="1" s="1"/>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T35" i="4" s="1"/>
  <c r="I15" i="4"/>
  <c r="H15" i="4"/>
  <c r="G15" i="4"/>
  <c r="D15" i="4"/>
  <c r="F7" i="1"/>
  <c r="G7" i="1" s="1"/>
  <c r="L21" i="4"/>
  <c r="F19" i="4"/>
  <c r="F2" i="52"/>
  <c r="B50" i="72"/>
  <c r="D2" i="52"/>
  <c r="B46" i="72"/>
  <c r="B8" i="53"/>
  <c r="B23" i="72"/>
  <c r="L4" i="9"/>
  <c r="B17" i="72"/>
  <c r="B15" i="72"/>
  <c r="A3" i="51"/>
  <c r="C8" i="11"/>
  <c r="B40" i="48"/>
  <c r="B3" i="72"/>
  <c r="N1" i="43"/>
  <c r="F35" i="4"/>
  <c r="J55" i="39"/>
  <c r="H34" i="43"/>
  <c r="H35" i="43"/>
  <c r="H36" i="43"/>
  <c r="H37" i="43"/>
  <c r="H38" i="43"/>
  <c r="H39" i="43"/>
  <c r="H33" i="43"/>
  <c r="F15" i="43"/>
  <c r="E15" i="43"/>
  <c r="D15" i="43"/>
  <c r="C15" i="43"/>
  <c r="C10" i="43"/>
  <c r="C11" i="43"/>
  <c r="C9" i="43"/>
  <c r="A7" i="43"/>
  <c r="F33" i="15"/>
  <c r="F61" i="15"/>
  <c r="M19" i="15"/>
  <c r="BR13" i="3"/>
  <c r="O10" i="1"/>
  <c r="P10" i="1"/>
  <c r="B22" i="1"/>
  <c r="E1" i="73" s="1"/>
  <c r="B23" i="1"/>
  <c r="B24" i="1"/>
  <c r="F34" i="11"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O13" i="1"/>
  <c r="P13" i="1"/>
  <c r="E22" i="6"/>
  <c r="E23" i="6"/>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D10" i="3"/>
  <c r="BB10"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J23" i="36"/>
  <c r="AC23"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B57" i="35"/>
  <c r="B61" i="35"/>
  <c r="B59" i="35"/>
  <c r="B131" i="34"/>
  <c r="B129" i="34"/>
  <c r="B127" i="34"/>
  <c r="J45" i="34"/>
  <c r="B99" i="34"/>
  <c r="B97" i="34"/>
  <c r="J31" i="34"/>
  <c r="AC31" i="34"/>
  <c r="B95" i="34"/>
  <c r="B93" i="34"/>
  <c r="B75" i="34"/>
  <c r="B73" i="34"/>
  <c r="H13" i="34"/>
  <c r="B71" i="34"/>
  <c r="B130" i="33"/>
  <c r="B128" i="33"/>
  <c r="H45" i="33" s="1"/>
  <c r="B98" i="33"/>
  <c r="J31" i="33" s="1"/>
  <c r="B96" i="33"/>
  <c r="J30" i="33"/>
  <c r="W30" i="33" s="1"/>
  <c r="B94" i="33"/>
  <c r="B74" i="33"/>
  <c r="H14" i="33" s="1"/>
  <c r="B72" i="33"/>
  <c r="B70" i="33"/>
  <c r="J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H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F67" i="34"/>
  <c r="G67" i="34"/>
  <c r="D126" i="34"/>
  <c r="D124" i="34"/>
  <c r="E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D92" i="34"/>
  <c r="E92" i="34"/>
  <c r="F92" i="34"/>
  <c r="G92" i="34"/>
  <c r="H92" i="34"/>
  <c r="I92" i="34"/>
  <c r="J92" i="34"/>
  <c r="K92" i="34"/>
  <c r="L92" i="34"/>
  <c r="M92" i="34"/>
  <c r="B91" i="34"/>
  <c r="F28" i="34"/>
  <c r="B89" i="34"/>
  <c r="J27" i="34"/>
  <c r="D86" i="34"/>
  <c r="E86" i="34"/>
  <c r="F86" i="34"/>
  <c r="G86" i="34"/>
  <c r="D82" i="34"/>
  <c r="E82" i="34"/>
  <c r="F82" i="34"/>
  <c r="G82" i="34"/>
  <c r="D70" i="34"/>
  <c r="E70" i="34"/>
  <c r="M68" i="34"/>
  <c r="L68" i="34"/>
  <c r="K68" i="34"/>
  <c r="J68" i="34"/>
  <c r="I68" i="34"/>
  <c r="H68" i="34"/>
  <c r="G68" i="34"/>
  <c r="F68" i="34"/>
  <c r="E68" i="34"/>
  <c r="D68" i="34"/>
  <c r="C68" i="34"/>
  <c r="C64" i="34"/>
  <c r="J9" i="34" s="1"/>
  <c r="P50" i="34"/>
  <c r="P49"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3" i="33"/>
  <c r="D117" i="33"/>
  <c r="E117" i="33"/>
  <c r="F117" i="33"/>
  <c r="G117" i="33"/>
  <c r="D115" i="33"/>
  <c r="E115" i="33"/>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E101" i="33"/>
  <c r="B92" i="33"/>
  <c r="B90" i="33"/>
  <c r="E85" i="33"/>
  <c r="E81" i="33"/>
  <c r="E79"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H66" i="33"/>
  <c r="P49" i="33"/>
  <c r="P48" i="33"/>
  <c r="P47" i="33"/>
  <c r="Q46" i="33"/>
  <c r="Z46" i="33" s="1"/>
  <c r="Q45" i="33"/>
  <c r="Z45" i="33" s="1"/>
  <c r="Q44" i="33"/>
  <c r="Z44" i="33" s="1"/>
  <c r="Q43" i="33"/>
  <c r="Z43" i="33"/>
  <c r="Q42" i="33"/>
  <c r="Z42" i="33"/>
  <c r="W41" i="33"/>
  <c r="Q41" i="33"/>
  <c r="Z41" i="33"/>
  <c r="Q40" i="33"/>
  <c r="Z40" i="33"/>
  <c r="Q39" i="33"/>
  <c r="Z39" i="33"/>
  <c r="Q38" i="33"/>
  <c r="Z38" i="33" s="1"/>
  <c r="Q37" i="33"/>
  <c r="Z37" i="33"/>
  <c r="Q36" i="33"/>
  <c r="Z36" i="33"/>
  <c r="Q35" i="33"/>
  <c r="Z35" i="33"/>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s="1"/>
  <c r="Q13" i="33"/>
  <c r="Z13" i="33" s="1"/>
  <c r="Q12" i="33"/>
  <c r="Z12" i="33" s="1"/>
  <c r="H12" i="33"/>
  <c r="U12" i="33" s="1"/>
  <c r="Q11" i="33"/>
  <c r="Z11" i="33" s="1"/>
  <c r="Q10" i="33"/>
  <c r="Z10" i="33" s="1"/>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F42" i="21"/>
  <c r="AA42" i="21"/>
  <c r="D119" i="21"/>
  <c r="E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B92" i="21"/>
  <c r="B90" i="2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26" i="21"/>
  <c r="W26" i="21"/>
  <c r="F26" i="21"/>
  <c r="S26" i="21"/>
  <c r="AB41" i="21"/>
  <c r="S41" i="21"/>
  <c r="AA41" i="21"/>
  <c r="F45" i="39"/>
  <c r="S45" i="39"/>
  <c r="J45" i="39"/>
  <c r="W45" i="39"/>
  <c r="J44" i="39"/>
  <c r="F36" i="39"/>
  <c r="H36" i="39"/>
  <c r="AB36" i="39"/>
  <c r="J35" i="39"/>
  <c r="F35" i="39"/>
  <c r="J36" i="39"/>
  <c r="AC36" i="39"/>
  <c r="U9" i="39"/>
  <c r="W40" i="39"/>
  <c r="W25" i="37"/>
  <c r="U30" i="37"/>
  <c r="W31" i="37"/>
  <c r="E103" i="37"/>
  <c r="F103" i="37"/>
  <c r="G103" i="37"/>
  <c r="H103" i="37"/>
  <c r="I103" i="37"/>
  <c r="J103" i="37"/>
  <c r="K103" i="37"/>
  <c r="L103" i="37"/>
  <c r="M103" i="37"/>
  <c r="F39" i="37"/>
  <c r="S39" i="37"/>
  <c r="F29" i="36"/>
  <c r="AA29" i="36"/>
  <c r="W8" i="36"/>
  <c r="F16" i="36"/>
  <c r="AA16" i="36"/>
  <c r="U9" i="36"/>
  <c r="W28" i="36"/>
  <c r="S30" i="36"/>
  <c r="AC31" i="36"/>
  <c r="W31" i="36"/>
  <c r="U31" i="36"/>
  <c r="J33" i="36"/>
  <c r="W33" i="36"/>
  <c r="H22" i="35"/>
  <c r="AB22" i="35"/>
  <c r="AC27" i="35"/>
  <c r="W28" i="35"/>
  <c r="U31" i="35"/>
  <c r="W22" i="35"/>
  <c r="S31" i="35"/>
  <c r="F36" i="34"/>
  <c r="S36" i="34"/>
  <c r="J35" i="34"/>
  <c r="AC35" i="34"/>
  <c r="F26" i="33"/>
  <c r="AA26" i="33" s="1"/>
  <c r="S9" i="33"/>
  <c r="U35" i="33"/>
  <c r="S40" i="33"/>
  <c r="W39" i="33"/>
  <c r="H39" i="37"/>
  <c r="AB39" i="37"/>
  <c r="S27" i="35"/>
  <c r="F11" i="40"/>
  <c r="AA11" i="40"/>
  <c r="H11" i="40"/>
  <c r="AB11" i="40"/>
  <c r="W8" i="40"/>
  <c r="AA9" i="40"/>
  <c r="AC9" i="40"/>
  <c r="U9" i="40"/>
  <c r="S34" i="40"/>
  <c r="U34" i="40"/>
  <c r="S38" i="40"/>
  <c r="F42" i="39"/>
  <c r="F41" i="39"/>
  <c r="H40" i="39"/>
  <c r="AB40" i="39"/>
  <c r="H39" i="39"/>
  <c r="U39" i="39"/>
  <c r="S38" i="39"/>
  <c r="S34" i="39"/>
  <c r="H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B12" i="35"/>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24" i="36"/>
  <c r="AA24" i="36"/>
  <c r="F34" i="36"/>
  <c r="S34" i="36"/>
  <c r="S10" i="36"/>
  <c r="AB8" i="36"/>
  <c r="S8" i="36"/>
  <c r="U8" i="35"/>
  <c r="F14" i="35"/>
  <c r="AA14" i="35"/>
  <c r="F23" i="35"/>
  <c r="AA23" i="35"/>
  <c r="J32" i="35"/>
  <c r="AC32" i="35"/>
  <c r="J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U42" i="34"/>
  <c r="H40" i="34"/>
  <c r="U40" i="34" s="1"/>
  <c r="E114" i="34"/>
  <c r="F114" i="34"/>
  <c r="G114" i="34"/>
  <c r="H114" i="34"/>
  <c r="I114" i="34"/>
  <c r="J114" i="34"/>
  <c r="K114" i="34"/>
  <c r="L114" i="34"/>
  <c r="M114" i="34"/>
  <c r="H36" i="34"/>
  <c r="U36" i="34"/>
  <c r="F27" i="34"/>
  <c r="AA27" i="34"/>
  <c r="H23" i="34"/>
  <c r="U23" i="34"/>
  <c r="J23" i="34"/>
  <c r="W23" i="34"/>
  <c r="F19" i="34"/>
  <c r="AA19" i="34"/>
  <c r="S38" i="33"/>
  <c r="E113"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S29" i="35"/>
  <c r="H29" i="35"/>
  <c r="AB29" i="35"/>
  <c r="H33" i="37"/>
  <c r="F33" i="37"/>
  <c r="AA33" i="37"/>
  <c r="U34" i="37"/>
  <c r="S34" i="37"/>
  <c r="AA34" i="37"/>
  <c r="AB42" i="34"/>
  <c r="J40" i="34"/>
  <c r="AC40" i="34" s="1"/>
  <c r="H38" i="34"/>
  <c r="AB38" i="34"/>
  <c r="J36" i="34"/>
  <c r="W36" i="34"/>
  <c r="F23" i="34"/>
  <c r="AA23" i="34" s="1"/>
  <c r="J19" i="34"/>
  <c r="AC19" i="34"/>
  <c r="S15" i="34"/>
  <c r="S41" i="33"/>
  <c r="F113" i="33"/>
  <c r="G113" i="33"/>
  <c r="H113" i="33"/>
  <c r="I113" i="33"/>
  <c r="J113" i="33"/>
  <c r="K113" i="33"/>
  <c r="L113" i="33"/>
  <c r="M113" i="33"/>
  <c r="F28" i="40"/>
  <c r="AA28" i="40"/>
  <c r="AA29" i="35"/>
  <c r="AA42" i="34"/>
  <c r="S42" i="34"/>
  <c r="W11" i="33"/>
  <c r="U23" i="40"/>
  <c r="H123" i="21"/>
  <c r="I123" i="21"/>
  <c r="J123" i="21"/>
  <c r="K123" i="21"/>
  <c r="L123" i="21"/>
  <c r="M123" i="21"/>
  <c r="J42" i="21"/>
  <c r="AC42" i="21"/>
  <c r="H42" i="21"/>
  <c r="U42" i="21"/>
  <c r="J44" i="34"/>
  <c r="W44" i="34"/>
  <c r="J10" i="35"/>
  <c r="W10" i="35"/>
  <c r="BL587" i="3"/>
  <c r="J14" i="21"/>
  <c r="W14" i="21"/>
  <c r="F14" i="21"/>
  <c r="S14" i="21"/>
  <c r="H14" i="21"/>
  <c r="U14" i="21"/>
  <c r="H28" i="21"/>
  <c r="AB28" i="21"/>
  <c r="F28" i="21"/>
  <c r="AA28" i="21"/>
  <c r="J28" i="21"/>
  <c r="W28" i="21"/>
  <c r="H30" i="21"/>
  <c r="U30" i="21"/>
  <c r="F30" i="21"/>
  <c r="S30" i="21"/>
  <c r="J30" i="21"/>
  <c r="AC30" i="21"/>
  <c r="F119" i="21"/>
  <c r="G119" i="21"/>
  <c r="H119" i="21"/>
  <c r="I119" i="21"/>
  <c r="J119" i="21"/>
  <c r="K119" i="21"/>
  <c r="L119" i="21"/>
  <c r="M119" i="21"/>
  <c r="H26" i="33"/>
  <c r="U26" i="33" s="1"/>
  <c r="F33" i="35"/>
  <c r="S33" i="35"/>
  <c r="J33" i="35"/>
  <c r="AC33" i="35"/>
  <c r="F30" i="35"/>
  <c r="S30" i="35"/>
  <c r="E89" i="35"/>
  <c r="F89" i="35"/>
  <c r="G89" i="35"/>
  <c r="H89" i="35"/>
  <c r="I89" i="35"/>
  <c r="J89" i="35"/>
  <c r="K89" i="35"/>
  <c r="L89" i="35"/>
  <c r="M89" i="35"/>
  <c r="H10" i="36"/>
  <c r="AB10" i="36"/>
  <c r="J14" i="36"/>
  <c r="AC14" i="36"/>
  <c r="H14" i="36"/>
  <c r="U14" i="36"/>
  <c r="F28" i="36"/>
  <c r="AA28" i="36"/>
  <c r="J31" i="21"/>
  <c r="AC31" i="21"/>
  <c r="F31" i="21"/>
  <c r="S31" i="21"/>
  <c r="F45" i="21"/>
  <c r="AA45" i="21"/>
  <c r="F27" i="33"/>
  <c r="AA27" i="33"/>
  <c r="J13" i="33"/>
  <c r="H13" i="33"/>
  <c r="AB13" i="33" s="1"/>
  <c r="F13" i="33"/>
  <c r="S13" i="33"/>
  <c r="J29" i="33"/>
  <c r="AC29" i="33"/>
  <c r="H29" i="33"/>
  <c r="U29" i="33"/>
  <c r="F29" i="33"/>
  <c r="S29" i="33"/>
  <c r="H31" i="33"/>
  <c r="U31" i="33" s="1"/>
  <c r="F31" i="33"/>
  <c r="AA31" i="33" s="1"/>
  <c r="J45" i="33"/>
  <c r="W45" i="33" s="1"/>
  <c r="F45" i="33"/>
  <c r="AA45" i="33" s="1"/>
  <c r="J14" i="34"/>
  <c r="W14" i="34"/>
  <c r="F14" i="34"/>
  <c r="H14" i="34"/>
  <c r="H30" i="34"/>
  <c r="U30" i="34"/>
  <c r="F30" i="34"/>
  <c r="S30" i="34"/>
  <c r="J30" i="34"/>
  <c r="W30" i="34"/>
  <c r="H32" i="34"/>
  <c r="U32" i="34"/>
  <c r="F32" i="34"/>
  <c r="S32" i="34"/>
  <c r="J32" i="34"/>
  <c r="W32" i="34"/>
  <c r="H11" i="35"/>
  <c r="U11" i="35"/>
  <c r="J11" i="35"/>
  <c r="AC11" i="35"/>
  <c r="F11" i="35"/>
  <c r="S11" i="35"/>
  <c r="J26" i="36"/>
  <c r="W26" i="36"/>
  <c r="H28" i="36"/>
  <c r="U28" i="36"/>
  <c r="H32" i="36"/>
  <c r="AB32" i="36"/>
  <c r="J32" i="36"/>
  <c r="W32"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30" i="33"/>
  <c r="AB30" i="33"/>
  <c r="F30" i="33"/>
  <c r="J46" i="33"/>
  <c r="AC46" i="33" s="1"/>
  <c r="F46" i="33"/>
  <c r="AA46" i="33" s="1"/>
  <c r="H46" i="33"/>
  <c r="AB46" i="33" s="1"/>
  <c r="H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H14" i="39"/>
  <c r="AB14" i="39"/>
  <c r="F12" i="40"/>
  <c r="S12" i="40"/>
  <c r="H12" i="40"/>
  <c r="AB12" i="40"/>
  <c r="H30" i="40"/>
  <c r="AB30" i="40"/>
  <c r="F33" i="40"/>
  <c r="AA33" i="40"/>
  <c r="H33" i="40"/>
  <c r="J35" i="40"/>
  <c r="AC35" i="40"/>
  <c r="J37" i="40"/>
  <c r="AC37" i="40"/>
  <c r="H13" i="40"/>
  <c r="U13" i="40"/>
  <c r="J13" i="40"/>
  <c r="W13" i="40"/>
  <c r="F13" i="40"/>
  <c r="AA13" i="40"/>
  <c r="F14" i="37"/>
  <c r="F27" i="37"/>
  <c r="AA27" i="37"/>
  <c r="F13" i="39"/>
  <c r="J13" i="39"/>
  <c r="W13" i="39"/>
  <c r="H13" i="39"/>
  <c r="H14" i="40"/>
  <c r="J14" i="40"/>
  <c r="W14" i="40"/>
  <c r="F14" i="40"/>
  <c r="J14" i="37"/>
  <c r="J27" i="37"/>
  <c r="AC27" i="37"/>
  <c r="AA13" i="35"/>
  <c r="J36" i="37"/>
  <c r="AC36" i="37"/>
  <c r="G105" i="37"/>
  <c r="AB11" i="35"/>
  <c r="J10" i="36"/>
  <c r="AC10" i="36"/>
  <c r="AC13" i="36"/>
  <c r="W13" i="36"/>
  <c r="W11" i="35"/>
  <c r="W29" i="33"/>
  <c r="BA585" i="3"/>
  <c r="AZ585" i="3"/>
  <c r="F17" i="21"/>
  <c r="AA17" i="21"/>
  <c r="H17" i="21"/>
  <c r="AB17" i="21"/>
  <c r="F15" i="21"/>
  <c r="S15" i="21"/>
  <c r="AB11" i="21"/>
  <c r="J41" i="39"/>
  <c r="W41" i="39"/>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A524" i="3"/>
  <c r="AZ524" i="3"/>
  <c r="BL518" i="3"/>
  <c r="BL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c r="BA552" i="3"/>
  <c r="AZ552" i="3"/>
  <c r="BA548" i="3"/>
  <c r="AZ548" i="3"/>
  <c r="BA546" i="3"/>
  <c r="BA544" i="3"/>
  <c r="AZ544" i="3"/>
  <c r="BA542" i="3"/>
  <c r="BA540" i="3"/>
  <c r="AZ540" i="3"/>
  <c r="BA538" i="3"/>
  <c r="AZ538" i="3"/>
  <c r="BA536" i="3"/>
  <c r="AZ536" i="3"/>
  <c r="BA534" i="3"/>
  <c r="BA532" i="3"/>
  <c r="AZ532" i="3"/>
  <c r="BA530" i="3"/>
  <c r="BA528" i="3"/>
  <c r="AZ528" i="3"/>
  <c r="BA526" i="3"/>
  <c r="AZ526" i="3"/>
  <c r="BA522" i="3"/>
  <c r="AZ522" i="3"/>
  <c r="BA520" i="3"/>
  <c r="BA518" i="3"/>
  <c r="AZ518" i="3"/>
  <c r="BA516" i="3"/>
  <c r="AZ516" i="3"/>
  <c r="BA514" i="3"/>
  <c r="BA512" i="3"/>
  <c r="AZ512" i="3"/>
  <c r="BA510" i="3"/>
  <c r="AZ510" i="3"/>
  <c r="BA508" i="3"/>
  <c r="BA506" i="3"/>
  <c r="BA504" i="3"/>
  <c r="BA502" i="3"/>
  <c r="AZ502" i="3"/>
  <c r="BA500" i="3"/>
  <c r="BA498" i="3"/>
  <c r="AZ498" i="3"/>
  <c r="BA496" i="3"/>
  <c r="BA494" i="3"/>
  <c r="BA587" i="3"/>
  <c r="AZ587" i="3"/>
  <c r="BA583" i="3"/>
  <c r="BA581" i="3"/>
  <c r="BA579" i="3"/>
  <c r="BA577" i="3"/>
  <c r="BQ577" i="3"/>
  <c r="BL577" i="3"/>
  <c r="AZ577" i="3"/>
  <c r="BA575" i="3"/>
  <c r="BQ575" i="3"/>
  <c r="BL575" i="3"/>
  <c r="AZ575" i="3"/>
  <c r="BA573" i="3"/>
  <c r="BA571" i="3"/>
  <c r="BA569" i="3"/>
  <c r="BQ569" i="3"/>
  <c r="BL569" i="3"/>
  <c r="AZ569" i="3"/>
  <c r="BA567" i="3"/>
  <c r="BQ567" i="3"/>
  <c r="BL567" i="3"/>
  <c r="AZ567" i="3"/>
  <c r="BA565" i="3"/>
  <c r="BA563" i="3"/>
  <c r="BA561" i="3"/>
  <c r="BA559" i="3"/>
  <c r="BA555" i="3"/>
  <c r="BA553" i="3"/>
  <c r="BA549" i="3"/>
  <c r="BA547" i="3"/>
  <c r="BA545" i="3"/>
  <c r="BQ545" i="3"/>
  <c r="BL545" i="3"/>
  <c r="AZ545" i="3"/>
  <c r="BA543" i="3"/>
  <c r="BA541" i="3"/>
  <c r="BQ541" i="3"/>
  <c r="BL541" i="3"/>
  <c r="AZ541" i="3"/>
  <c r="BA539" i="3"/>
  <c r="BA537" i="3"/>
  <c r="BQ537" i="3"/>
  <c r="BL537" i="3"/>
  <c r="AZ537" i="3"/>
  <c r="BA535" i="3"/>
  <c r="BA533" i="3"/>
  <c r="BQ533" i="3"/>
  <c r="BL533" i="3"/>
  <c r="AZ533" i="3"/>
  <c r="BA531" i="3"/>
  <c r="BA529" i="3"/>
  <c r="BQ529" i="3"/>
  <c r="BL529" i="3"/>
  <c r="AZ529" i="3"/>
  <c r="BA527" i="3"/>
  <c r="BA525" i="3"/>
  <c r="BQ525" i="3"/>
  <c r="BL525" i="3"/>
  <c r="AZ525" i="3"/>
  <c r="BA523" i="3"/>
  <c r="BA519" i="3"/>
  <c r="BQ519" i="3"/>
  <c r="BL519" i="3"/>
  <c r="AZ519" i="3"/>
  <c r="BA517" i="3"/>
  <c r="BA515" i="3"/>
  <c r="BA513" i="3"/>
  <c r="BA511" i="3"/>
  <c r="BQ511" i="3"/>
  <c r="BL511" i="3"/>
  <c r="AZ511" i="3"/>
  <c r="BA507" i="3"/>
  <c r="BA505" i="3"/>
  <c r="BA503" i="3"/>
  <c r="BA501" i="3"/>
  <c r="BA499" i="3"/>
  <c r="BA497" i="3"/>
  <c r="BA495" i="3"/>
  <c r="BQ495" i="3"/>
  <c r="BL495" i="3"/>
  <c r="AZ495" i="3"/>
  <c r="BA493" i="3"/>
  <c r="AZ560" i="3"/>
  <c r="G583" i="3"/>
  <c r="G581" i="3"/>
  <c r="G579" i="3"/>
  <c r="G577" i="3"/>
  <c r="G575" i="3"/>
  <c r="G573" i="3"/>
  <c r="G571" i="3"/>
  <c r="G569" i="3"/>
  <c r="G567" i="3"/>
  <c r="G565" i="3"/>
  <c r="G563" i="3"/>
  <c r="G561" i="3"/>
  <c r="BL558" i="3"/>
  <c r="BA557" i="3"/>
  <c r="BQ557" i="3"/>
  <c r="BL557" i="3"/>
  <c r="AZ557" i="3"/>
  <c r="AC557" i="3"/>
  <c r="G557" i="3"/>
  <c r="BQ583" i="3"/>
  <c r="BL583" i="3"/>
  <c r="AZ583" i="3"/>
  <c r="BQ581" i="3"/>
  <c r="BL581" i="3"/>
  <c r="AZ581" i="3"/>
  <c r="BQ579" i="3"/>
  <c r="BL579" i="3"/>
  <c r="AZ579" i="3"/>
  <c r="BQ573" i="3"/>
  <c r="BL573" i="3"/>
  <c r="AZ573" i="3"/>
  <c r="BQ571" i="3"/>
  <c r="BL571" i="3"/>
  <c r="AZ571"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L549" i="3"/>
  <c r="AZ549" i="3"/>
  <c r="BQ547" i="3"/>
  <c r="BL547" i="3"/>
  <c r="AZ547" i="3"/>
  <c r="BQ543" i="3"/>
  <c r="BL543" i="3"/>
  <c r="AZ543" i="3"/>
  <c r="BQ539" i="3"/>
  <c r="BL539" i="3"/>
  <c r="AZ539" i="3"/>
  <c r="BQ535" i="3"/>
  <c r="BL535" i="3"/>
  <c r="AZ535" i="3"/>
  <c r="BQ531" i="3"/>
  <c r="BL531" i="3"/>
  <c r="AZ531" i="3"/>
  <c r="BQ527" i="3"/>
  <c r="BL527" i="3"/>
  <c r="AZ527" i="3"/>
  <c r="BQ523" i="3"/>
  <c r="BL523" i="3"/>
  <c r="AZ523" i="3"/>
  <c r="BA521" i="3"/>
  <c r="AC521" i="3"/>
  <c r="G521" i="3"/>
  <c r="BQ521" i="3"/>
  <c r="BL521" i="3"/>
  <c r="AZ521" i="3"/>
  <c r="BL520" i="3"/>
  <c r="G519" i="3"/>
  <c r="G517" i="3"/>
  <c r="G515" i="3"/>
  <c r="G513" i="3"/>
  <c r="G511" i="3"/>
  <c r="BQ517" i="3"/>
  <c r="BL517" i="3"/>
  <c r="AZ517" i="3"/>
  <c r="BQ515" i="3"/>
  <c r="BL515" i="3"/>
  <c r="AZ515" i="3"/>
  <c r="BQ513" i="3"/>
  <c r="BL513" i="3"/>
  <c r="AZ513"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BQ499" i="3"/>
  <c r="BL499" i="3"/>
  <c r="BQ497" i="3"/>
  <c r="BL497"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J25" i="21"/>
  <c r="AC25" i="21"/>
  <c r="E125" i="33"/>
  <c r="F125" i="33"/>
  <c r="G125" i="33"/>
  <c r="H17" i="37"/>
  <c r="U17" i="37"/>
  <c r="AB27" i="37"/>
  <c r="E123" i="33"/>
  <c r="F123" i="33"/>
  <c r="G123" i="33"/>
  <c r="H123" i="33"/>
  <c r="I123" i="33"/>
  <c r="J123" i="33"/>
  <c r="K123" i="33"/>
  <c r="L123" i="33"/>
  <c r="M123"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U43" i="33"/>
  <c r="S28" i="31"/>
  <c r="S27" i="31"/>
  <c r="S26" i="31"/>
  <c r="AC32" i="36"/>
  <c r="AC33" i="36"/>
  <c r="U35" i="35"/>
  <c r="AA12" i="35"/>
  <c r="AB28" i="37"/>
  <c r="U39" i="37"/>
  <c r="W26" i="37"/>
  <c r="AC8" i="37"/>
  <c r="U26" i="37"/>
  <c r="AA13" i="33"/>
  <c r="U11" i="33"/>
  <c r="U19" i="21"/>
  <c r="AB38" i="21"/>
  <c r="W40" i="37"/>
  <c r="H37" i="21"/>
  <c r="U37" i="21"/>
  <c r="S42" i="21"/>
  <c r="H19" i="34"/>
  <c r="AB19" i="34"/>
  <c r="F36" i="35"/>
  <c r="S36" i="35"/>
  <c r="J12" i="37"/>
  <c r="W12" i="37"/>
  <c r="H12" i="37"/>
  <c r="AB12" i="37"/>
  <c r="F12" i="37"/>
  <c r="S12" i="37"/>
  <c r="E71" i="37"/>
  <c r="F71" i="37"/>
  <c r="G71" i="37"/>
  <c r="F15" i="37"/>
  <c r="AA15" i="37"/>
  <c r="E94" i="37"/>
  <c r="F94" i="37"/>
  <c r="G94" i="37"/>
  <c r="H94" i="37"/>
  <c r="I94" i="37"/>
  <c r="J94" i="37"/>
  <c r="K94" i="37"/>
  <c r="L94" i="37"/>
  <c r="M94" i="37"/>
  <c r="F31" i="37"/>
  <c r="S31" i="37"/>
  <c r="J42" i="39"/>
  <c r="AC42" i="39"/>
  <c r="H21" i="40"/>
  <c r="AB21" i="40"/>
  <c r="AC12" i="37"/>
  <c r="H31" i="37"/>
  <c r="U31" i="37"/>
  <c r="J15" i="37"/>
  <c r="W15" i="37"/>
  <c r="AT6" i="3"/>
  <c r="H5" i="3"/>
  <c r="C12" i="43"/>
  <c r="H19" i="40"/>
  <c r="U19" i="40"/>
  <c r="G88" i="40"/>
  <c r="F19" i="40"/>
  <c r="S19" i="40"/>
  <c r="AC13" i="40"/>
  <c r="W23" i="39"/>
  <c r="AC43" i="39"/>
  <c r="W43" i="39"/>
  <c r="U45" i="39"/>
  <c r="AB45" i="39"/>
  <c r="AB44" i="39"/>
  <c r="U44" i="39"/>
  <c r="H37" i="39"/>
  <c r="AB37" i="39"/>
  <c r="AC37" i="39"/>
  <c r="W37" i="39"/>
  <c r="H25" i="39"/>
  <c r="AB25" i="39"/>
  <c r="J25" i="39"/>
  <c r="F25" i="39"/>
  <c r="AA25" i="39"/>
  <c r="F15" i="39"/>
  <c r="AA15" i="39"/>
  <c r="H15" i="39"/>
  <c r="U15" i="39"/>
  <c r="J15" i="39"/>
  <c r="W15" i="39"/>
  <c r="H41" i="39"/>
  <c r="W27" i="39"/>
  <c r="U40" i="39"/>
  <c r="W9" i="39"/>
  <c r="W8" i="39"/>
  <c r="J19" i="40"/>
  <c r="AC19" i="40"/>
  <c r="J50" i="40"/>
  <c r="H103" i="9"/>
  <c r="D8" i="53"/>
  <c r="B16" i="53"/>
  <c r="B33" i="72"/>
  <c r="C7" i="37"/>
  <c r="C52" i="37" s="1"/>
  <c r="W35" i="40"/>
  <c r="A118" i="9"/>
  <c r="J11" i="39"/>
  <c r="W11" i="39"/>
  <c r="F11" i="39"/>
  <c r="AA11" i="39"/>
  <c r="A12" i="52"/>
  <c r="B56" i="72"/>
  <c r="S11" i="39"/>
  <c r="G4" i="4"/>
  <c r="I4" i="4"/>
  <c r="K5" i="4"/>
  <c r="B47" i="48"/>
  <c r="A2" i="9"/>
  <c r="AZ20" i="3"/>
  <c r="AZ24" i="3"/>
  <c r="AZ28" i="3"/>
  <c r="AZ32" i="3"/>
  <c r="AZ497" i="3"/>
  <c r="AZ494" i="3"/>
  <c r="AZ514"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BL378" i="3"/>
  <c r="AZ378" i="3"/>
  <c r="G379" i="3"/>
  <c r="BA380" i="3"/>
  <c r="G388" i="3"/>
  <c r="BL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s="1"/>
  <c r="BJ5" i="3"/>
  <c r="BH5" i="3"/>
  <c r="BF5" i="3"/>
  <c r="BD5" i="3"/>
  <c r="AZ317" i="3"/>
  <c r="AZ333" i="3"/>
  <c r="BQ5" i="3"/>
  <c r="BS5" i="3"/>
  <c r="F28" i="6"/>
  <c r="BR5" i="3"/>
  <c r="BT5" i="3"/>
  <c r="G28" i="6" s="1"/>
  <c r="AC5" i="3"/>
  <c r="AZ506" i="3"/>
  <c r="AZ496" i="3"/>
  <c r="G548" i="3"/>
  <c r="G538" i="3"/>
  <c r="G520" i="3"/>
  <c r="G502" i="3"/>
  <c r="BP5" i="3"/>
  <c r="BN5" i="3"/>
  <c r="AZ343" i="3"/>
  <c r="BK5" i="3"/>
  <c r="BI5" i="3"/>
  <c r="BG5" i="3"/>
  <c r="BE5" i="3"/>
  <c r="BC5" i="3"/>
  <c r="G17" i="3"/>
  <c r="BA17" i="3"/>
  <c r="AZ350" i="3"/>
  <c r="AZ352" i="3"/>
  <c r="AZ360" i="3"/>
  <c r="AZ368" i="3"/>
  <c r="BA15" i="3"/>
  <c r="G29" i="6"/>
  <c r="AZ380" i="3"/>
  <c r="AZ388" i="3"/>
  <c r="AZ396" i="3"/>
  <c r="AZ499" i="3"/>
  <c r="G509" i="3"/>
  <c r="BL493" i="3"/>
  <c r="AZ493" i="3"/>
  <c r="AZ491" i="3"/>
  <c r="AZ376" i="3"/>
  <c r="AZ382" i="3"/>
  <c r="U36" i="40"/>
  <c r="F81" i="43"/>
  <c r="H83" i="43"/>
  <c r="H113" i="43"/>
  <c r="N3" i="43"/>
  <c r="F70" i="43"/>
  <c r="H73" i="43"/>
  <c r="M11" i="43"/>
  <c r="D17" i="43"/>
  <c r="U17" i="39"/>
  <c r="S14" i="35"/>
  <c r="U43" i="21"/>
  <c r="U35" i="21"/>
  <c r="AC35" i="21"/>
  <c r="U10" i="21"/>
  <c r="AC11" i="39"/>
  <c r="AZ501" i="3"/>
  <c r="W37" i="37"/>
  <c r="S15" i="37"/>
  <c r="U13" i="37"/>
  <c r="U12" i="40"/>
  <c r="AA12" i="40"/>
  <c r="F106" i="33"/>
  <c r="G106" i="33"/>
  <c r="H106" i="33"/>
  <c r="I106" i="33"/>
  <c r="J106" i="33"/>
  <c r="K106" i="33"/>
  <c r="L106" i="33"/>
  <c r="M106" i="33"/>
  <c r="W34" i="33"/>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34" i="33"/>
  <c r="U34" i="33"/>
  <c r="S35" i="33"/>
  <c r="F39" i="34"/>
  <c r="S39" i="34"/>
  <c r="J39" i="34"/>
  <c r="W39" i="34"/>
  <c r="F40" i="34"/>
  <c r="S40" i="34" s="1"/>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F32" i="37"/>
  <c r="AA32" i="37"/>
  <c r="G96" i="37"/>
  <c r="H96" i="37"/>
  <c r="I96" i="37"/>
  <c r="J96" i="37"/>
  <c r="K96" i="37"/>
  <c r="L96" i="37"/>
  <c r="M96" i="37"/>
  <c r="F20" i="36"/>
  <c r="AA20" i="36"/>
  <c r="H23" i="39"/>
  <c r="U23" i="39"/>
  <c r="D48" i="9"/>
  <c r="M52" i="9"/>
  <c r="AE9" i="1"/>
  <c r="D93" i="9"/>
  <c r="AC26" i="33"/>
  <c r="AB34" i="36"/>
  <c r="U34" i="36"/>
  <c r="AB33" i="36"/>
  <c r="U33" i="36"/>
  <c r="AC39" i="40"/>
  <c r="W39" i="40"/>
  <c r="AZ401" i="3"/>
  <c r="AZ412" i="3"/>
  <c r="AZ417" i="3"/>
  <c r="AZ428" i="3"/>
  <c r="AZ433" i="3"/>
  <c r="AZ465" i="3"/>
  <c r="AA32" i="36"/>
  <c r="S32" i="36"/>
  <c r="AZ550" i="3"/>
  <c r="AZ408" i="3"/>
  <c r="AZ437" i="3"/>
  <c r="AZ441" i="3"/>
  <c r="AZ457" i="3"/>
  <c r="AZ473" i="3"/>
  <c r="AZ490" i="3"/>
  <c r="BL14" i="3"/>
  <c r="AZ266" i="3"/>
  <c r="U30" i="33"/>
  <c r="W28" i="37"/>
  <c r="S19" i="39"/>
  <c r="H12" i="39"/>
  <c r="AB12" i="39"/>
  <c r="F39" i="40"/>
  <c r="AA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O12" i="1"/>
  <c r="P12" i="1"/>
  <c r="S13" i="1"/>
  <c r="AR13" i="1" s="1"/>
  <c r="R13" i="1"/>
  <c r="S11" i="1"/>
  <c r="AQ11" i="1" s="1"/>
  <c r="R11" i="1"/>
  <c r="S9" i="1"/>
  <c r="AR9" i="1" s="1"/>
  <c r="R9" i="1"/>
  <c r="J51" i="67"/>
  <c r="H100" i="43"/>
  <c r="C30" i="66"/>
  <c r="E26" i="66"/>
  <c r="S22" i="31"/>
  <c r="J100" i="43"/>
  <c r="AB37" i="40"/>
  <c r="S35" i="40"/>
  <c r="U35" i="40"/>
  <c r="AC36" i="40"/>
  <c r="AA32" i="40"/>
  <c r="S17" i="40"/>
  <c r="S23" i="40"/>
  <c r="AC17" i="40"/>
  <c r="AC15" i="40"/>
  <c r="AA19" i="40"/>
  <c r="S28" i="40"/>
  <c r="AA27" i="40"/>
  <c r="U21" i="40"/>
  <c r="AB19" i="40"/>
  <c r="W42" i="39"/>
  <c r="U37" i="39"/>
  <c r="S43" i="39"/>
  <c r="S37" i="39"/>
  <c r="U35" i="39"/>
  <c r="F32" i="39"/>
  <c r="S32" i="39"/>
  <c r="F107" i="39"/>
  <c r="G107" i="39"/>
  <c r="H107" i="39"/>
  <c r="I107" i="39"/>
  <c r="J107" i="39"/>
  <c r="K107" i="39"/>
  <c r="L107" i="39"/>
  <c r="M107" i="39"/>
  <c r="U25" i="39"/>
  <c r="AB27" i="39"/>
  <c r="U31" i="39"/>
  <c r="S25" i="39"/>
  <c r="J21" i="39"/>
  <c r="F21" i="39"/>
  <c r="S21" i="39"/>
  <c r="G95" i="39"/>
  <c r="H21" i="39"/>
  <c r="U21" i="39"/>
  <c r="W19" i="39"/>
  <c r="U19" i="39"/>
  <c r="S17" i="39"/>
  <c r="AC15" i="39"/>
  <c r="S15" i="39"/>
  <c r="AB15" i="39"/>
  <c r="S9" i="39"/>
  <c r="U14" i="39"/>
  <c r="AC13" i="39"/>
  <c r="U12" i="39"/>
  <c r="U13" i="36"/>
  <c r="AB27" i="36"/>
  <c r="U26" i="36"/>
  <c r="S33" i="36"/>
  <c r="AA26" i="36"/>
  <c r="AA34" i="36"/>
  <c r="S29" i="36"/>
  <c r="AC26" i="36"/>
  <c r="AA22" i="36"/>
  <c r="W14" i="36"/>
  <c r="AB14" i="36"/>
  <c r="U22" i="36"/>
  <c r="S16" i="36"/>
  <c r="AA25" i="36"/>
  <c r="S24"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c r="H9" i="35"/>
  <c r="F26" i="35"/>
  <c r="AA26" i="35"/>
  <c r="J26" i="35"/>
  <c r="AC26" i="35"/>
  <c r="H26" i="35"/>
  <c r="AB40" i="37"/>
  <c r="S25" i="37"/>
  <c r="W27" i="37"/>
  <c r="S26" i="37"/>
  <c r="AC29" i="37"/>
  <c r="U29" i="37"/>
  <c r="AB31" i="37"/>
  <c r="W30" i="37"/>
  <c r="S36" i="37"/>
  <c r="AA38" i="37"/>
  <c r="U32" i="37"/>
  <c r="W38" i="37"/>
  <c r="AC35" i="37"/>
  <c r="W39" i="37"/>
  <c r="S30" i="37"/>
  <c r="S37" i="37"/>
  <c r="AC15" i="37"/>
  <c r="J17" i="37"/>
  <c r="W17" i="37"/>
  <c r="G73" i="37"/>
  <c r="F17" i="37"/>
  <c r="AA17" i="37"/>
  <c r="AB17" i="37"/>
  <c r="F75" i="37"/>
  <c r="F19" i="37"/>
  <c r="AA19" i="37"/>
  <c r="F79" i="37"/>
  <c r="F23" i="37"/>
  <c r="S23" i="37"/>
  <c r="U23" i="37"/>
  <c r="U15" i="37"/>
  <c r="AC13" i="37"/>
  <c r="AA13" i="37"/>
  <c r="AA12" i="37"/>
  <c r="H10" i="37"/>
  <c r="U10" i="37"/>
  <c r="H60" i="37"/>
  <c r="F63" i="37"/>
  <c r="G63" i="37"/>
  <c r="H63" i="37"/>
  <c r="I63" i="37"/>
  <c r="J63" i="37"/>
  <c r="K63" i="37"/>
  <c r="L63" i="37"/>
  <c r="M63" i="37"/>
  <c r="F11" i="37"/>
  <c r="S11" i="37"/>
  <c r="U44" i="34"/>
  <c r="AC42" i="34"/>
  <c r="U39" i="34"/>
  <c r="AB41" i="34"/>
  <c r="F11" i="34"/>
  <c r="S11" i="34"/>
  <c r="F70" i="34"/>
  <c r="G70" i="34"/>
  <c r="H70" i="34"/>
  <c r="I70" i="34"/>
  <c r="J70" i="34"/>
  <c r="K70" i="34"/>
  <c r="L70" i="34"/>
  <c r="M70" i="34"/>
  <c r="S27" i="33"/>
  <c r="AA29" i="33"/>
  <c r="AB29" i="33"/>
  <c r="W38" i="33"/>
  <c r="F121" i="33"/>
  <c r="G121" i="33"/>
  <c r="H121" i="33"/>
  <c r="I121" i="33"/>
  <c r="J121" i="33"/>
  <c r="K121" i="33"/>
  <c r="L121" i="33"/>
  <c r="M121" i="33"/>
  <c r="G108" i="33"/>
  <c r="H108" i="33"/>
  <c r="I108" i="33"/>
  <c r="J108" i="33"/>
  <c r="K108" i="33"/>
  <c r="L108" i="33"/>
  <c r="M108" i="33"/>
  <c r="S37" i="33"/>
  <c r="S39" i="33"/>
  <c r="F101" i="33"/>
  <c r="J32" i="33" s="1"/>
  <c r="AC32" i="33" s="1"/>
  <c r="F91" i="33"/>
  <c r="H27" i="33"/>
  <c r="AB27" i="33"/>
  <c r="F85" i="33"/>
  <c r="F81" i="33"/>
  <c r="S19" i="33"/>
  <c r="W19" i="33"/>
  <c r="F79" i="33"/>
  <c r="G79" i="33"/>
  <c r="S15" i="33"/>
  <c r="W15" i="33"/>
  <c r="U9" i="33"/>
  <c r="I66" i="33"/>
  <c r="W43" i="21"/>
  <c r="W36" i="21"/>
  <c r="W41" i="21"/>
  <c r="AB39" i="21"/>
  <c r="AA43" i="21"/>
  <c r="S39" i="21"/>
  <c r="AA38" i="21"/>
  <c r="AA36" i="21"/>
  <c r="AC40" i="21"/>
  <c r="J15" i="21"/>
  <c r="W15" i="21"/>
  <c r="F77" i="21"/>
  <c r="G77" i="21"/>
  <c r="F23" i="21"/>
  <c r="S23" i="21"/>
  <c r="E85" i="21"/>
  <c r="F85" i="21"/>
  <c r="G85" i="21"/>
  <c r="AC11" i="21"/>
  <c r="AA14" i="21"/>
  <c r="AB8" i="21"/>
  <c r="S8" i="21"/>
  <c r="M1" i="43"/>
  <c r="N8" i="43"/>
  <c r="D120" i="9"/>
  <c r="D121" i="9"/>
  <c r="D7" i="52"/>
  <c r="C18" i="9"/>
  <c r="D18" i="9"/>
  <c r="F34" i="67"/>
  <c r="F62" i="67"/>
  <c r="M20" i="67"/>
  <c r="F34" i="15"/>
  <c r="F62" i="15"/>
  <c r="BL17" i="3"/>
  <c r="AZ17" i="3"/>
  <c r="BL13" i="3"/>
  <c r="J56" i="9"/>
  <c r="J57" i="9"/>
  <c r="J59" i="9"/>
  <c r="J61" i="9"/>
  <c r="A24" i="51"/>
  <c r="B18" i="72"/>
  <c r="E5" i="6"/>
  <c r="E32" i="6"/>
  <c r="L19" i="6"/>
  <c r="K1" i="12"/>
  <c r="E19" i="69"/>
  <c r="E19" i="68"/>
  <c r="E19" i="11"/>
  <c r="G41" i="69"/>
  <c r="G41" i="68"/>
  <c r="G27" i="12"/>
  <c r="G41" i="11"/>
  <c r="G25" i="12"/>
  <c r="E11" i="43"/>
  <c r="E10" i="43"/>
  <c r="E9" i="43"/>
  <c r="E8" i="43"/>
  <c r="E81" i="43"/>
  <c r="B79" i="43"/>
  <c r="E70" i="43"/>
  <c r="B68" i="43"/>
  <c r="F100" i="43"/>
  <c r="N6" i="43"/>
  <c r="M9" i="43"/>
  <c r="N5" i="43"/>
  <c r="M12" i="43"/>
  <c r="B19" i="53"/>
  <c r="B37" i="72"/>
  <c r="C7" i="35"/>
  <c r="C48" i="35"/>
  <c r="D48" i="35" s="1"/>
  <c r="E48" i="35" s="1"/>
  <c r="F48" i="35" s="1"/>
  <c r="G48" i="35" s="1"/>
  <c r="H48" i="35" s="1"/>
  <c r="I48" i="35" s="1"/>
  <c r="J48" i="35" s="1"/>
  <c r="K48" i="35" s="1"/>
  <c r="L48" i="35" s="1"/>
  <c r="M48" i="35" s="1"/>
  <c r="M47" i="9"/>
  <c r="A4" i="51"/>
  <c r="B6" i="72" s="1"/>
  <c r="C4" i="12"/>
  <c r="L20" i="6"/>
  <c r="B6" i="1"/>
  <c r="E6" i="1" s="1"/>
  <c r="S8" i="1"/>
  <c r="AR8" i="1" s="1"/>
  <c r="AP6" i="1"/>
  <c r="B9" i="1"/>
  <c r="E9" i="1"/>
  <c r="O7" i="1"/>
  <c r="G1" i="69"/>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B40" i="34"/>
  <c r="U19" i="34"/>
  <c r="W19" i="34"/>
  <c r="AB36" i="34"/>
  <c r="AC14" i="34"/>
  <c r="AA32" i="34"/>
  <c r="AB30" i="34"/>
  <c r="AA36" i="34"/>
  <c r="AB32" i="34"/>
  <c r="U14" i="34"/>
  <c r="AB14" i="34"/>
  <c r="AC23" i="34"/>
  <c r="W35" i="34"/>
  <c r="W46" i="33"/>
  <c r="U39" i="33"/>
  <c r="U38" i="33"/>
  <c r="S30" i="33"/>
  <c r="AA30" i="33"/>
  <c r="AC30" i="33"/>
  <c r="S31" i="33"/>
  <c r="W13" i="33"/>
  <c r="AC13" i="33"/>
  <c r="U15" i="33"/>
  <c r="S11" i="33"/>
  <c r="U37" i="33"/>
  <c r="W9" i="33"/>
  <c r="W8" i="33"/>
  <c r="AB42" i="21"/>
  <c r="U28" i="21"/>
  <c r="AA11" i="21"/>
  <c r="S45" i="21"/>
  <c r="F33" i="21"/>
  <c r="S33" i="21"/>
  <c r="J33" i="21"/>
  <c r="H33" i="21"/>
  <c r="AB33" i="21"/>
  <c r="F37" i="21"/>
  <c r="AA37" i="21"/>
  <c r="AA26" i="21"/>
  <c r="AB14" i="21"/>
  <c r="U40" i="21"/>
  <c r="AB31" i="21"/>
  <c r="U31" i="21"/>
  <c r="W8" i="21"/>
  <c r="S35" i="21"/>
  <c r="AB37" i="21"/>
  <c r="J37" i="21"/>
  <c r="W37" i="21"/>
  <c r="H15" i="21"/>
  <c r="U15" i="21"/>
  <c r="J17" i="21"/>
  <c r="AC17" i="21"/>
  <c r="AC19" i="21"/>
  <c r="W39" i="21"/>
  <c r="AC14" i="21"/>
  <c r="W30" i="21"/>
  <c r="H45" i="21"/>
  <c r="U45" i="21"/>
  <c r="F29" i="21"/>
  <c r="S29" i="21"/>
  <c r="F13" i="21"/>
  <c r="AA13" i="21"/>
  <c r="AC38" i="21"/>
  <c r="H32" i="21"/>
  <c r="AB32" i="21"/>
  <c r="H9" i="21"/>
  <c r="U9" i="21"/>
  <c r="J9" i="21"/>
  <c r="W9" i="21"/>
  <c r="J32" i="21"/>
  <c r="F32" i="21"/>
  <c r="AA32" i="21"/>
  <c r="AA31" i="21"/>
  <c r="U17" i="21"/>
  <c r="S19" i="21"/>
  <c r="S9" i="21"/>
  <c r="AA9" i="21"/>
  <c r="K141" i="21"/>
  <c r="K144" i="21"/>
  <c r="K143" i="21"/>
  <c r="AB25" i="21"/>
  <c r="AA30" i="21"/>
  <c r="W42" i="21"/>
  <c r="AC45" i="21"/>
  <c r="F10" i="21"/>
  <c r="AA10" i="21"/>
  <c r="K145" i="21"/>
  <c r="W25" i="21"/>
  <c r="AA29"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S7" i="1"/>
  <c r="AQ7" i="1" s="1"/>
  <c r="E7" i="70"/>
  <c r="S39" i="40"/>
  <c r="J32" i="39"/>
  <c r="H32" i="39"/>
  <c r="U32" i="39"/>
  <c r="AA32" i="39"/>
  <c r="AB21" i="39"/>
  <c r="AA21" i="39"/>
  <c r="AC21" i="39"/>
  <c r="W21" i="39"/>
  <c r="S26" i="35"/>
  <c r="U9" i="35"/>
  <c r="AB9" i="35"/>
  <c r="S9" i="35"/>
  <c r="W26" i="35"/>
  <c r="AB26" i="35"/>
  <c r="U26" i="35"/>
  <c r="AC17" i="37"/>
  <c r="J19" i="37"/>
  <c r="W19" i="37"/>
  <c r="G75" i="37"/>
  <c r="AA23" i="37"/>
  <c r="J23" i="37"/>
  <c r="G79" i="37"/>
  <c r="J10" i="37"/>
  <c r="I60" i="37"/>
  <c r="H11" i="37"/>
  <c r="AB11" i="37"/>
  <c r="AB10" i="37"/>
  <c r="H11" i="34"/>
  <c r="U11" i="34"/>
  <c r="U41" i="33"/>
  <c r="H111" i="33"/>
  <c r="I111" i="33"/>
  <c r="J111" i="33"/>
  <c r="K111" i="33"/>
  <c r="L111" i="33"/>
  <c r="M111" i="33"/>
  <c r="U27" i="33"/>
  <c r="G91" i="33"/>
  <c r="H91" i="33"/>
  <c r="I91" i="33"/>
  <c r="J91" i="33"/>
  <c r="K91" i="33"/>
  <c r="L91" i="33"/>
  <c r="M91" i="33"/>
  <c r="J27" i="33"/>
  <c r="AC27" i="33" s="1"/>
  <c r="U23" i="33"/>
  <c r="G85" i="33"/>
  <c r="G81" i="33"/>
  <c r="U10" i="33"/>
  <c r="W10" i="33"/>
  <c r="AA23" i="21"/>
  <c r="J23" i="21"/>
  <c r="AC23" i="21"/>
  <c r="H23" i="21"/>
  <c r="S13" i="21"/>
  <c r="D6" i="52"/>
  <c r="R22" i="31"/>
  <c r="AP7" i="1"/>
  <c r="AB45" i="21"/>
  <c r="AC33" i="21"/>
  <c r="W33" i="21"/>
  <c r="AA33" i="21"/>
  <c r="W32" i="21"/>
  <c r="AC32" i="21"/>
  <c r="AB9" i="21"/>
  <c r="S32" i="21"/>
  <c r="AC9" i="21"/>
  <c r="U32" i="21"/>
  <c r="S10" i="21"/>
  <c r="A18" i="62"/>
  <c r="B64" i="72"/>
  <c r="AC32" i="39"/>
  <c r="W32" i="39"/>
  <c r="AC19" i="37"/>
  <c r="W23" i="37"/>
  <c r="AC23" i="37"/>
  <c r="J11" i="37"/>
  <c r="AC11" i="37"/>
  <c r="W10" i="37"/>
  <c r="AC10" i="37"/>
  <c r="J11" i="34"/>
  <c r="W11" i="34"/>
  <c r="W25" i="33"/>
  <c r="U19" i="33"/>
  <c r="S17" i="33"/>
  <c r="U17" i="33"/>
  <c r="U23" i="21"/>
  <c r="AB23" i="21"/>
  <c r="W11" i="37"/>
  <c r="R8" i="1"/>
  <c r="AE7" i="1"/>
  <c r="AE8" i="1"/>
  <c r="AG6" i="1"/>
  <c r="H109" i="9"/>
  <c r="M49" i="9"/>
  <c r="L68" i="9"/>
  <c r="M68" i="9"/>
  <c r="H110" i="9"/>
  <c r="D18" i="53" s="1"/>
  <c r="B35" i="72" s="1"/>
  <c r="D124" i="9"/>
  <c r="H14" i="74"/>
  <c r="B7" i="74"/>
  <c r="D16" i="53"/>
  <c r="B34" i="72"/>
  <c r="D17" i="53"/>
  <c r="B36" i="72"/>
  <c r="D125" i="9"/>
  <c r="D11" i="52"/>
  <c r="H112" i="9"/>
  <c r="D21" i="53"/>
  <c r="B39" i="72"/>
  <c r="H111" i="9"/>
  <c r="D126" i="9"/>
  <c r="I14" i="74"/>
  <c r="B8" i="74"/>
  <c r="D19" i="53"/>
  <c r="B38" i="72"/>
  <c r="D20" i="53"/>
  <c r="B40" i="72"/>
  <c r="AD3" i="71"/>
  <c r="M4" i="43"/>
  <c r="C6" i="43"/>
  <c r="M5" i="43"/>
  <c r="N12" i="43"/>
  <c r="N11" i="43"/>
  <c r="M10" i="43"/>
  <c r="M7" i="43"/>
  <c r="N9" i="43"/>
  <c r="M8" i="43"/>
  <c r="N10" i="43"/>
  <c r="M6" i="43"/>
  <c r="N7" i="43"/>
  <c r="N4" i="43"/>
  <c r="F48" i="43"/>
  <c r="F59" i="43"/>
  <c r="H62" i="43"/>
  <c r="G62" i="43"/>
  <c r="AB14" i="71"/>
  <c r="X12" i="71"/>
  <c r="X11" i="71"/>
  <c r="AA12" i="71"/>
  <c r="AA11" i="71"/>
  <c r="X15" i="71"/>
  <c r="Y11" i="71"/>
  <c r="Z11" i="71"/>
  <c r="AB12" i="71"/>
  <c r="AB11" i="71"/>
  <c r="F13" i="71"/>
  <c r="F12" i="71"/>
  <c r="F11" i="71"/>
  <c r="F10" i="71"/>
  <c r="F9" i="71"/>
  <c r="F8" i="71"/>
  <c r="F7" i="71"/>
  <c r="F5" i="71"/>
  <c r="Y12" i="71"/>
  <c r="Z12" i="71"/>
  <c r="X3" i="71"/>
  <c r="W27" i="34"/>
  <c r="AC27" i="34"/>
  <c r="W41" i="34"/>
  <c r="AA41" i="34"/>
  <c r="C28" i="71"/>
  <c r="D28" i="71"/>
  <c r="D27" i="71"/>
  <c r="D34" i="71"/>
  <c r="C35" i="71"/>
  <c r="C36" i="71"/>
  <c r="D36" i="71"/>
  <c r="C47" i="71"/>
  <c r="D46" i="71"/>
  <c r="AB21" i="71"/>
  <c r="AA15" i="71"/>
  <c r="X14" i="71"/>
  <c r="X13" i="71"/>
  <c r="Y10" i="71"/>
  <c r="Z10" i="71"/>
  <c r="X9" i="71"/>
  <c r="Y9" i="71"/>
  <c r="Z9" i="71"/>
  <c r="AA9" i="71"/>
  <c r="AB10" i="71"/>
  <c r="Y5" i="71"/>
  <c r="Z5" i="71"/>
  <c r="AB5" i="71"/>
  <c r="X16" i="71"/>
  <c r="Y16" i="71"/>
  <c r="Z16" i="71"/>
  <c r="Y14" i="71"/>
  <c r="Z14" i="71"/>
  <c r="AB15" i="71"/>
  <c r="AA13" i="71"/>
  <c r="X10" i="71"/>
  <c r="AA10" i="71"/>
  <c r="Y13" i="71"/>
  <c r="Z13" i="71"/>
  <c r="AA14" i="71"/>
  <c r="AB13" i="71"/>
  <c r="X7" i="71"/>
  <c r="AA7" i="71"/>
  <c r="AA5" i="71"/>
  <c r="F59" i="71"/>
  <c r="AA16" i="71"/>
  <c r="AB16" i="71"/>
  <c r="B16" i="71"/>
  <c r="B15" i="71"/>
  <c r="B14" i="71"/>
  <c r="B13" i="71"/>
  <c r="B12" i="71"/>
  <c r="C16" i="71"/>
  <c r="Y15" i="71"/>
  <c r="Z15" i="71"/>
  <c r="AB7" i="71"/>
  <c r="AB9" i="71"/>
  <c r="X5" i="71"/>
  <c r="O14" i="1"/>
  <c r="P14" i="1"/>
  <c r="H74" i="43"/>
  <c r="H77" i="43"/>
  <c r="H71" i="43"/>
  <c r="F124" i="34"/>
  <c r="G124" i="34"/>
  <c r="H124" i="34"/>
  <c r="I124" i="34"/>
  <c r="J124" i="34"/>
  <c r="K124" i="34"/>
  <c r="L124" i="34"/>
  <c r="M124" i="34"/>
  <c r="H43" i="34"/>
  <c r="U43" i="34" s="1"/>
  <c r="F43" i="34"/>
  <c r="J43" i="34"/>
  <c r="W43" i="34"/>
  <c r="AC39" i="34"/>
  <c r="AC38" i="34"/>
  <c r="AA38" i="34"/>
  <c r="H112" i="34"/>
  <c r="I112" i="34"/>
  <c r="J112" i="34"/>
  <c r="K112" i="34"/>
  <c r="L112" i="34"/>
  <c r="M112" i="34"/>
  <c r="J37" i="34"/>
  <c r="AC37" i="34"/>
  <c r="F37" i="34"/>
  <c r="H37" i="34"/>
  <c r="U37" i="34"/>
  <c r="AC36" i="34"/>
  <c r="AA39" i="34"/>
  <c r="U38" i="34"/>
  <c r="AC30" i="34"/>
  <c r="F31" i="34"/>
  <c r="AA31" i="34"/>
  <c r="U27" i="34"/>
  <c r="S27" i="34"/>
  <c r="H28" i="34"/>
  <c r="AB28" i="34"/>
  <c r="AA28" i="34"/>
  <c r="S28" i="34"/>
  <c r="AC32" i="34"/>
  <c r="AA30" i="34"/>
  <c r="W31" i="34"/>
  <c r="J28" i="34"/>
  <c r="AB23" i="34"/>
  <c r="U13" i="34"/>
  <c r="AB13" i="34"/>
  <c r="F13" i="34"/>
  <c r="AA13" i="34"/>
  <c r="J13" i="34"/>
  <c r="W13" i="34"/>
  <c r="C92" i="9"/>
  <c r="C94" i="9"/>
  <c r="B41" i="1"/>
  <c r="F30" i="69"/>
  <c r="F48" i="69"/>
  <c r="F31" i="12"/>
  <c r="C21" i="68"/>
  <c r="C40" i="69"/>
  <c r="C21" i="69"/>
  <c r="H78" i="43"/>
  <c r="P7" i="1"/>
  <c r="O9" i="1"/>
  <c r="P9" i="1"/>
  <c r="O8" i="1"/>
  <c r="P8" i="1"/>
  <c r="O11" i="1"/>
  <c r="P11" i="1"/>
  <c r="D22" i="67"/>
  <c r="D23" i="67"/>
  <c r="F31" i="67"/>
  <c r="F31" i="15"/>
  <c r="D9" i="53"/>
  <c r="B25" i="72"/>
  <c r="B24" i="72"/>
  <c r="K120" i="9"/>
  <c r="Y8" i="71"/>
  <c r="Z8" i="71"/>
  <c r="Y7" i="71"/>
  <c r="Z7" i="71"/>
  <c r="AA8" i="71"/>
  <c r="AB3" i="71"/>
  <c r="X8" i="71"/>
  <c r="AB8" i="71"/>
  <c r="Y3" i="71"/>
  <c r="Z3" i="71"/>
  <c r="AF3" i="71"/>
  <c r="F59" i="67"/>
  <c r="C15" i="71"/>
  <c r="D15" i="71"/>
  <c r="D16" i="71"/>
  <c r="U16" i="71"/>
  <c r="T16" i="71"/>
  <c r="F58" i="71"/>
  <c r="Q59" i="71"/>
  <c r="C48" i="71"/>
  <c r="D48" i="71"/>
  <c r="D47" i="71"/>
  <c r="D35" i="71"/>
  <c r="T28" i="71"/>
  <c r="F53" i="9"/>
  <c r="F32" i="67"/>
  <c r="F60" i="67"/>
  <c r="M18" i="15"/>
  <c r="M18" i="67"/>
  <c r="F28" i="67"/>
  <c r="D60" i="43"/>
  <c r="D59" i="43"/>
  <c r="D61" i="43"/>
  <c r="D62" i="43"/>
  <c r="D63" i="43"/>
  <c r="D64" i="43"/>
  <c r="D65" i="43"/>
  <c r="D67" i="43"/>
  <c r="E59" i="43"/>
  <c r="B57" i="43"/>
  <c r="AB37" i="34"/>
  <c r="W37" i="34"/>
  <c r="AA37" i="34"/>
  <c r="S37" i="34"/>
  <c r="S31" i="34"/>
  <c r="U28" i="34"/>
  <c r="S13" i="34"/>
  <c r="AC13" i="34"/>
  <c r="D3" i="77"/>
  <c r="M18" i="9"/>
  <c r="B118" i="9" s="1"/>
  <c r="M17" i="67"/>
  <c r="M17" i="15"/>
  <c r="F59" i="15"/>
  <c r="T48" i="71"/>
  <c r="C14" i="71"/>
  <c r="D14" i="71"/>
  <c r="M19" i="9"/>
  <c r="C118" i="9" s="1"/>
  <c r="C14" i="74" s="1"/>
  <c r="C13" i="71"/>
  <c r="O6" i="1"/>
  <c r="P6" i="1"/>
  <c r="C19" i="68"/>
  <c r="L18" i="9"/>
  <c r="L19" i="9"/>
  <c r="S19" i="34"/>
  <c r="C7" i="21"/>
  <c r="C58" i="21"/>
  <c r="D58" i="21" s="1"/>
  <c r="C7" i="36"/>
  <c r="C46" i="36"/>
  <c r="D46" i="36" s="1"/>
  <c r="C7" i="40"/>
  <c r="C63" i="40"/>
  <c r="D63" i="40" s="1"/>
  <c r="C7" i="33"/>
  <c r="I7" i="33"/>
  <c r="C7" i="39"/>
  <c r="C68" i="39"/>
  <c r="C70" i="39" s="1"/>
  <c r="C7" i="34"/>
  <c r="C59" i="34" s="1"/>
  <c r="C7" i="77"/>
  <c r="C59" i="77" s="1"/>
  <c r="S9" i="34"/>
  <c r="H81" i="43"/>
  <c r="H84" i="43"/>
  <c r="F38" i="43"/>
  <c r="F36" i="43"/>
  <c r="F34" i="43"/>
  <c r="O17" i="43"/>
  <c r="M17" i="43"/>
  <c r="K17" i="43"/>
  <c r="G17" i="43"/>
  <c r="E17" i="43"/>
  <c r="C16" i="43"/>
  <c r="D5" i="43"/>
  <c r="F6" i="71"/>
  <c r="T36" i="71"/>
  <c r="F30" i="11"/>
  <c r="F48" i="9"/>
  <c r="O52" i="9"/>
  <c r="F52" i="9"/>
  <c r="F32" i="15"/>
  <c r="F60" i="15"/>
  <c r="D68" i="9"/>
  <c r="F30" i="68"/>
  <c r="F28" i="15"/>
  <c r="F54" i="9"/>
  <c r="D127" i="9"/>
  <c r="D13" i="52"/>
  <c r="L67" i="9"/>
  <c r="M67" i="9"/>
  <c r="L63" i="9"/>
  <c r="M63" i="9"/>
  <c r="M69" i="9"/>
  <c r="N69" i="9"/>
  <c r="L64" i="9"/>
  <c r="M64" i="9"/>
  <c r="L66" i="9"/>
  <c r="M66" i="9"/>
  <c r="L65" i="9"/>
  <c r="M65" i="9"/>
  <c r="W23" i="21"/>
  <c r="AB15" i="21"/>
  <c r="S37" i="21"/>
  <c r="AC37" i="21"/>
  <c r="S17" i="37"/>
  <c r="W17" i="21"/>
  <c r="S32" i="37"/>
  <c r="S27" i="36"/>
  <c r="W39" i="39"/>
  <c r="S30" i="40"/>
  <c r="AZ337" i="3"/>
  <c r="AZ305" i="3"/>
  <c r="AZ362" i="3"/>
  <c r="S25" i="21"/>
  <c r="AA25" i="21"/>
  <c r="AZ504" i="3"/>
  <c r="AZ508" i="3"/>
  <c r="AZ520" i="3"/>
  <c r="AZ534" i="3"/>
  <c r="AZ542" i="3"/>
  <c r="AZ556" i="3"/>
  <c r="AB31" i="33"/>
  <c r="AA14" i="40"/>
  <c r="S14" i="40"/>
  <c r="AB14" i="40"/>
  <c r="U14" i="40"/>
  <c r="S14" i="37"/>
  <c r="AA14" i="37"/>
  <c r="U33" i="40"/>
  <c r="AB33" i="40"/>
  <c r="AB31" i="34"/>
  <c r="U31" i="34"/>
  <c r="AB33" i="37"/>
  <c r="U33" i="37"/>
  <c r="S41" i="39"/>
  <c r="AA41" i="39"/>
  <c r="AA35" i="39"/>
  <c r="S35" i="39"/>
  <c r="AC44" i="39"/>
  <c r="W44" i="39"/>
  <c r="AB34" i="21"/>
  <c r="U34" i="21"/>
  <c r="BA586" i="3"/>
  <c r="AZ586" i="3"/>
  <c r="F12" i="21"/>
  <c r="S12" i="21"/>
  <c r="J12" i="21"/>
  <c r="H12" i="21"/>
  <c r="AB12" i="21"/>
  <c r="J27" i="21"/>
  <c r="H27" i="21"/>
  <c r="U27" i="21"/>
  <c r="F27" i="21"/>
  <c r="H46" i="21"/>
  <c r="U46" i="21"/>
  <c r="J46" i="21"/>
  <c r="F46" i="21"/>
  <c r="AA46" i="21"/>
  <c r="J28" i="33"/>
  <c r="AC28" i="33" s="1"/>
  <c r="F28" i="33"/>
  <c r="AA28" i="33" s="1"/>
  <c r="H28" i="33"/>
  <c r="AB28" i="33" s="1"/>
  <c r="AC34" i="35"/>
  <c r="W34" i="35"/>
  <c r="F14" i="33"/>
  <c r="AA14" i="33" s="1"/>
  <c r="J14" i="33"/>
  <c r="W14" i="33" s="1"/>
  <c r="J12" i="34"/>
  <c r="AC12" i="34"/>
  <c r="H12" i="34"/>
  <c r="F12" i="34"/>
  <c r="S12" i="34"/>
  <c r="J12" i="36"/>
  <c r="H12" i="36"/>
  <c r="U12" i="36"/>
  <c r="F12" i="36"/>
  <c r="J24" i="36"/>
  <c r="AC24" i="36"/>
  <c r="H24" i="36"/>
  <c r="J9" i="37"/>
  <c r="AC9" i="37"/>
  <c r="H9" i="37"/>
  <c r="F9" i="37"/>
  <c r="AA9" i="37"/>
  <c r="AZ558" i="3"/>
  <c r="AC14" i="37"/>
  <c r="W14" i="37"/>
  <c r="S14" i="34"/>
  <c r="AA14" i="34"/>
  <c r="U13" i="33"/>
  <c r="AB26" i="33"/>
  <c r="AC33" i="37"/>
  <c r="W33" i="37"/>
  <c r="AC16" i="35"/>
  <c r="W16" i="35"/>
  <c r="U34" i="39"/>
  <c r="AB34" i="39"/>
  <c r="AA42" i="39"/>
  <c r="S42" i="39"/>
  <c r="AC35" i="39"/>
  <c r="W35" i="39"/>
  <c r="S36" i="39"/>
  <c r="AA36" i="39"/>
  <c r="AB26" i="21"/>
  <c r="U26" i="21"/>
  <c r="H13" i="21"/>
  <c r="J13" i="21"/>
  <c r="J29" i="21"/>
  <c r="H29" i="21"/>
  <c r="J44" i="21"/>
  <c r="H44" i="21"/>
  <c r="F44" i="21"/>
  <c r="H9" i="34"/>
  <c r="U9" i="34" s="1"/>
  <c r="AA35" i="34"/>
  <c r="S35" i="34"/>
  <c r="E126" i="34"/>
  <c r="F126" i="34"/>
  <c r="G126" i="34"/>
  <c r="F44" i="34"/>
  <c r="AB34" i="35"/>
  <c r="U34" i="35"/>
  <c r="H23" i="35"/>
  <c r="AB23" i="35"/>
  <c r="J23" i="35"/>
  <c r="J11" i="36"/>
  <c r="W11" i="36"/>
  <c r="H11" i="36"/>
  <c r="F11" i="36"/>
  <c r="S11" i="36"/>
  <c r="S31" i="36"/>
  <c r="AA31" i="36"/>
  <c r="J12" i="39"/>
  <c r="F12" i="39"/>
  <c r="AA12" i="39"/>
  <c r="J14" i="39"/>
  <c r="F14" i="39"/>
  <c r="AA14" i="39"/>
  <c r="AZ399" i="3"/>
  <c r="AZ404" i="3"/>
  <c r="AZ411" i="3"/>
  <c r="AZ414" i="3"/>
  <c r="AZ421" i="3"/>
  <c r="AZ423" i="3"/>
  <c r="AZ427" i="3"/>
  <c r="AZ430" i="3"/>
  <c r="AZ440" i="3"/>
  <c r="AZ449" i="3"/>
  <c r="AZ453" i="3"/>
  <c r="AZ455" i="3"/>
  <c r="AZ460" i="3"/>
  <c r="AZ471" i="3"/>
  <c r="AZ476" i="3"/>
  <c r="AZ478" i="3"/>
  <c r="AZ484" i="3"/>
  <c r="AZ492" i="3"/>
  <c r="AZ395" i="3"/>
  <c r="AZ208" i="3"/>
  <c r="AZ211" i="3"/>
  <c r="F32" i="33"/>
  <c r="AA32" i="33" s="1"/>
  <c r="J46" i="34"/>
  <c r="AC46" i="34"/>
  <c r="F46" i="34"/>
  <c r="H46" i="34"/>
  <c r="AB46" i="34"/>
  <c r="H38" i="40"/>
  <c r="J38" i="40"/>
  <c r="W38" i="40"/>
  <c r="H39" i="40"/>
  <c r="BL16" i="3"/>
  <c r="AZ231" i="3"/>
  <c r="AZ239" i="3"/>
  <c r="AZ264" i="3"/>
  <c r="AZ282" i="3"/>
  <c r="AZ285" i="3"/>
  <c r="AZ290" i="3"/>
  <c r="AZ293" i="3"/>
  <c r="AZ153" i="3"/>
  <c r="AZ169" i="3"/>
  <c r="AZ185" i="3"/>
  <c r="AZ201" i="3"/>
  <c r="AZ207" i="3"/>
  <c r="AZ25" i="3"/>
  <c r="AZ30" i="3"/>
  <c r="AZ36" i="3"/>
  <c r="AZ40" i="3"/>
  <c r="AZ46" i="3"/>
  <c r="AZ49" i="3"/>
  <c r="BA13" i="3"/>
  <c r="AZ13" i="3" s="1"/>
  <c r="BL15" i="3"/>
  <c r="AZ220" i="3"/>
  <c r="AZ247" i="3"/>
  <c r="AZ56" i="3"/>
  <c r="AZ60" i="3"/>
  <c r="AZ73" i="3"/>
  <c r="AZ78" i="3"/>
  <c r="AZ87" i="3"/>
  <c r="AZ91" i="3"/>
  <c r="AZ95" i="3"/>
  <c r="AZ98" i="3"/>
  <c r="AZ100" i="3"/>
  <c r="AZ104" i="3"/>
  <c r="H21" i="34"/>
  <c r="U21" i="34" s="1"/>
  <c r="F21" i="34"/>
  <c r="S21" i="34" s="1"/>
  <c r="F84" i="34"/>
  <c r="G84" i="34"/>
  <c r="J21" i="34"/>
  <c r="F3" i="35"/>
  <c r="C18" i="71"/>
  <c r="D18" i="71"/>
  <c r="D19" i="71"/>
  <c r="O58" i="71"/>
  <c r="AA20" i="71"/>
  <c r="AA18" i="71"/>
  <c r="AB20" i="71"/>
  <c r="AB18" i="71"/>
  <c r="Y17" i="71"/>
  <c r="Z17" i="71"/>
  <c r="X27" i="71"/>
  <c r="X26" i="71"/>
  <c r="AA23" i="71"/>
  <c r="X29" i="71"/>
  <c r="AA21" i="71"/>
  <c r="B23" i="71"/>
  <c r="B24" i="71"/>
  <c r="S24" i="71"/>
  <c r="X21" i="71"/>
  <c r="Y22" i="71"/>
  <c r="Z22" i="71"/>
  <c r="AB23" i="71"/>
  <c r="Y26" i="71"/>
  <c r="Z26" i="71"/>
  <c r="AB26" i="71"/>
  <c r="E15" i="71"/>
  <c r="E14" i="71"/>
  <c r="E13" i="71"/>
  <c r="E12" i="71"/>
  <c r="V16" i="71"/>
  <c r="P74" i="67"/>
  <c r="Y6" i="71"/>
  <c r="Z6" i="71"/>
  <c r="AB6" i="71"/>
  <c r="W13" i="77"/>
  <c r="S11" i="77"/>
  <c r="W17" i="77"/>
  <c r="U13" i="77"/>
  <c r="AA8" i="77"/>
  <c r="X6" i="71"/>
  <c r="AA6" i="71"/>
  <c r="F45" i="77"/>
  <c r="H45" i="77"/>
  <c r="U45" i="77"/>
  <c r="I25" i="77"/>
  <c r="G25" i="77"/>
  <c r="F21" i="33"/>
  <c r="H21" i="33"/>
  <c r="U21" i="33" s="1"/>
  <c r="J21" i="33"/>
  <c r="W21" i="33" s="1"/>
  <c r="H36" i="33"/>
  <c r="U36" i="33"/>
  <c r="F36" i="33"/>
  <c r="J36" i="33"/>
  <c r="W36" i="33"/>
  <c r="G13" i="3"/>
  <c r="AC44" i="34"/>
  <c r="AB35" i="34"/>
  <c r="F102" i="34"/>
  <c r="F33" i="34"/>
  <c r="S33" i="34" s="1"/>
  <c r="H33" i="34"/>
  <c r="U33" i="34" s="1"/>
  <c r="AC45" i="34"/>
  <c r="W45" i="34"/>
  <c r="S45" i="34"/>
  <c r="H29" i="34"/>
  <c r="AB29" i="34" s="1"/>
  <c r="F42" i="33"/>
  <c r="J42" i="33"/>
  <c r="H42" i="33"/>
  <c r="U42" i="33" s="1"/>
  <c r="S44" i="33"/>
  <c r="K100" i="43"/>
  <c r="C100" i="43"/>
  <c r="M100" i="43"/>
  <c r="I100" i="43"/>
  <c r="E100" i="43"/>
  <c r="D100" i="43"/>
  <c r="BB5" i="3"/>
  <c r="E13" i="6" s="1"/>
  <c r="S47" i="34"/>
  <c r="U47" i="34"/>
  <c r="AZ15" i="3"/>
  <c r="H48" i="43"/>
  <c r="G48" i="43"/>
  <c r="H54" i="43"/>
  <c r="G54" i="43"/>
  <c r="K54" i="43"/>
  <c r="H53" i="43"/>
  <c r="G53" i="43"/>
  <c r="M53" i="43"/>
  <c r="N53" i="43"/>
  <c r="M62" i="43"/>
  <c r="N62" i="43"/>
  <c r="K62" i="43"/>
  <c r="J62" i="43"/>
  <c r="H60" i="43"/>
  <c r="G60" i="43"/>
  <c r="H64" i="43"/>
  <c r="G64" i="43"/>
  <c r="H61" i="43"/>
  <c r="G61" i="43"/>
  <c r="H63" i="43"/>
  <c r="G63" i="43"/>
  <c r="K53" i="43"/>
  <c r="J53" i="43"/>
  <c r="M54" i="43"/>
  <c r="N54" i="43"/>
  <c r="H75" i="43"/>
  <c r="H82" i="43"/>
  <c r="H88" i="43"/>
  <c r="H72" i="43"/>
  <c r="H70" i="43"/>
  <c r="H86" i="43"/>
  <c r="H76" i="43"/>
  <c r="H85" i="43"/>
  <c r="H87" i="43"/>
  <c r="H55" i="43"/>
  <c r="G55" i="43"/>
  <c r="H52" i="43"/>
  <c r="G52" i="43"/>
  <c r="H56" i="43"/>
  <c r="G56" i="43"/>
  <c r="H51" i="43"/>
  <c r="G51" i="43"/>
  <c r="H50" i="43"/>
  <c r="G50" i="43"/>
  <c r="H49" i="43"/>
  <c r="G49" i="43"/>
  <c r="C42" i="1"/>
  <c r="C24" i="12" s="1"/>
  <c r="C65" i="40"/>
  <c r="G7" i="33"/>
  <c r="J29" i="34"/>
  <c r="W29" i="34" s="1"/>
  <c r="AB17" i="34"/>
  <c r="U17" i="34"/>
  <c r="S17" i="34"/>
  <c r="E80" i="34"/>
  <c r="F80" i="34"/>
  <c r="G80" i="34"/>
  <c r="J17" i="34"/>
  <c r="W17" i="34" s="1"/>
  <c r="F10" i="34"/>
  <c r="H67" i="34"/>
  <c r="H10" i="34"/>
  <c r="E87" i="33"/>
  <c r="F87" i="33"/>
  <c r="G87" i="33" s="1"/>
  <c r="H87" i="33" s="1"/>
  <c r="I87" i="33" s="1"/>
  <c r="J87" i="33" s="1"/>
  <c r="K87" i="33" s="1"/>
  <c r="L87" i="33" s="1"/>
  <c r="M87" i="33" s="1"/>
  <c r="AA47" i="34"/>
  <c r="F78" i="34"/>
  <c r="G78" i="34"/>
  <c r="H15" i="34"/>
  <c r="J15" i="34"/>
  <c r="AB47" i="34"/>
  <c r="F29" i="34"/>
  <c r="AA29" i="34" s="1"/>
  <c r="I7" i="34"/>
  <c r="E7" i="33"/>
  <c r="C58" i="33"/>
  <c r="D58" i="33"/>
  <c r="E58" i="33" s="1"/>
  <c r="E7" i="34"/>
  <c r="G7" i="34"/>
  <c r="C5" i="43"/>
  <c r="AC36" i="33"/>
  <c r="E11" i="71"/>
  <c r="E10" i="71"/>
  <c r="E9" i="71"/>
  <c r="E8" i="71"/>
  <c r="V12" i="71"/>
  <c r="AC21" i="34"/>
  <c r="W21" i="34"/>
  <c r="AC38" i="40"/>
  <c r="U46" i="34"/>
  <c r="W46" i="34"/>
  <c r="S14" i="39"/>
  <c r="S12" i="39"/>
  <c r="AA11" i="36"/>
  <c r="AC11" i="36"/>
  <c r="U23" i="35"/>
  <c r="AB44" i="21"/>
  <c r="U44" i="21"/>
  <c r="U29" i="21"/>
  <c r="AB29" i="21"/>
  <c r="W13" i="21"/>
  <c r="AC13" i="21"/>
  <c r="S9" i="37"/>
  <c r="W9" i="37"/>
  <c r="W24" i="36"/>
  <c r="AB12" i="36"/>
  <c r="AA12" i="34"/>
  <c r="W12" i="34"/>
  <c r="S14" i="33"/>
  <c r="W46" i="21"/>
  <c r="AC46" i="21"/>
  <c r="AA27" i="21"/>
  <c r="S27" i="21"/>
  <c r="W27" i="21"/>
  <c r="AC27" i="21"/>
  <c r="AC12" i="21"/>
  <c r="W12" i="21"/>
  <c r="AA36" i="33"/>
  <c r="S36" i="33"/>
  <c r="AA21" i="33"/>
  <c r="S21" i="33"/>
  <c r="AA45" i="77"/>
  <c r="S45" i="77"/>
  <c r="AB21" i="34"/>
  <c r="U39" i="40"/>
  <c r="AB39" i="40"/>
  <c r="AB38" i="40"/>
  <c r="U38" i="40"/>
  <c r="AA46" i="34"/>
  <c r="S46" i="34"/>
  <c r="AC14" i="39"/>
  <c r="W14" i="39"/>
  <c r="AC12" i="39"/>
  <c r="W12" i="39"/>
  <c r="AB11" i="36"/>
  <c r="U11" i="36"/>
  <c r="AC23" i="35"/>
  <c r="W23" i="35"/>
  <c r="AA44" i="34"/>
  <c r="S44" i="34"/>
  <c r="AB9" i="34"/>
  <c r="AA44" i="21"/>
  <c r="S44" i="21"/>
  <c r="AC44" i="21"/>
  <c r="W44" i="21"/>
  <c r="AC29" i="21"/>
  <c r="W29" i="21"/>
  <c r="AB13" i="21"/>
  <c r="U13" i="21"/>
  <c r="AB9" i="37"/>
  <c r="U9" i="37"/>
  <c r="AB24" i="36"/>
  <c r="U24" i="36"/>
  <c r="AA12" i="36"/>
  <c r="S12" i="36"/>
  <c r="W12" i="36"/>
  <c r="AC12" i="36"/>
  <c r="AB12" i="34"/>
  <c r="U12" i="34"/>
  <c r="AC14" i="33"/>
  <c r="S46" i="21"/>
  <c r="AB46" i="21"/>
  <c r="AB27" i="21"/>
  <c r="U12" i="21"/>
  <c r="AA12" i="21"/>
  <c r="C30" i="11"/>
  <c r="C48" i="11"/>
  <c r="AB33" i="34"/>
  <c r="G102" i="34"/>
  <c r="H102" i="34" s="1"/>
  <c r="I102" i="34" s="1"/>
  <c r="J102" i="34" s="1"/>
  <c r="K102" i="34" s="1"/>
  <c r="L102" i="34" s="1"/>
  <c r="M102" i="34" s="1"/>
  <c r="J33" i="34"/>
  <c r="AC33" i="34" s="1"/>
  <c r="AB45" i="34"/>
  <c r="U45" i="34"/>
  <c r="AC42" i="33"/>
  <c r="W42" i="33"/>
  <c r="D3" i="33"/>
  <c r="D3" i="34"/>
  <c r="M50" i="43"/>
  <c r="N50" i="43"/>
  <c r="K50" i="43"/>
  <c r="M56" i="43"/>
  <c r="N56" i="43"/>
  <c r="K56" i="43"/>
  <c r="J56" i="43"/>
  <c r="M55" i="43"/>
  <c r="N55" i="43"/>
  <c r="K55" i="43"/>
  <c r="J55" i="43"/>
  <c r="D48" i="43"/>
  <c r="M63" i="43"/>
  <c r="N63" i="43"/>
  <c r="K63" i="43"/>
  <c r="J63" i="43"/>
  <c r="M64" i="43"/>
  <c r="N64" i="43"/>
  <c r="K64" i="43"/>
  <c r="J64" i="43"/>
  <c r="K49" i="43"/>
  <c r="M49" i="43"/>
  <c r="N49" i="43"/>
  <c r="K51" i="43"/>
  <c r="J51" i="43"/>
  <c r="M51" i="43"/>
  <c r="N51" i="43"/>
  <c r="M52" i="43"/>
  <c r="N52" i="43"/>
  <c r="K52" i="43"/>
  <c r="J52" i="43"/>
  <c r="D54" i="43"/>
  <c r="J54" i="43"/>
  <c r="D53" i="43"/>
  <c r="C30" i="68"/>
  <c r="C31" i="12"/>
  <c r="C30" i="69"/>
  <c r="C77" i="9"/>
  <c r="C74" i="9" s="1"/>
  <c r="C28" i="67"/>
  <c r="I67" i="34"/>
  <c r="J10" i="34"/>
  <c r="AB10" i="34"/>
  <c r="U10" i="34"/>
  <c r="AA10" i="34"/>
  <c r="S10" i="34"/>
  <c r="AB15" i="34"/>
  <c r="U15" i="34"/>
  <c r="AC15" i="34"/>
  <c r="W15" i="34"/>
  <c r="AC47" i="34"/>
  <c r="W47" i="34"/>
  <c r="W33" i="34"/>
  <c r="D56" i="43"/>
  <c r="D50" i="43"/>
  <c r="J50" i="43"/>
  <c r="D49" i="43"/>
  <c r="J49" i="43"/>
  <c r="AC10" i="34"/>
  <c r="W10" i="34"/>
  <c r="G14" i="74"/>
  <c r="B6" i="74"/>
  <c r="B5" i="74"/>
  <c r="E7" i="71"/>
  <c r="V8" i="71"/>
  <c r="AZ16" i="3"/>
  <c r="BL5" i="3"/>
  <c r="B11" i="71"/>
  <c r="B10" i="71"/>
  <c r="B9" i="71"/>
  <c r="B8" i="71"/>
  <c r="S12" i="71"/>
  <c r="D51" i="43"/>
  <c r="E48" i="43"/>
  <c r="B46" i="43"/>
  <c r="C24" i="43"/>
  <c r="AB45" i="77"/>
  <c r="AB36" i="33"/>
  <c r="M61" i="43"/>
  <c r="N61" i="43"/>
  <c r="K61" i="43"/>
  <c r="J61" i="43"/>
  <c r="M60" i="43"/>
  <c r="N60" i="43"/>
  <c r="K60" i="43"/>
  <c r="J60" i="43"/>
  <c r="AA42" i="33"/>
  <c r="S42" i="33"/>
  <c r="Q58" i="71"/>
  <c r="Q57" i="71"/>
  <c r="P22" i="43"/>
  <c r="AC28" i="34"/>
  <c r="W28" i="34"/>
  <c r="AB43" i="34"/>
  <c r="P25" i="43"/>
  <c r="K48" i="43"/>
  <c r="J48" i="43"/>
  <c r="M48" i="43"/>
  <c r="N48" i="43"/>
  <c r="F48" i="68"/>
  <c r="D13" i="71"/>
  <c r="C12" i="71"/>
  <c r="AC43" i="34"/>
  <c r="S16" i="71"/>
  <c r="AA43" i="34"/>
  <c r="S43" i="34"/>
  <c r="AB14" i="37"/>
  <c r="U14" i="37"/>
  <c r="AC31" i="40"/>
  <c r="W31" i="40"/>
  <c r="D12" i="52"/>
  <c r="H67" i="43"/>
  <c r="G67" i="43"/>
  <c r="H66" i="43"/>
  <c r="G66" i="43"/>
  <c r="H59" i="43"/>
  <c r="G59" i="43"/>
  <c r="H65" i="43"/>
  <c r="G65" i="43"/>
  <c r="AC11" i="34"/>
  <c r="AA11" i="34"/>
  <c r="D10" i="52"/>
  <c r="AB11" i="34"/>
  <c r="U11" i="37"/>
  <c r="AB32" i="39"/>
  <c r="U33" i="21"/>
  <c r="S19" i="37"/>
  <c r="AC15" i="21"/>
  <c r="AB35" i="37"/>
  <c r="S20" i="36"/>
  <c r="W27" i="40"/>
  <c r="AB20" i="36"/>
  <c r="AC27" i="36"/>
  <c r="AB27" i="40"/>
  <c r="U12" i="37"/>
  <c r="AC28" i="21"/>
  <c r="AB30" i="21"/>
  <c r="W40" i="40"/>
  <c r="AC40" i="40"/>
  <c r="F23" i="36"/>
  <c r="H23" i="36"/>
  <c r="F44" i="39"/>
  <c r="F40" i="40"/>
  <c r="H40" i="40"/>
  <c r="F34" i="35"/>
  <c r="J36" i="35"/>
  <c r="AZ398" i="3"/>
  <c r="AZ410" i="3"/>
  <c r="AZ415" i="3"/>
  <c r="AZ418" i="3"/>
  <c r="AZ420" i="3"/>
  <c r="AZ425" i="3"/>
  <c r="AZ438" i="3"/>
  <c r="AZ444" i="3"/>
  <c r="AZ448" i="3"/>
  <c r="AZ451" i="3"/>
  <c r="AZ461" i="3"/>
  <c r="AZ466" i="3"/>
  <c r="AZ470" i="3"/>
  <c r="AZ474" i="3"/>
  <c r="AZ482" i="3"/>
  <c r="AZ487" i="3"/>
  <c r="AZ397" i="3"/>
  <c r="AZ260" i="3"/>
  <c r="AZ267" i="3"/>
  <c r="AZ278" i="3"/>
  <c r="AZ289" i="3"/>
  <c r="AZ302" i="3"/>
  <c r="AZ113" i="3"/>
  <c r="AZ126" i="3"/>
  <c r="AZ129" i="3"/>
  <c r="AZ141" i="3"/>
  <c r="AZ161" i="3"/>
  <c r="AZ23" i="3"/>
  <c r="AZ64" i="3"/>
  <c r="AZ90" i="3"/>
  <c r="AZ96" i="3"/>
  <c r="AZ108" i="3"/>
  <c r="D63" i="71"/>
  <c r="N57" i="71"/>
  <c r="C66" i="71"/>
  <c r="D66" i="71"/>
  <c r="AA17" i="71"/>
  <c r="X20" i="71"/>
  <c r="X18" i="71"/>
  <c r="Y20" i="71"/>
  <c r="Z20" i="71"/>
  <c r="Y19" i="71"/>
  <c r="Z19" i="71"/>
  <c r="Y23" i="71"/>
  <c r="Z23" i="71"/>
  <c r="B8" i="1"/>
  <c r="E8" i="1"/>
  <c r="C40" i="68"/>
  <c r="AA21" i="37"/>
  <c r="AC29" i="39"/>
  <c r="AC25" i="40"/>
  <c r="S21" i="21"/>
  <c r="S18" i="36"/>
  <c r="Y21" i="71"/>
  <c r="Z21" i="71"/>
  <c r="C22" i="71"/>
  <c r="Y25" i="71"/>
  <c r="Z25" i="71"/>
  <c r="AC19" i="77"/>
  <c r="W19" i="77"/>
  <c r="AA25" i="77"/>
  <c r="S25" i="77"/>
  <c r="AC28" i="77"/>
  <c r="W28" i="77"/>
  <c r="AC30" i="77"/>
  <c r="W30" i="77"/>
  <c r="J9" i="77"/>
  <c r="H9" i="77"/>
  <c r="G67" i="77"/>
  <c r="H67" i="77"/>
  <c r="I67" i="77"/>
  <c r="J10" i="77"/>
  <c r="H10" i="77"/>
  <c r="F10" i="77"/>
  <c r="J12" i="77"/>
  <c r="H12" i="77"/>
  <c r="F12" i="77"/>
  <c r="J14" i="77"/>
  <c r="H14" i="77"/>
  <c r="F14" i="77"/>
  <c r="E82" i="77"/>
  <c r="F82" i="77"/>
  <c r="G82" i="77"/>
  <c r="H19" i="77"/>
  <c r="AH10" i="43"/>
  <c r="AD10" i="43"/>
  <c r="Z10" i="43"/>
  <c r="AG10" i="43"/>
  <c r="AC10" i="43"/>
  <c r="N56" i="9"/>
  <c r="W27" i="77"/>
  <c r="S23" i="77"/>
  <c r="AA15" i="77"/>
  <c r="S15" i="77"/>
  <c r="AB27" i="77"/>
  <c r="U27" i="77"/>
  <c r="F84" i="77"/>
  <c r="G84" i="77"/>
  <c r="J21" i="77"/>
  <c r="H21" i="77"/>
  <c r="F21" i="77"/>
  <c r="F43" i="33"/>
  <c r="J43" i="33"/>
  <c r="F23" i="33"/>
  <c r="J23" i="33"/>
  <c r="W23" i="33" s="1"/>
  <c r="J17" i="33"/>
  <c r="AC17" i="33" s="1"/>
  <c r="AA23" i="33"/>
  <c r="S23" i="33"/>
  <c r="AA43" i="33"/>
  <c r="S43" i="33"/>
  <c r="U21" i="77"/>
  <c r="AB21" i="77"/>
  <c r="U14" i="77"/>
  <c r="AB14" i="77"/>
  <c r="AA12" i="77"/>
  <c r="S12" i="77"/>
  <c r="W12" i="77"/>
  <c r="AC12" i="77"/>
  <c r="U10" i="77"/>
  <c r="AB10" i="77"/>
  <c r="W9" i="77"/>
  <c r="AC9" i="77"/>
  <c r="C23" i="71"/>
  <c r="D22" i="71"/>
  <c r="AC36" i="35"/>
  <c r="W36" i="35"/>
  <c r="AB40" i="40"/>
  <c r="U40" i="40"/>
  <c r="AA44" i="39"/>
  <c r="S44" i="39"/>
  <c r="AA23" i="36"/>
  <c r="S23" i="36"/>
  <c r="K65" i="43"/>
  <c r="J65" i="43"/>
  <c r="M65" i="43"/>
  <c r="N65" i="43"/>
  <c r="M66" i="43"/>
  <c r="N66" i="43"/>
  <c r="K66" i="43"/>
  <c r="J66" i="43"/>
  <c r="T12" i="71"/>
  <c r="D12" i="71"/>
  <c r="U12" i="71"/>
  <c r="C11" i="71"/>
  <c r="E6" i="71"/>
  <c r="E5" i="71"/>
  <c r="AC43" i="33"/>
  <c r="W43" i="33"/>
  <c r="S21" i="77"/>
  <c r="AA21" i="77"/>
  <c r="AC21" i="77"/>
  <c r="W21" i="77"/>
  <c r="AB19" i="77"/>
  <c r="U19" i="77"/>
  <c r="AA14" i="77"/>
  <c r="S14" i="77"/>
  <c r="AC14" i="77"/>
  <c r="W14" i="77"/>
  <c r="AB12" i="77"/>
  <c r="U12" i="77"/>
  <c r="S10" i="77"/>
  <c r="AA10" i="77"/>
  <c r="AC10" i="77"/>
  <c r="W10" i="77"/>
  <c r="AB9" i="77"/>
  <c r="U9" i="77"/>
  <c r="S34" i="35"/>
  <c r="AA34" i="35"/>
  <c r="AA40" i="40"/>
  <c r="S40" i="40"/>
  <c r="AB23" i="36"/>
  <c r="U23" i="36"/>
  <c r="K59" i="43"/>
  <c r="J59" i="43"/>
  <c r="M59" i="43"/>
  <c r="N59" i="43"/>
  <c r="M67" i="43"/>
  <c r="N67" i="43"/>
  <c r="K67" i="43"/>
  <c r="J67" i="43"/>
  <c r="N48" i="35"/>
  <c r="S8" i="71"/>
  <c r="B7" i="71"/>
  <c r="B6" i="71"/>
  <c r="B5" i="71"/>
  <c r="C10" i="71"/>
  <c r="D11" i="71"/>
  <c r="O48" i="35"/>
  <c r="J7" i="35"/>
  <c r="AC7" i="35" s="1"/>
  <c r="V38" i="35" s="1"/>
  <c r="I38" i="35" s="1"/>
  <c r="C24" i="71"/>
  <c r="D23" i="71"/>
  <c r="C9" i="71"/>
  <c r="D10" i="71"/>
  <c r="T24" i="71"/>
  <c r="D24" i="71"/>
  <c r="W7" i="35"/>
  <c r="C8" i="71"/>
  <c r="D9" i="71"/>
  <c r="C7" i="71"/>
  <c r="D8" i="71"/>
  <c r="U8" i="71"/>
  <c r="T8" i="71"/>
  <c r="C6" i="71"/>
  <c r="D6" i="71"/>
  <c r="C5" i="71"/>
  <c r="D7" i="71"/>
  <c r="D5" i="71"/>
  <c r="M20" i="43"/>
  <c r="F34" i="68"/>
  <c r="E11" i="76"/>
  <c r="D2" i="35"/>
  <c r="D2" i="21"/>
  <c r="AO11" i="1"/>
  <c r="E13" i="76"/>
  <c r="C19" i="9"/>
  <c r="AO10" i="1"/>
  <c r="D2" i="37"/>
  <c r="B9" i="76"/>
  <c r="D2" i="36"/>
  <c r="AO13" i="1"/>
  <c r="D2" i="34"/>
  <c r="B7" i="76"/>
  <c r="F20" i="31"/>
  <c r="E12" i="76"/>
  <c r="E7" i="76"/>
  <c r="E8" i="76"/>
  <c r="B13" i="76"/>
  <c r="D35" i="9"/>
  <c r="D2" i="33"/>
  <c r="AO8" i="1"/>
  <c r="E2" i="69"/>
  <c r="B12" i="76"/>
  <c r="D34" i="9"/>
  <c r="AO6" i="1"/>
  <c r="D20" i="9"/>
  <c r="B10" i="76"/>
  <c r="AO12" i="1"/>
  <c r="C20" i="9"/>
  <c r="B8" i="76"/>
  <c r="E10" i="76"/>
  <c r="B11" i="76"/>
  <c r="D19" i="9"/>
  <c r="AO9" i="1"/>
  <c r="E9" i="76"/>
  <c r="AO7" i="1"/>
  <c r="A4" i="52" l="1"/>
  <c r="B41" i="72" s="1"/>
  <c r="AB42" i="33"/>
  <c r="W40" i="34"/>
  <c r="AA40" i="34"/>
  <c r="H32" i="33"/>
  <c r="AB32" i="33" s="1"/>
  <c r="G101" i="33"/>
  <c r="H101" i="33" s="1"/>
  <c r="I101" i="33" s="1"/>
  <c r="J101" i="33" s="1"/>
  <c r="K101" i="33" s="1"/>
  <c r="L101" i="33" s="1"/>
  <c r="M101" i="33" s="1"/>
  <c r="F88" i="34"/>
  <c r="H25" i="34"/>
  <c r="U25" i="34" s="1"/>
  <c r="F25" i="34"/>
  <c r="S25" i="34" s="1"/>
  <c r="AB25" i="34"/>
  <c r="F29" i="77"/>
  <c r="AA29" i="77"/>
  <c r="S29" i="77"/>
  <c r="U29" i="77"/>
  <c r="W29" i="77"/>
  <c r="S23" i="34"/>
  <c r="AA21" i="34"/>
  <c r="AC17" i="34"/>
  <c r="U45" i="33"/>
  <c r="AB45" i="33"/>
  <c r="U46" i="33"/>
  <c r="S46" i="33"/>
  <c r="AC45" i="33"/>
  <c r="S45" i="33"/>
  <c r="U44" i="33"/>
  <c r="W44" i="33"/>
  <c r="U40" i="33"/>
  <c r="W37" i="33"/>
  <c r="W32" i="33"/>
  <c r="AC21" i="33"/>
  <c r="AB21" i="33"/>
  <c r="W35" i="33"/>
  <c r="AC31" i="33"/>
  <c r="W31" i="33"/>
  <c r="U28" i="33"/>
  <c r="W27" i="33"/>
  <c r="AC23" i="33"/>
  <c r="W17" i="33"/>
  <c r="W12" i="33"/>
  <c r="AC12" i="33"/>
  <c r="U14" i="33"/>
  <c r="AB14" i="33"/>
  <c r="F12" i="33"/>
  <c r="S10" i="33"/>
  <c r="F11" i="12"/>
  <c r="C23" i="12" s="1"/>
  <c r="G22" i="11"/>
  <c r="G26" i="12"/>
  <c r="G22" i="68"/>
  <c r="G22" i="69"/>
  <c r="G5" i="3"/>
  <c r="B3" i="3" s="1"/>
  <c r="E549" i="3"/>
  <c r="E257" i="3"/>
  <c r="E449" i="3"/>
  <c r="E84" i="3"/>
  <c r="E159" i="3"/>
  <c r="E242" i="3"/>
  <c r="E427" i="3"/>
  <c r="E390" i="3"/>
  <c r="E45" i="3"/>
  <c r="E147" i="3"/>
  <c r="E286" i="3"/>
  <c r="E64" i="3"/>
  <c r="E164" i="3"/>
  <c r="E291" i="3"/>
  <c r="E321" i="3"/>
  <c r="E231" i="3"/>
  <c r="E481" i="3"/>
  <c r="E527" i="3"/>
  <c r="E60" i="3"/>
  <c r="E82" i="3"/>
  <c r="E426" i="3"/>
  <c r="E251" i="3"/>
  <c r="E241" i="3"/>
  <c r="E380" i="3"/>
  <c r="AS6" i="3"/>
  <c r="E29" i="6"/>
  <c r="K15" i="1" s="1"/>
  <c r="F30" i="6"/>
  <c r="G30" i="6"/>
  <c r="G31" i="6" s="1"/>
  <c r="E28" i="6"/>
  <c r="E11" i="6"/>
  <c r="E61" i="39" s="1"/>
  <c r="BA14" i="3"/>
  <c r="E63" i="40"/>
  <c r="D65" i="40"/>
  <c r="L1" i="73"/>
  <c r="J1" i="73"/>
  <c r="H7" i="35"/>
  <c r="F7" i="35"/>
  <c r="C48" i="68"/>
  <c r="C28" i="15"/>
  <c r="C13" i="12"/>
  <c r="C48" i="69"/>
  <c r="B3" i="74"/>
  <c r="F15" i="4"/>
  <c r="F6" i="1"/>
  <c r="G6" i="1" s="1"/>
  <c r="E350" i="3"/>
  <c r="E227" i="3"/>
  <c r="E27" i="3"/>
  <c r="E243" i="3"/>
  <c r="E460" i="3"/>
  <c r="E280" i="3"/>
  <c r="E524" i="3"/>
  <c r="AF6" i="3"/>
  <c r="E287" i="3"/>
  <c r="E245" i="3"/>
  <c r="E188" i="3"/>
  <c r="E224" i="3"/>
  <c r="E569" i="3"/>
  <c r="E256" i="3"/>
  <c r="E146" i="3"/>
  <c r="E219" i="3"/>
  <c r="E95" i="3"/>
  <c r="E24" i="3"/>
  <c r="E101" i="3"/>
  <c r="E273" i="3"/>
  <c r="E196" i="3"/>
  <c r="E564" i="3"/>
  <c r="E222" i="3"/>
  <c r="E375" i="3"/>
  <c r="E534" i="3"/>
  <c r="E439" i="3"/>
  <c r="T6" i="3"/>
  <c r="E459" i="3"/>
  <c r="E122" i="3"/>
  <c r="E465" i="3"/>
  <c r="E331" i="3"/>
  <c r="E144" i="3"/>
  <c r="E77" i="3"/>
  <c r="P6" i="3"/>
  <c r="E58" i="3"/>
  <c r="E429" i="3"/>
  <c r="E474" i="3"/>
  <c r="E66" i="3"/>
  <c r="E357" i="3"/>
  <c r="E483" i="3"/>
  <c r="E123" i="3"/>
  <c r="E51" i="3"/>
  <c r="S6" i="3"/>
  <c r="E523" i="3"/>
  <c r="E503" i="3"/>
  <c r="V6" i="3"/>
  <c r="E385" i="3"/>
  <c r="E298" i="3"/>
  <c r="E235" i="3"/>
  <c r="E325" i="3"/>
  <c r="E488" i="3"/>
  <c r="E137" i="3"/>
  <c r="E383" i="3"/>
  <c r="E434" i="3"/>
  <c r="E150" i="3"/>
  <c r="E138" i="3"/>
  <c r="E336" i="3"/>
  <c r="E415" i="3"/>
  <c r="E259" i="3"/>
  <c r="E54" i="3"/>
  <c r="E104" i="3"/>
  <c r="E484" i="3"/>
  <c r="E28" i="3"/>
  <c r="E581" i="3"/>
  <c r="E302" i="3"/>
  <c r="E204" i="3"/>
  <c r="E586" i="3"/>
  <c r="E359" i="3"/>
  <c r="E299" i="3"/>
  <c r="E312" i="3"/>
  <c r="E246" i="3"/>
  <c r="AR11" i="1"/>
  <c r="T8" i="1"/>
  <c r="S28" i="33"/>
  <c r="W8" i="34"/>
  <c r="S8" i="34"/>
  <c r="AB8" i="34"/>
  <c r="W28" i="33"/>
  <c r="U32" i="33"/>
  <c r="S32" i="33"/>
  <c r="S26" i="33"/>
  <c r="AA25" i="33"/>
  <c r="S25" i="33"/>
  <c r="H25" i="33"/>
  <c r="AA45" i="34"/>
  <c r="B13" i="49"/>
  <c r="D13" i="49" s="1"/>
  <c r="F13" i="49"/>
  <c r="H13" i="49" s="1"/>
  <c r="AA33" i="34"/>
  <c r="U29" i="34"/>
  <c r="S29" i="34"/>
  <c r="AC29" i="34"/>
  <c r="W9" i="34"/>
  <c r="AC9" i="34"/>
  <c r="E56" i="40"/>
  <c r="AZ14" i="3"/>
  <c r="AZ5" i="3" s="1"/>
  <c r="E3" i="6" s="1"/>
  <c r="BA5" i="3"/>
  <c r="AH6" i="1"/>
  <c r="D29" i="43"/>
  <c r="D1" i="43" s="1"/>
  <c r="B14" i="74"/>
  <c r="E19" i="6"/>
  <c r="E10" i="6"/>
  <c r="E12" i="6"/>
  <c r="E57" i="40" s="1"/>
  <c r="T9" i="1"/>
  <c r="T13" i="1"/>
  <c r="E570" i="3"/>
  <c r="E533" i="3"/>
  <c r="E17" i="3"/>
  <c r="E99" i="3"/>
  <c r="E369" i="3"/>
  <c r="E563" i="3"/>
  <c r="E244" i="3"/>
  <c r="E576" i="3"/>
  <c r="E487" i="3"/>
  <c r="E374" i="3"/>
  <c r="E538" i="3"/>
  <c r="E303" i="3"/>
  <c r="E560" i="3"/>
  <c r="E107" i="3"/>
  <c r="E477" i="3"/>
  <c r="E583" i="3"/>
  <c r="E552" i="3"/>
  <c r="E587" i="3"/>
  <c r="E546" i="3"/>
  <c r="E92" i="3"/>
  <c r="E272" i="3"/>
  <c r="E317" i="3"/>
  <c r="E29" i="3"/>
  <c r="E103" i="3"/>
  <c r="E310" i="3"/>
  <c r="E233" i="3"/>
  <c r="J6" i="3"/>
  <c r="AL6" i="3"/>
  <c r="E62" i="3"/>
  <c r="E405" i="3"/>
  <c r="E433" i="3"/>
  <c r="E175" i="3"/>
  <c r="E535" i="3"/>
  <c r="E566" i="3"/>
  <c r="E458" i="3"/>
  <c r="E436" i="3"/>
  <c r="E297" i="3"/>
  <c r="E540" i="3"/>
  <c r="E584" i="3"/>
  <c r="E470" i="3"/>
  <c r="E265" i="3"/>
  <c r="E55" i="3"/>
  <c r="E353" i="3"/>
  <c r="E207" i="3"/>
  <c r="E114" i="3"/>
  <c r="E288" i="3"/>
  <c r="E37" i="3"/>
  <c r="E363" i="3"/>
  <c r="E98" i="3"/>
  <c r="E127" i="3"/>
  <c r="E332" i="3"/>
  <c r="E199" i="3"/>
  <c r="E168" i="3"/>
  <c r="E14" i="3"/>
  <c r="E194" i="3"/>
  <c r="E50" i="3"/>
  <c r="E21" i="3"/>
  <c r="E25" i="3"/>
  <c r="E482" i="3"/>
  <c r="E158" i="3"/>
  <c r="E74" i="3"/>
  <c r="E19" i="3"/>
  <c r="AJ6" i="3"/>
  <c r="E305" i="3"/>
  <c r="E197" i="3"/>
  <c r="E124" i="3"/>
  <c r="E421" i="3"/>
  <c r="E201" i="3"/>
  <c r="E133" i="3"/>
  <c r="E478" i="3"/>
  <c r="E181" i="3"/>
  <c r="E403" i="3"/>
  <c r="E126" i="3"/>
  <c r="AM6" i="3"/>
  <c r="E267" i="3"/>
  <c r="E314" i="3"/>
  <c r="E275" i="3"/>
  <c r="E497" i="3"/>
  <c r="E180" i="3"/>
  <c r="E511" i="3"/>
  <c r="E131" i="3"/>
  <c r="E195" i="3"/>
  <c r="E428" i="3"/>
  <c r="E135" i="3"/>
  <c r="E400" i="3"/>
  <c r="E491" i="3"/>
  <c r="E76" i="3"/>
  <c r="E486" i="3"/>
  <c r="E468" i="3"/>
  <c r="E473" i="3"/>
  <c r="E264" i="3"/>
  <c r="E276" i="3"/>
  <c r="E171" i="3"/>
  <c r="E253" i="3"/>
  <c r="E190" i="3"/>
  <c r="E274" i="3"/>
  <c r="E36" i="3"/>
  <c r="AH6" i="3"/>
  <c r="E34" i="3"/>
  <c r="E229" i="3"/>
  <c r="E338" i="3"/>
  <c r="E501" i="3"/>
  <c r="AI6" i="3"/>
  <c r="E125" i="3"/>
  <c r="E320" i="3"/>
  <c r="E285" i="3"/>
  <c r="E545" i="3"/>
  <c r="E161" i="3"/>
  <c r="E268" i="3"/>
  <c r="E311" i="3"/>
  <c r="E189" i="3"/>
  <c r="E561" i="3"/>
  <c r="E388" i="3"/>
  <c r="E565" i="3"/>
  <c r="E165" i="3"/>
  <c r="E301" i="3"/>
  <c r="E223" i="3"/>
  <c r="E105" i="3"/>
  <c r="E493" i="3"/>
  <c r="E69" i="3"/>
  <c r="E399" i="3"/>
  <c r="E453" i="3"/>
  <c r="E89" i="3"/>
  <c r="E327" i="3"/>
  <c r="E502" i="3"/>
  <c r="E466" i="3"/>
  <c r="E430" i="3"/>
  <c r="E255" i="3"/>
  <c r="E509" i="3"/>
  <c r="E216" i="3"/>
  <c r="E343" i="3"/>
  <c r="AN6" i="3"/>
  <c r="E177" i="3"/>
  <c r="Q6" i="3"/>
  <c r="E397" i="3"/>
  <c r="E271" i="3"/>
  <c r="E411" i="3"/>
  <c r="E432" i="3"/>
  <c r="E557" i="3"/>
  <c r="E395" i="3"/>
  <c r="E262" i="3"/>
  <c r="AD6" i="3"/>
  <c r="E437" i="3"/>
  <c r="E424" i="3"/>
  <c r="AE6" i="3"/>
  <c r="E444" i="3"/>
  <c r="E404" i="3"/>
  <c r="E88" i="3"/>
  <c r="E121" i="3"/>
  <c r="E166" i="3"/>
  <c r="E295" i="3"/>
  <c r="E316" i="3"/>
  <c r="E334" i="3"/>
  <c r="E30" i="3"/>
  <c r="E480" i="3"/>
  <c r="E467" i="3"/>
  <c r="E160" i="3"/>
  <c r="E249" i="3"/>
  <c r="E492" i="3"/>
  <c r="E33" i="3"/>
  <c r="E355" i="3"/>
  <c r="E157" i="3"/>
  <c r="E452" i="3"/>
  <c r="E202" i="3"/>
  <c r="E43" i="3"/>
  <c r="E522" i="3"/>
  <c r="E218" i="3"/>
  <c r="E296" i="3"/>
  <c r="E469" i="3"/>
  <c r="E537" i="3"/>
  <c r="E475" i="3"/>
  <c r="E387" i="3"/>
  <c r="I4" i="6"/>
  <c r="E193" i="3"/>
  <c r="I6" i="3"/>
  <c r="E145" i="3"/>
  <c r="E443" i="3"/>
  <c r="E550" i="3"/>
  <c r="E542" i="3"/>
  <c r="E562" i="3"/>
  <c r="E520" i="3"/>
  <c r="E57" i="3"/>
  <c r="E240" i="3"/>
  <c r="E378" i="3"/>
  <c r="E110" i="3"/>
  <c r="E65" i="3"/>
  <c r="E386" i="3"/>
  <c r="E250" i="3"/>
  <c r="E376" i="3"/>
  <c r="E356" i="3"/>
  <c r="E20" i="3"/>
  <c r="R6" i="3"/>
  <c r="E496" i="3"/>
  <c r="E134" i="3"/>
  <c r="E213" i="3"/>
  <c r="E313" i="3"/>
  <c r="E368" i="3"/>
  <c r="E485" i="3"/>
  <c r="E554" i="3"/>
  <c r="E149" i="3"/>
  <c r="E438" i="3"/>
  <c r="E435" i="3"/>
  <c r="E56" i="3"/>
  <c r="E132" i="3"/>
  <c r="E292" i="3"/>
  <c r="E544" i="3"/>
  <c r="E446" i="3"/>
  <c r="E209" i="3"/>
  <c r="E48" i="3"/>
  <c r="E136" i="3"/>
  <c r="E119" i="3"/>
  <c r="E324" i="3"/>
  <c r="E16" i="3"/>
  <c r="E13" i="3"/>
  <c r="E111" i="3"/>
  <c r="E279" i="3"/>
  <c r="E318" i="3"/>
  <c r="E75" i="3"/>
  <c r="E170" i="3"/>
  <c r="E392" i="3"/>
  <c r="E340" i="3"/>
  <c r="E118" i="3"/>
  <c r="E513" i="3"/>
  <c r="E507" i="3"/>
  <c r="E495" i="3"/>
  <c r="E252" i="3"/>
  <c r="E304" i="3"/>
  <c r="E547" i="3"/>
  <c r="E71" i="3"/>
  <c r="E425" i="3"/>
  <c r="E178" i="3"/>
  <c r="E431" i="3"/>
  <c r="E571" i="3"/>
  <c r="E341" i="3"/>
  <c r="E532" i="3"/>
  <c r="E192" i="3"/>
  <c r="E232" i="3"/>
  <c r="E52" i="3"/>
  <c r="E35" i="3"/>
  <c r="E198" i="3"/>
  <c r="E15" i="3"/>
  <c r="E346" i="3"/>
  <c r="E294" i="3"/>
  <c r="E329" i="3"/>
  <c r="E396" i="3"/>
  <c r="E319" i="3"/>
  <c r="AB6" i="3"/>
  <c r="E143" i="3"/>
  <c r="E539" i="3"/>
  <c r="E221" i="3"/>
  <c r="E393" i="3"/>
  <c r="E445" i="3"/>
  <c r="E156" i="3"/>
  <c r="Z6" i="3"/>
  <c r="E541" i="3"/>
  <c r="E558" i="3"/>
  <c r="E270" i="3"/>
  <c r="E91" i="3"/>
  <c r="E172" i="3"/>
  <c r="E585" i="3"/>
  <c r="E367" i="3"/>
  <c r="E293" i="3"/>
  <c r="E344" i="3"/>
  <c r="E489" i="3"/>
  <c r="E70" i="3"/>
  <c r="E211" i="3"/>
  <c r="E377" i="3"/>
  <c r="E109" i="3"/>
  <c r="E46" i="3"/>
  <c r="E371" i="3"/>
  <c r="E184" i="3"/>
  <c r="E422" i="3"/>
  <c r="E391" i="3"/>
  <c r="E370" i="3"/>
  <c r="E575" i="3"/>
  <c r="E471" i="3"/>
  <c r="E337" i="3"/>
  <c r="E573" i="3"/>
  <c r="E448" i="3"/>
  <c r="E236" i="3"/>
  <c r="E413" i="3"/>
  <c r="E187" i="3"/>
  <c r="E504" i="3"/>
  <c r="E248" i="3"/>
  <c r="E260" i="3"/>
  <c r="E174" i="3"/>
  <c r="E556" i="3"/>
  <c r="AR6" i="3"/>
  <c r="E278" i="3"/>
  <c r="E345" i="3"/>
  <c r="E529" i="3"/>
  <c r="E417" i="3"/>
  <c r="E258" i="3"/>
  <c r="E59" i="3"/>
  <c r="E354" i="3"/>
  <c r="E494" i="3"/>
  <c r="E176" i="3"/>
  <c r="E454" i="3"/>
  <c r="E351" i="3"/>
  <c r="E455" i="3"/>
  <c r="E112" i="3"/>
  <c r="E283" i="3"/>
  <c r="E498" i="3"/>
  <c r="E115" i="3"/>
  <c r="E333" i="3"/>
  <c r="E78" i="3"/>
  <c r="E206" i="3"/>
  <c r="E308" i="3"/>
  <c r="E214" i="3"/>
  <c r="E409" i="3"/>
  <c r="AQ6" i="3"/>
  <c r="E179" i="3"/>
  <c r="E440" i="3"/>
  <c r="E226" i="3"/>
  <c r="E342" i="3"/>
  <c r="E73" i="3"/>
  <c r="E394" i="3"/>
  <c r="E100" i="3"/>
  <c r="E289" i="3"/>
  <c r="E373" i="3"/>
  <c r="E401" i="3"/>
  <c r="E42" i="3"/>
  <c r="E102" i="3"/>
  <c r="E282" i="3"/>
  <c r="E358" i="3"/>
  <c r="E130" i="3"/>
  <c r="E506" i="3"/>
  <c r="O6" i="3"/>
  <c r="E53" i="3"/>
  <c r="E510" i="3"/>
  <c r="E423" i="3"/>
  <c r="E117" i="3"/>
  <c r="E553" i="3"/>
  <c r="E151" i="3"/>
  <c r="E230" i="3"/>
  <c r="E418" i="3"/>
  <c r="E574" i="3"/>
  <c r="E261" i="3"/>
  <c r="E352" i="3"/>
  <c r="E382" i="3"/>
  <c r="E120" i="3"/>
  <c r="E277" i="3"/>
  <c r="E128" i="3"/>
  <c r="E328" i="3"/>
  <c r="E254" i="3"/>
  <c r="N6" i="3"/>
  <c r="E263" i="3"/>
  <c r="E528" i="3"/>
  <c r="E61" i="3"/>
  <c r="E239" i="3"/>
  <c r="E18" i="3"/>
  <c r="X6" i="3"/>
  <c r="E234" i="3"/>
  <c r="E203" i="3"/>
  <c r="E372" i="3"/>
  <c r="E323" i="3"/>
  <c r="E79" i="3"/>
  <c r="E22" i="3"/>
  <c r="E220" i="3"/>
  <c r="E139" i="3"/>
  <c r="E499" i="3"/>
  <c r="E81" i="3"/>
  <c r="E339" i="3"/>
  <c r="E93" i="3"/>
  <c r="E208" i="3"/>
  <c r="E451" i="3"/>
  <c r="E96" i="3"/>
  <c r="Y6" i="3"/>
  <c r="E163" i="3"/>
  <c r="E389" i="3"/>
  <c r="E152" i="3"/>
  <c r="E517" i="3"/>
  <c r="E306" i="3"/>
  <c r="AO6" i="3"/>
  <c r="E238" i="3"/>
  <c r="E514" i="3"/>
  <c r="E228" i="3"/>
  <c r="E281" i="3"/>
  <c r="E87" i="3"/>
  <c r="E47" i="3"/>
  <c r="E348" i="3"/>
  <c r="E90" i="3"/>
  <c r="E457" i="3"/>
  <c r="E582" i="3"/>
  <c r="E148" i="3"/>
  <c r="E567" i="3"/>
  <c r="E72" i="3"/>
  <c r="E408" i="3"/>
  <c r="E365" i="3"/>
  <c r="E412" i="3"/>
  <c r="E420" i="3"/>
  <c r="E381" i="3"/>
  <c r="E23" i="3"/>
  <c r="E142" i="3"/>
  <c r="E441" i="3"/>
  <c r="E384" i="3"/>
  <c r="E210" i="3"/>
  <c r="E162" i="3"/>
  <c r="E447" i="3"/>
  <c r="E577" i="3"/>
  <c r="E472" i="3"/>
  <c r="AK6" i="3"/>
  <c r="E505" i="3"/>
  <c r="E515" i="3"/>
  <c r="AA6" i="3"/>
  <c r="E85" i="3"/>
  <c r="E555" i="3"/>
  <c r="E526" i="3"/>
  <c r="E398" i="3"/>
  <c r="AG6" i="3"/>
  <c r="E269" i="3"/>
  <c r="E347" i="3"/>
  <c r="E525" i="3"/>
  <c r="E140" i="3"/>
  <c r="E461" i="3"/>
  <c r="E410" i="3"/>
  <c r="E335" i="3"/>
  <c r="E217" i="3"/>
  <c r="E58" i="40"/>
  <c r="E63" i="39"/>
  <c r="U3" i="43"/>
  <c r="I3" i="6"/>
  <c r="D9" i="11"/>
  <c r="C9" i="11" s="1"/>
  <c r="D19" i="12"/>
  <c r="C19" i="12" s="1"/>
  <c r="D9" i="69"/>
  <c r="C9" i="69" s="1"/>
  <c r="AR12" i="1"/>
  <c r="AQ12" i="1"/>
  <c r="E6" i="6"/>
  <c r="D3" i="21"/>
  <c r="I3" i="78"/>
  <c r="D3" i="37"/>
  <c r="AY6" i="3"/>
  <c r="E247" i="3"/>
  <c r="E237" i="3"/>
  <c r="E173" i="3"/>
  <c r="E536" i="3"/>
  <c r="E464" i="3"/>
  <c r="E215" i="3"/>
  <c r="K6" i="3"/>
  <c r="E414" i="3"/>
  <c r="E141" i="3"/>
  <c r="E476" i="3"/>
  <c r="E186" i="3"/>
  <c r="E44" i="3"/>
  <c r="E300" i="3"/>
  <c r="E543" i="3"/>
  <c r="E49" i="3"/>
  <c r="E450" i="3"/>
  <c r="E519" i="3"/>
  <c r="E167" i="3"/>
  <c r="E155" i="3"/>
  <c r="E266" i="3"/>
  <c r="E86" i="3"/>
  <c r="E508" i="3"/>
  <c r="AP6" i="3"/>
  <c r="E479" i="3"/>
  <c r="E462" i="3"/>
  <c r="E26" i="3"/>
  <c r="E106" i="3"/>
  <c r="E38" i="3"/>
  <c r="E309" i="3"/>
  <c r="L6" i="3"/>
  <c r="E315" i="3"/>
  <c r="E419" i="3"/>
  <c r="E580" i="3"/>
  <c r="E41" i="3"/>
  <c r="E551" i="3"/>
  <c r="E205" i="3"/>
  <c r="E559" i="3"/>
  <c r="E183" i="3"/>
  <c r="E518" i="3"/>
  <c r="E153" i="3"/>
  <c r="E169" i="3"/>
  <c r="E516" i="3"/>
  <c r="E191" i="3"/>
  <c r="E361" i="3"/>
  <c r="E97" i="3"/>
  <c r="E407" i="3"/>
  <c r="E83" i="3"/>
  <c r="E225" i="3"/>
  <c r="E154" i="3"/>
  <c r="E32" i="3"/>
  <c r="E113" i="3"/>
  <c r="E40" i="3"/>
  <c r="E364" i="3"/>
  <c r="E362" i="3"/>
  <c r="E80" i="3"/>
  <c r="E94" i="3"/>
  <c r="E463" i="3"/>
  <c r="E63" i="3"/>
  <c r="E31" i="3"/>
  <c r="E456" i="3"/>
  <c r="E284" i="3"/>
  <c r="E349" i="3"/>
  <c r="W6" i="3"/>
  <c r="E379" i="3"/>
  <c r="E322" i="3"/>
  <c r="E108" i="3"/>
  <c r="E521" i="3"/>
  <c r="E39" i="3"/>
  <c r="E500" i="3"/>
  <c r="E402" i="3"/>
  <c r="E360" i="3"/>
  <c r="E129" i="3"/>
  <c r="E68" i="3"/>
  <c r="E200" i="3"/>
  <c r="E572" i="3"/>
  <c r="E182" i="3"/>
  <c r="E531" i="3"/>
  <c r="E212" i="3"/>
  <c r="E548" i="3"/>
  <c r="E330" i="3"/>
  <c r="M6" i="3"/>
  <c r="E442" i="3"/>
  <c r="E568" i="3"/>
  <c r="E116" i="3"/>
  <c r="E530" i="3"/>
  <c r="E579" i="3"/>
  <c r="E578" i="3"/>
  <c r="E290" i="3"/>
  <c r="E366" i="3"/>
  <c r="E326" i="3"/>
  <c r="E490" i="3"/>
  <c r="E307" i="3"/>
  <c r="E512" i="3"/>
  <c r="U6" i="3"/>
  <c r="E67" i="3"/>
  <c r="E406" i="3"/>
  <c r="E416" i="3"/>
  <c r="E185" i="3"/>
  <c r="E8" i="6"/>
  <c r="E15" i="6"/>
  <c r="E14" i="6"/>
  <c r="F5" i="49"/>
  <c r="H5" i="49" s="1"/>
  <c r="A19" i="51"/>
  <c r="B14" i="72" s="1"/>
  <c r="B5" i="49"/>
  <c r="D5" i="49" s="1"/>
  <c r="B10" i="49"/>
  <c r="D10" i="49" s="1"/>
  <c r="F9" i="49"/>
  <c r="H9" i="49" s="1"/>
  <c r="B9" i="49"/>
  <c r="D9" i="49" s="1"/>
  <c r="B6" i="49"/>
  <c r="D6" i="49" s="1"/>
  <c r="B14" i="49"/>
  <c r="D14" i="49" s="1"/>
  <c r="F7" i="49"/>
  <c r="H7" i="49" s="1"/>
  <c r="F11" i="49"/>
  <c r="H11" i="49" s="1"/>
  <c r="I42" i="35"/>
  <c r="J42" i="35" s="1"/>
  <c r="D59" i="77"/>
  <c r="E59" i="77" s="1"/>
  <c r="F59" i="77" s="1"/>
  <c r="G59" i="77" s="1"/>
  <c r="H59" i="77" s="1"/>
  <c r="I59" i="77" s="1"/>
  <c r="J59" i="77" s="1"/>
  <c r="K59" i="77" s="1"/>
  <c r="L59" i="77" s="1"/>
  <c r="M59" i="77" s="1"/>
  <c r="N59" i="77" s="1"/>
  <c r="O59" i="77" s="1"/>
  <c r="F7" i="77"/>
  <c r="J7" i="77"/>
  <c r="H7" i="77"/>
  <c r="E46" i="36"/>
  <c r="E58" i="21"/>
  <c r="D52" i="37"/>
  <c r="E52" i="37" s="1"/>
  <c r="F52" i="37" s="1"/>
  <c r="G52" i="37" s="1"/>
  <c r="H52" i="37" s="1"/>
  <c r="I52" i="37" s="1"/>
  <c r="J52" i="37" s="1"/>
  <c r="K52" i="37" s="1"/>
  <c r="L52" i="37" s="1"/>
  <c r="M52" i="37" s="1"/>
  <c r="N52" i="37" s="1"/>
  <c r="O52" i="37" s="1"/>
  <c r="F58" i="33"/>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P23" i="43"/>
  <c r="B71" i="39" s="1"/>
  <c r="O19" i="43"/>
  <c r="P24" i="43"/>
  <c r="B66" i="40" s="1"/>
  <c r="P21" i="43"/>
  <c r="D68" i="39"/>
  <c r="C36" i="11"/>
  <c r="L27" i="6"/>
  <c r="AR10" i="1"/>
  <c r="G1" i="68"/>
  <c r="T11" i="1"/>
  <c r="B7" i="49"/>
  <c r="D7" i="49" s="1"/>
  <c r="B11" i="49"/>
  <c r="D11" i="49" s="1"/>
  <c r="B4" i="49"/>
  <c r="D4" i="49" s="1"/>
  <c r="B8" i="49"/>
  <c r="D8" i="49" s="1"/>
  <c r="B12" i="49"/>
  <c r="D12" i="49" s="1"/>
  <c r="F4" i="49"/>
  <c r="H4" i="49" s="1"/>
  <c r="F6" i="49"/>
  <c r="H6" i="49" s="1"/>
  <c r="F8" i="49"/>
  <c r="H8" i="49" s="1"/>
  <c r="F10" i="49"/>
  <c r="H10" i="49" s="1"/>
  <c r="F12" i="49"/>
  <c r="H12" i="49" s="1"/>
  <c r="F14" i="49"/>
  <c r="H14" i="49" s="1"/>
  <c r="AQ13" i="1"/>
  <c r="C36" i="69"/>
  <c r="O16" i="1"/>
  <c r="P16" i="1"/>
  <c r="C11" i="12" s="1"/>
  <c r="C12" i="12" s="1"/>
  <c r="AR7" i="1"/>
  <c r="AQ9" i="1"/>
  <c r="AQ8" i="1"/>
  <c r="T7" i="1"/>
  <c r="K7" i="1"/>
  <c r="M7" i="1" s="1"/>
  <c r="T10" i="1"/>
  <c r="G1" i="67"/>
  <c r="G1" i="15"/>
  <c r="T12" i="1"/>
  <c r="B7" i="1"/>
  <c r="E7" i="1" s="1"/>
  <c r="B2" i="74"/>
  <c r="F14" i="74"/>
  <c r="B9" i="70"/>
  <c r="B20" i="31"/>
  <c r="B21" i="31" s="1"/>
  <c r="D22" i="9"/>
  <c r="C21" i="9"/>
  <c r="C102" i="9"/>
  <c r="G19" i="9"/>
  <c r="G21" i="9" s="1"/>
  <c r="D21" i="9"/>
  <c r="D102" i="9"/>
  <c r="B8" i="70"/>
  <c r="B13" i="70"/>
  <c r="B12" i="70"/>
  <c r="B7" i="70"/>
  <c r="B6" i="70"/>
  <c r="D103" i="9"/>
  <c r="B10" i="70"/>
  <c r="C103" i="9"/>
  <c r="G20" i="9"/>
  <c r="C32" i="9" s="1"/>
  <c r="B11" i="70"/>
  <c r="C76" i="15"/>
  <c r="F41" i="67"/>
  <c r="F36" i="67"/>
  <c r="D3" i="73"/>
  <c r="M29" i="67"/>
  <c r="F40" i="15"/>
  <c r="D10" i="68"/>
  <c r="M9" i="67"/>
  <c r="F42" i="15"/>
  <c r="F37" i="15"/>
  <c r="F41" i="15"/>
  <c r="F13" i="15"/>
  <c r="D7" i="73"/>
  <c r="F38" i="67"/>
  <c r="F26" i="67"/>
  <c r="F6" i="15"/>
  <c r="F16" i="15"/>
  <c r="M26" i="67"/>
  <c r="M28" i="67"/>
  <c r="C34" i="68"/>
  <c r="M26" i="15"/>
  <c r="F5" i="73"/>
  <c r="M24" i="15"/>
  <c r="F43" i="67"/>
  <c r="F8" i="67"/>
  <c r="F26" i="15"/>
  <c r="D9" i="68"/>
  <c r="F36" i="15"/>
  <c r="M23" i="67"/>
  <c r="M24" i="67"/>
  <c r="D5" i="73"/>
  <c r="F27" i="68"/>
  <c r="F43" i="15"/>
  <c r="C14" i="15"/>
  <c r="M27" i="67"/>
  <c r="F7" i="67"/>
  <c r="M27" i="15"/>
  <c r="L48" i="15"/>
  <c r="M6" i="67"/>
  <c r="F7" i="73"/>
  <c r="J15" i="15"/>
  <c r="M9" i="15"/>
  <c r="L47" i="15"/>
  <c r="C36" i="68"/>
  <c r="F42" i="67"/>
  <c r="F13" i="67"/>
  <c r="M8" i="67"/>
  <c r="M28" i="15"/>
  <c r="F4" i="73"/>
  <c r="F9" i="15"/>
  <c r="F40" i="67"/>
  <c r="M22" i="15"/>
  <c r="F8" i="15"/>
  <c r="F9" i="67"/>
  <c r="D6" i="73"/>
  <c r="L47" i="67"/>
  <c r="F37" i="67"/>
  <c r="F6" i="73"/>
  <c r="D4" i="73"/>
  <c r="L48" i="67"/>
  <c r="M23" i="15"/>
  <c r="C76" i="67"/>
  <c r="J15" i="67"/>
  <c r="F6" i="67"/>
  <c r="F7" i="15"/>
  <c r="F38" i="15"/>
  <c r="F3" i="73"/>
  <c r="F16" i="67"/>
  <c r="M22" i="67"/>
  <c r="M8" i="15"/>
  <c r="M29" i="15"/>
  <c r="M6" i="15"/>
  <c r="AA25" i="34" l="1"/>
  <c r="G88" i="34"/>
  <c r="H88" i="34" s="1"/>
  <c r="I88" i="34" s="1"/>
  <c r="J88" i="34" s="1"/>
  <c r="K88" i="34" s="1"/>
  <c r="L88" i="34" s="1"/>
  <c r="M88" i="34" s="1"/>
  <c r="J25" i="34"/>
  <c r="S12" i="33"/>
  <c r="AA12" i="33"/>
  <c r="K14" i="1"/>
  <c r="M14" i="1" s="1"/>
  <c r="E30" i="6"/>
  <c r="I20" i="43"/>
  <c r="E20" i="43"/>
  <c r="N28" i="43" s="1"/>
  <c r="K1" i="73"/>
  <c r="I1" i="73"/>
  <c r="B39" i="1" s="1"/>
  <c r="M11" i="15" s="1"/>
  <c r="F7" i="34"/>
  <c r="H7" i="33"/>
  <c r="AA7" i="35"/>
  <c r="R38" i="35" s="1"/>
  <c r="S7" i="35"/>
  <c r="U7" i="35"/>
  <c r="AB7" i="35"/>
  <c r="T38" i="35" s="1"/>
  <c r="G38" i="35" s="1"/>
  <c r="F63" i="40"/>
  <c r="E65" i="40"/>
  <c r="E62" i="39"/>
  <c r="AB25" i="33"/>
  <c r="U25" i="33"/>
  <c r="H6" i="3"/>
  <c r="AC6" i="3"/>
  <c r="K6" i="1"/>
  <c r="M6" i="1" s="1"/>
  <c r="M16" i="1" s="1"/>
  <c r="B1" i="74"/>
  <c r="E14" i="74"/>
  <c r="C47" i="34"/>
  <c r="C34" i="34"/>
  <c r="D14" i="12"/>
  <c r="D19" i="11"/>
  <c r="C19" i="11" s="1"/>
  <c r="C20" i="11" s="1"/>
  <c r="D37" i="11"/>
  <c r="C37" i="11" s="1"/>
  <c r="C17" i="4"/>
  <c r="B4" i="52" s="1"/>
  <c r="B43" i="72" s="1"/>
  <c r="E59" i="40"/>
  <c r="E64" i="39"/>
  <c r="D3" i="6"/>
  <c r="AY412" i="3"/>
  <c r="AY196" i="3"/>
  <c r="AY343" i="3"/>
  <c r="AY261" i="3"/>
  <c r="AY59" i="3"/>
  <c r="AY371" i="3"/>
  <c r="AY245" i="3"/>
  <c r="AY513" i="3"/>
  <c r="AY53" i="3"/>
  <c r="AY182" i="3"/>
  <c r="AY126" i="3"/>
  <c r="AY43" i="3"/>
  <c r="AY573" i="3"/>
  <c r="AY176" i="3"/>
  <c r="AY409" i="3"/>
  <c r="AY108" i="3"/>
  <c r="AY173" i="3"/>
  <c r="AY270" i="3"/>
  <c r="AY373" i="3"/>
  <c r="AY88" i="3"/>
  <c r="AY161" i="3"/>
  <c r="AY215" i="3"/>
  <c r="AY324" i="3"/>
  <c r="AY438" i="3"/>
  <c r="AY580" i="3"/>
  <c r="AY552" i="3"/>
  <c r="AY523" i="3"/>
  <c r="AY174" i="3"/>
  <c r="AY250" i="3"/>
  <c r="AY305" i="3"/>
  <c r="AY445" i="3"/>
  <c r="AY253" i="3"/>
  <c r="AY379" i="3"/>
  <c r="AY478" i="3"/>
  <c r="AY51" i="3"/>
  <c r="AY470" i="3"/>
  <c r="AY541" i="3"/>
  <c r="AY162" i="3"/>
  <c r="AY239" i="3"/>
  <c r="AY389" i="3"/>
  <c r="AY93" i="3"/>
  <c r="AY150" i="3"/>
  <c r="AY226" i="3"/>
  <c r="AY340" i="3"/>
  <c r="AY435" i="3"/>
  <c r="AY508" i="3"/>
  <c r="AY122" i="3"/>
  <c r="AY304" i="3"/>
  <c r="AY460" i="3"/>
  <c r="AY92" i="3"/>
  <c r="AY165" i="3"/>
  <c r="AY219" i="3"/>
  <c r="AY202" i="3"/>
  <c r="AY333" i="3"/>
  <c r="AY411" i="3"/>
  <c r="AY494" i="3"/>
  <c r="AY287" i="3"/>
  <c r="AY471" i="3"/>
  <c r="AY168" i="3"/>
  <c r="AY310" i="3"/>
  <c r="AY28" i="3"/>
  <c r="AY294" i="3"/>
  <c r="AY554" i="3"/>
  <c r="AY290" i="3"/>
  <c r="AY488" i="3"/>
  <c r="BF6" i="3"/>
  <c r="AY80" i="3"/>
  <c r="AY369" i="3"/>
  <c r="AY418" i="3"/>
  <c r="AY564" i="3"/>
  <c r="AY548" i="3"/>
  <c r="AY30" i="3"/>
  <c r="AY296" i="3"/>
  <c r="AY347" i="3"/>
  <c r="AY421" i="3"/>
  <c r="AY102" i="3"/>
  <c r="AY175" i="3"/>
  <c r="AY208" i="3"/>
  <c r="AY474" i="3"/>
  <c r="AY583" i="3"/>
  <c r="AY524" i="3"/>
  <c r="AY192" i="3"/>
  <c r="AY346" i="3"/>
  <c r="AY55" i="3"/>
  <c r="AY391" i="3"/>
  <c r="AY586" i="3"/>
  <c r="AY464" i="3"/>
  <c r="AY527" i="3"/>
  <c r="AY32" i="3"/>
  <c r="AY352" i="3"/>
  <c r="AY95" i="3"/>
  <c r="AY401" i="3"/>
  <c r="AY190" i="3"/>
  <c r="AY247" i="3"/>
  <c r="AY109" i="3"/>
  <c r="AY242" i="3"/>
  <c r="AY462" i="3"/>
  <c r="AY495" i="3"/>
  <c r="AY194" i="3"/>
  <c r="AY329" i="3"/>
  <c r="AY124" i="3"/>
  <c r="AY26" i="3"/>
  <c r="AY77" i="3"/>
  <c r="AY149" i="3"/>
  <c r="AY392" i="3"/>
  <c r="AY197" i="3"/>
  <c r="AY317" i="3"/>
  <c r="AY581" i="3"/>
  <c r="AY514" i="3"/>
  <c r="AY282" i="3"/>
  <c r="AY484" i="3"/>
  <c r="AY505" i="3"/>
  <c r="AY551" i="3"/>
  <c r="AY79" i="3"/>
  <c r="AY151" i="3"/>
  <c r="AY394" i="3"/>
  <c r="AY451" i="3"/>
  <c r="AY568" i="3"/>
  <c r="AY200" i="3"/>
  <c r="AY257" i="3"/>
  <c r="AY307" i="3"/>
  <c r="AY521" i="3"/>
  <c r="AY407" i="3"/>
  <c r="AY99" i="3"/>
  <c r="AY232" i="3"/>
  <c r="AY91" i="3"/>
  <c r="AY511" i="3"/>
  <c r="AY78" i="3"/>
  <c r="AY376" i="3"/>
  <c r="AY587" i="3"/>
  <c r="AY256" i="3"/>
  <c r="BC6" i="3"/>
  <c r="BO6" i="3"/>
  <c r="AY355" i="3"/>
  <c r="AY486" i="3"/>
  <c r="AY292" i="3"/>
  <c r="AY83" i="3"/>
  <c r="AY277" i="3"/>
  <c r="AY502" i="3"/>
  <c r="AY204" i="3"/>
  <c r="AY455" i="3"/>
  <c r="AY58" i="3"/>
  <c r="AY342" i="3"/>
  <c r="AY36" i="3"/>
  <c r="AY302" i="3"/>
  <c r="AY319" i="3"/>
  <c r="AY465" i="3"/>
  <c r="AY286" i="3"/>
  <c r="AY507" i="3"/>
  <c r="AY275" i="3"/>
  <c r="AY480" i="3"/>
  <c r="AY536" i="3"/>
  <c r="AY64" i="3"/>
  <c r="AY361" i="3"/>
  <c r="AY144" i="3"/>
  <c r="AY123" i="3"/>
  <c r="AY276" i="3"/>
  <c r="AY52" i="3"/>
  <c r="AY222" i="3"/>
  <c r="AY40" i="3"/>
  <c r="AY356" i="3"/>
  <c r="BN6" i="3"/>
  <c r="AY385" i="3"/>
  <c r="AY463" i="3"/>
  <c r="AY278" i="3"/>
  <c r="AY259" i="3"/>
  <c r="AY571" i="3"/>
  <c r="AY364" i="3"/>
  <c r="AY441" i="3"/>
  <c r="AY138" i="3"/>
  <c r="AY24" i="3"/>
  <c r="AY427" i="3"/>
  <c r="AY129" i="3"/>
  <c r="AY399" i="3"/>
  <c r="AY110" i="3"/>
  <c r="AY216" i="3"/>
  <c r="AY528" i="3"/>
  <c r="AY288" i="3"/>
  <c r="AY413" i="3"/>
  <c r="AY578" i="3"/>
  <c r="AY558" i="3"/>
  <c r="AY448" i="3"/>
  <c r="AY403" i="3"/>
  <c r="AY298" i="3"/>
  <c r="AY300" i="3"/>
  <c r="AY133" i="3"/>
  <c r="AY166" i="3"/>
  <c r="BQ6" i="3"/>
  <c r="AY251" i="3"/>
  <c r="AY236" i="3"/>
  <c r="AY206" i="3"/>
  <c r="BJ6" i="3"/>
  <c r="AY457" i="3"/>
  <c r="AY37" i="3"/>
  <c r="AY402" i="3"/>
  <c r="BP6" i="3"/>
  <c r="AY265" i="3"/>
  <c r="AY500" i="3"/>
  <c r="AY143" i="3"/>
  <c r="AY443" i="3"/>
  <c r="AY565" i="3"/>
  <c r="AY469" i="3"/>
  <c r="BR6" i="3"/>
  <c r="AY424" i="3"/>
  <c r="AY306" i="3"/>
  <c r="AY404" i="3"/>
  <c r="AY220" i="3"/>
  <c r="AY560" i="3"/>
  <c r="AY94" i="3"/>
  <c r="AY221" i="3"/>
  <c r="AY512" i="3"/>
  <c r="AY273" i="3"/>
  <c r="AY550" i="3"/>
  <c r="AY574" i="3"/>
  <c r="AY390" i="3"/>
  <c r="AY334" i="3"/>
  <c r="AY163" i="3"/>
  <c r="AY66" i="3"/>
  <c r="AY74" i="3"/>
  <c r="AY209" i="3"/>
  <c r="AY268" i="3"/>
  <c r="AY452" i="3"/>
  <c r="AY25" i="3"/>
  <c r="AY557" i="3"/>
  <c r="AY183" i="3"/>
  <c r="BK6" i="3"/>
  <c r="AY255" i="3"/>
  <c r="BB6" i="3"/>
  <c r="AY258" i="3"/>
  <c r="AY449" i="3"/>
  <c r="AY520" i="3"/>
  <c r="AY21" i="3"/>
  <c r="AY337" i="3"/>
  <c r="AY152" i="3"/>
  <c r="AY100" i="3"/>
  <c r="AY225" i="3"/>
  <c r="AY198" i="3"/>
  <c r="AY211" i="3"/>
  <c r="AY186" i="3"/>
  <c r="AY325" i="3"/>
  <c r="AY518" i="3"/>
  <c r="AY321" i="3"/>
  <c r="AY544" i="3"/>
  <c r="AY262" i="3"/>
  <c r="AY388" i="3"/>
  <c r="BG6" i="3"/>
  <c r="AY344" i="3"/>
  <c r="AY260" i="3"/>
  <c r="AY118" i="3"/>
  <c r="AY177" i="3"/>
  <c r="BM6" i="3"/>
  <c r="AY266" i="3"/>
  <c r="AY17" i="3"/>
  <c r="AY47" i="3"/>
  <c r="AY383" i="3"/>
  <c r="AY576" i="3"/>
  <c r="AY272" i="3"/>
  <c r="AY15" i="3"/>
  <c r="AY63" i="3"/>
  <c r="BL6" i="3"/>
  <c r="BD6" i="3"/>
  <c r="AY516" i="3"/>
  <c r="AY218" i="3"/>
  <c r="AY327" i="3"/>
  <c r="AY283" i="3"/>
  <c r="AY295" i="3"/>
  <c r="AY534" i="3"/>
  <c r="AY380" i="3"/>
  <c r="AY473" i="3"/>
  <c r="AY170" i="3"/>
  <c r="AY41" i="3"/>
  <c r="AY414" i="3"/>
  <c r="AY169" i="3"/>
  <c r="AY415" i="3"/>
  <c r="AY493" i="3"/>
  <c r="AY248" i="3"/>
  <c r="AY547" i="3"/>
  <c r="AY293" i="3"/>
  <c r="AY400" i="3"/>
  <c r="AY570" i="3"/>
  <c r="AY437" i="3"/>
  <c r="BA6" i="3"/>
  <c r="AY517" i="3"/>
  <c r="AY416" i="3"/>
  <c r="AY481" i="3"/>
  <c r="AY147" i="3"/>
  <c r="AY38" i="3"/>
  <c r="AY35" i="3"/>
  <c r="AY86" i="3"/>
  <c r="AY504" i="3"/>
  <c r="AY269" i="3"/>
  <c r="AY90" i="3"/>
  <c r="AY105" i="3"/>
  <c r="AY103" i="3"/>
  <c r="AY289" i="3"/>
  <c r="AY318" i="3"/>
  <c r="AY68" i="3"/>
  <c r="AY117" i="3"/>
  <c r="AY188" i="3"/>
  <c r="AY84" i="3"/>
  <c r="AY368" i="3"/>
  <c r="AY370" i="3"/>
  <c r="AY572" i="3"/>
  <c r="AY153" i="3"/>
  <c r="AY434" i="3"/>
  <c r="AY497" i="3"/>
  <c r="AY141" i="3"/>
  <c r="AY57" i="3"/>
  <c r="AY525" i="3"/>
  <c r="AY461" i="3"/>
  <c r="AY374" i="3"/>
  <c r="AY585" i="3"/>
  <c r="AY366" i="3"/>
  <c r="AY231" i="3"/>
  <c r="AY510" i="3"/>
  <c r="AY431" i="3"/>
  <c r="AY203" i="3"/>
  <c r="AY13" i="3"/>
  <c r="AY542" i="3"/>
  <c r="AY184" i="3"/>
  <c r="AY422" i="3"/>
  <c r="AY382" i="3"/>
  <c r="AY230" i="3"/>
  <c r="AY398" i="3"/>
  <c r="AY281" i="3"/>
  <c r="AY299" i="3"/>
  <c r="AY491" i="3"/>
  <c r="AY442" i="3"/>
  <c r="AY62" i="3"/>
  <c r="AY107" i="3"/>
  <c r="AY477" i="3"/>
  <c r="AY46" i="3"/>
  <c r="AY579" i="3"/>
  <c r="AY70" i="3"/>
  <c r="AY244" i="3"/>
  <c r="AY436" i="3"/>
  <c r="AY405" i="3"/>
  <c r="AY555" i="3"/>
  <c r="AY75" i="3"/>
  <c r="AY212" i="3"/>
  <c r="AY121" i="3"/>
  <c r="AY81" i="3"/>
  <c r="AY303" i="3"/>
  <c r="AY69" i="3"/>
  <c r="AY130" i="3"/>
  <c r="AY235" i="3"/>
  <c r="AY125" i="3"/>
  <c r="AY101" i="3"/>
  <c r="AY549" i="3"/>
  <c r="AY446" i="3"/>
  <c r="AY563" i="3"/>
  <c r="AY39" i="3"/>
  <c r="AY375" i="3"/>
  <c r="AY135" i="3"/>
  <c r="AY559" i="3"/>
  <c r="BE6" i="3"/>
  <c r="AY501" i="3"/>
  <c r="AY372" i="3"/>
  <c r="AY561" i="3"/>
  <c r="AY538" i="3"/>
  <c r="AY408" i="3"/>
  <c r="AY566" i="3"/>
  <c r="AY314" i="3"/>
  <c r="AY562" i="3"/>
  <c r="AY354" i="3"/>
  <c r="AY459" i="3"/>
  <c r="AY18" i="3"/>
  <c r="AY326" i="3"/>
  <c r="AY539" i="3"/>
  <c r="AY23" i="3"/>
  <c r="AY428" i="3"/>
  <c r="AY553" i="3"/>
  <c r="AY146" i="3"/>
  <c r="AY139" i="3"/>
  <c r="AY297" i="3"/>
  <c r="AY20" i="3"/>
  <c r="AY227" i="3"/>
  <c r="AY29" i="3"/>
  <c r="AY341" i="3"/>
  <c r="AY419" i="3"/>
  <c r="AY532" i="3"/>
  <c r="AY113" i="3"/>
  <c r="AY479" i="3"/>
  <c r="AY529" i="3"/>
  <c r="AY284" i="3"/>
  <c r="AY358" i="3"/>
  <c r="AY291" i="3"/>
  <c r="BS6" i="3"/>
  <c r="AY279" i="3"/>
  <c r="AY467" i="3"/>
  <c r="AY49" i="3"/>
  <c r="AY34" i="3"/>
  <c r="AY33" i="3"/>
  <c r="BH6" i="3"/>
  <c r="AY472" i="3"/>
  <c r="AY48" i="3"/>
  <c r="AY207" i="3"/>
  <c r="AY97" i="3"/>
  <c r="AY214" i="3"/>
  <c r="AY349" i="3"/>
  <c r="AY584" i="3"/>
  <c r="AY487" i="3"/>
  <c r="AY537" i="3"/>
  <c r="AY140" i="3"/>
  <c r="AY482" i="3"/>
  <c r="AY22" i="3"/>
  <c r="AY339" i="3"/>
  <c r="AY439" i="3"/>
  <c r="AY249" i="3"/>
  <c r="AY128" i="3"/>
  <c r="AY499" i="3"/>
  <c r="AY556" i="3"/>
  <c r="AY492" i="3"/>
  <c r="AY61" i="3"/>
  <c r="AY397" i="3"/>
  <c r="AY348" i="3"/>
  <c r="AY582" i="3"/>
  <c r="AY468" i="3"/>
  <c r="AY420" i="3"/>
  <c r="AY263" i="3"/>
  <c r="AY274" i="3"/>
  <c r="AY546" i="3"/>
  <c r="AY345" i="3"/>
  <c r="AY522" i="3"/>
  <c r="AY19" i="3"/>
  <c r="AY315" i="3"/>
  <c r="AY71" i="3"/>
  <c r="AY386" i="3"/>
  <c r="BT6" i="3"/>
  <c r="AY156" i="3"/>
  <c r="AY224" i="3"/>
  <c r="AY127" i="3"/>
  <c r="AY179" i="3"/>
  <c r="AY82" i="3"/>
  <c r="AY199" i="3"/>
  <c r="AY132" i="3"/>
  <c r="AY429" i="3"/>
  <c r="AY167" i="3"/>
  <c r="AY466" i="3"/>
  <c r="AY27" i="3"/>
  <c r="AY323" i="3"/>
  <c r="AY98" i="3"/>
  <c r="AY447" i="3"/>
  <c r="AY526" i="3"/>
  <c r="AY237" i="3"/>
  <c r="AY171" i="3"/>
  <c r="AY229" i="3"/>
  <c r="AY417" i="3"/>
  <c r="AY155" i="3"/>
  <c r="AY106" i="3"/>
  <c r="AY85" i="3"/>
  <c r="AY157" i="3"/>
  <c r="AY50" i="3"/>
  <c r="AY335" i="3"/>
  <c r="AY193" i="3"/>
  <c r="AY384" i="3"/>
  <c r="AY181" i="3"/>
  <c r="AY309" i="3"/>
  <c r="AY503" i="3"/>
  <c r="AY496" i="3"/>
  <c r="AY267" i="3"/>
  <c r="AY476" i="3"/>
  <c r="AY67" i="3"/>
  <c r="AY160" i="3"/>
  <c r="AY433" i="3"/>
  <c r="AY271" i="3"/>
  <c r="BI6" i="3"/>
  <c r="AY243" i="3"/>
  <c r="AY454" i="3"/>
  <c r="AY205" i="3"/>
  <c r="AY111" i="3"/>
  <c r="AY185" i="3"/>
  <c r="AY73" i="3"/>
  <c r="AY430" i="3"/>
  <c r="AY158" i="3"/>
  <c r="AY42" i="3"/>
  <c r="AY45" i="3"/>
  <c r="AY381" i="3"/>
  <c r="AY332" i="3"/>
  <c r="AY519" i="3"/>
  <c r="AY453" i="3"/>
  <c r="AY530" i="3"/>
  <c r="AY120" i="3"/>
  <c r="AY440" i="3"/>
  <c r="AY195" i="3"/>
  <c r="AY322" i="3"/>
  <c r="AY506" i="3"/>
  <c r="AY378" i="3"/>
  <c r="AY241" i="3"/>
  <c r="AY509" i="3"/>
  <c r="AY112" i="3"/>
  <c r="AY450" i="3"/>
  <c r="AY44" i="3"/>
  <c r="AY360" i="3"/>
  <c r="AY475" i="3"/>
  <c r="AY65" i="3"/>
  <c r="AY87" i="3"/>
  <c r="AY533" i="3"/>
  <c r="AY246" i="3"/>
  <c r="AY377" i="3"/>
  <c r="AY16" i="3"/>
  <c r="AY328" i="3"/>
  <c r="AY515" i="3"/>
  <c r="AY172" i="3"/>
  <c r="AY485" i="3"/>
  <c r="AY54" i="3"/>
  <c r="AY351" i="3"/>
  <c r="AY426" i="3"/>
  <c r="AY285" i="3"/>
  <c r="AY490" i="3"/>
  <c r="AY264" i="3"/>
  <c r="AY119" i="3"/>
  <c r="AY89" i="3"/>
  <c r="AY425" i="3"/>
  <c r="AY191" i="3"/>
  <c r="AY410" i="3"/>
  <c r="AY331" i="3"/>
  <c r="AY213" i="3"/>
  <c r="AY535" i="3"/>
  <c r="AY387" i="3"/>
  <c r="AY540" i="3"/>
  <c r="AY363" i="3"/>
  <c r="AY116" i="3"/>
  <c r="AY131" i="3"/>
  <c r="AY395" i="3"/>
  <c r="AY178" i="3"/>
  <c r="AY252" i="3"/>
  <c r="AY228" i="3"/>
  <c r="AY134" i="3"/>
  <c r="AY72" i="3"/>
  <c r="AY483" i="3"/>
  <c r="AY543" i="3"/>
  <c r="AY320" i="3"/>
  <c r="AY489" i="3"/>
  <c r="AY180" i="3"/>
  <c r="AY254" i="3"/>
  <c r="AY393" i="3"/>
  <c r="AY577" i="3"/>
  <c r="AY76" i="3"/>
  <c r="AY145" i="3"/>
  <c r="AY234" i="3"/>
  <c r="AY201" i="3"/>
  <c r="AY210" i="3"/>
  <c r="AY189" i="3"/>
  <c r="AY575" i="3"/>
  <c r="AY330" i="3"/>
  <c r="AY432" i="3"/>
  <c r="AY456" i="3"/>
  <c r="AY423" i="3"/>
  <c r="AY142" i="3"/>
  <c r="AY154" i="3"/>
  <c r="AY353" i="3"/>
  <c r="AY137" i="3"/>
  <c r="AY60" i="3"/>
  <c r="AY114" i="3"/>
  <c r="AY96" i="3"/>
  <c r="AY545" i="3"/>
  <c r="AY359" i="3"/>
  <c r="AY240" i="3"/>
  <c r="AY14" i="3"/>
  <c r="AY362" i="3"/>
  <c r="AY187" i="3"/>
  <c r="AY498" i="3"/>
  <c r="AY350" i="3"/>
  <c r="AY531" i="3"/>
  <c r="AY159" i="3"/>
  <c r="AY311" i="3"/>
  <c r="AY569" i="3"/>
  <c r="AY238" i="3"/>
  <c r="AY406" i="3"/>
  <c r="AY396" i="3"/>
  <c r="AY115" i="3"/>
  <c r="AY365" i="3"/>
  <c r="AY308" i="3"/>
  <c r="AY217" i="3"/>
  <c r="AY458" i="3"/>
  <c r="AY313" i="3"/>
  <c r="AY136" i="3"/>
  <c r="AY338" i="3"/>
  <c r="AY56" i="3"/>
  <c r="AY357" i="3"/>
  <c r="AY301" i="3"/>
  <c r="AY148" i="3"/>
  <c r="AY31" i="3"/>
  <c r="AY444" i="3"/>
  <c r="AY316" i="3"/>
  <c r="AY104" i="3"/>
  <c r="AY233" i="3"/>
  <c r="AY567" i="3"/>
  <c r="AY336" i="3"/>
  <c r="AY312" i="3"/>
  <c r="AY223" i="3"/>
  <c r="AY164" i="3"/>
  <c r="AY367" i="3"/>
  <c r="AY280" i="3"/>
  <c r="E51" i="40"/>
  <c r="F27" i="6"/>
  <c r="F31" i="6" s="1"/>
  <c r="E16" i="6"/>
  <c r="E56" i="39"/>
  <c r="C11" i="78"/>
  <c r="C8" i="78"/>
  <c r="D10" i="69"/>
  <c r="D20" i="12"/>
  <c r="C20" i="12" s="1"/>
  <c r="C18" i="12" s="1"/>
  <c r="D10" i="11"/>
  <c r="C10" i="11" s="1"/>
  <c r="E60" i="40"/>
  <c r="E65" i="39"/>
  <c r="E4" i="4"/>
  <c r="C4" i="4"/>
  <c r="B4" i="62" s="1"/>
  <c r="B71" i="72" s="1"/>
  <c r="C15" i="12"/>
  <c r="H7" i="37"/>
  <c r="F58" i="21"/>
  <c r="U7" i="77"/>
  <c r="AB7" i="77"/>
  <c r="T49" i="77" s="1"/>
  <c r="G49" i="77" s="1"/>
  <c r="AA7" i="77"/>
  <c r="R49" i="77" s="1"/>
  <c r="S7" i="77"/>
  <c r="E68" i="39"/>
  <c r="D70" i="39"/>
  <c r="S7" i="34"/>
  <c r="AA7" i="34"/>
  <c r="U7" i="33"/>
  <c r="AB7" i="33"/>
  <c r="J7" i="34"/>
  <c r="F7" i="33"/>
  <c r="J7" i="33"/>
  <c r="H7" i="34"/>
  <c r="J7" i="37"/>
  <c r="F7" i="37"/>
  <c r="F46" i="36"/>
  <c r="AC7" i="77"/>
  <c r="V49" i="77" s="1"/>
  <c r="I49" i="77" s="1"/>
  <c r="W7" i="77"/>
  <c r="C9" i="68"/>
  <c r="D19" i="68"/>
  <c r="D37" i="68" s="1"/>
  <c r="C37" i="68" s="1"/>
  <c r="C29" i="68"/>
  <c r="D27" i="68" s="1"/>
  <c r="F45" i="68"/>
  <c r="C47" i="68"/>
  <c r="D45" i="68" s="1"/>
  <c r="C10" i="68"/>
  <c r="C35" i="68"/>
  <c r="C38" i="68"/>
  <c r="Q71" i="67"/>
  <c r="F69" i="67"/>
  <c r="F50" i="67"/>
  <c r="M7" i="67"/>
  <c r="J6" i="67" s="1"/>
  <c r="J18" i="67" s="1"/>
  <c r="F71" i="67"/>
  <c r="J53" i="67"/>
  <c r="F1" i="67" s="1"/>
  <c r="L56" i="67"/>
  <c r="I54" i="67"/>
  <c r="J57" i="67"/>
  <c r="J55" i="67" s="1"/>
  <c r="J58" i="67" s="1"/>
  <c r="Q50" i="67" s="1"/>
  <c r="F51" i="67"/>
  <c r="F65" i="67"/>
  <c r="F66" i="67"/>
  <c r="F68" i="67"/>
  <c r="C27" i="67"/>
  <c r="F64" i="67"/>
  <c r="C6" i="67"/>
  <c r="C32" i="67" s="1"/>
  <c r="F70" i="67"/>
  <c r="L59" i="67"/>
  <c r="Q61" i="67" s="1"/>
  <c r="N59" i="67"/>
  <c r="L58" i="67"/>
  <c r="Q73" i="67" s="1"/>
  <c r="M59" i="67"/>
  <c r="C6" i="15"/>
  <c r="C32" i="15" s="1"/>
  <c r="F71" i="15"/>
  <c r="C18" i="15"/>
  <c r="C15" i="15"/>
  <c r="F64" i="15"/>
  <c r="F66" i="15"/>
  <c r="F69" i="15"/>
  <c r="J57" i="15"/>
  <c r="J55" i="15" s="1"/>
  <c r="J58" i="15" s="1"/>
  <c r="Q50" i="15" s="1"/>
  <c r="J53" i="15"/>
  <c r="L56" i="15" s="1"/>
  <c r="I54" i="15"/>
  <c r="C27" i="15"/>
  <c r="F51" i="15"/>
  <c r="M7" i="15"/>
  <c r="J6" i="15" s="1"/>
  <c r="J18" i="15" s="1"/>
  <c r="F50" i="15"/>
  <c r="Q71" i="15"/>
  <c r="M59" i="15"/>
  <c r="L58" i="15"/>
  <c r="Q60" i="15" s="1"/>
  <c r="L59" i="15"/>
  <c r="Q74" i="15" s="1"/>
  <c r="N59" i="15"/>
  <c r="F65" i="15"/>
  <c r="F68" i="15"/>
  <c r="Q16" i="1"/>
  <c r="F28" i="12" s="1"/>
  <c r="C29" i="12" s="1"/>
  <c r="D28" i="12" s="1"/>
  <c r="D5" i="74"/>
  <c r="D8" i="74"/>
  <c r="D6" i="74"/>
  <c r="D7" i="74"/>
  <c r="C33" i="68"/>
  <c r="C39" i="68" s="1"/>
  <c r="P28" i="43"/>
  <c r="C35" i="9"/>
  <c r="C34" i="9" s="1"/>
  <c r="B2" i="70"/>
  <c r="G1" i="73"/>
  <c r="C16" i="67"/>
  <c r="C14" i="67"/>
  <c r="C17" i="15"/>
  <c r="C17" i="67"/>
  <c r="C16" i="15"/>
  <c r="W25" i="34" l="1"/>
  <c r="AC25" i="34"/>
  <c r="M11" i="67"/>
  <c r="J10" i="67" s="1"/>
  <c r="J5" i="67" s="1"/>
  <c r="J24" i="67" s="1"/>
  <c r="F11" i="67"/>
  <c r="C53" i="67" s="1"/>
  <c r="M28" i="43"/>
  <c r="G20" i="43" s="1"/>
  <c r="C20" i="43" s="1"/>
  <c r="F11" i="15"/>
  <c r="C53" i="15" s="1"/>
  <c r="O28" i="43"/>
  <c r="E27" i="6"/>
  <c r="K19" i="6" s="1"/>
  <c r="B40" i="1"/>
  <c r="F24" i="15" s="1"/>
  <c r="C24" i="15" s="1"/>
  <c r="G63" i="40"/>
  <c r="F65" i="40"/>
  <c r="R39" i="35"/>
  <c r="E38" i="35"/>
  <c r="G43" i="35"/>
  <c r="H43" i="35" s="1"/>
  <c r="G42" i="35"/>
  <c r="H42" i="35" s="1"/>
  <c r="H16" i="1"/>
  <c r="C34" i="69"/>
  <c r="C35" i="69" s="1"/>
  <c r="G16" i="1"/>
  <c r="H10" i="40" s="1"/>
  <c r="AB10" i="40" s="1"/>
  <c r="K16" i="1"/>
  <c r="K4" i="4"/>
  <c r="B46" i="48" s="1"/>
  <c r="B4" i="72" s="1"/>
  <c r="B5" i="62"/>
  <c r="B73" i="72" s="1"/>
  <c r="E6" i="3"/>
  <c r="Q60" i="67"/>
  <c r="C34" i="11"/>
  <c r="C38" i="11" s="1"/>
  <c r="N16" i="1"/>
  <c r="F50" i="69" s="1"/>
  <c r="L16" i="1"/>
  <c r="D17" i="12"/>
  <c r="C17" i="12" s="1"/>
  <c r="C14" i="12"/>
  <c r="C16" i="12" s="1"/>
  <c r="C131" i="34"/>
  <c r="C33" i="33"/>
  <c r="C8" i="74"/>
  <c r="C7" i="74"/>
  <c r="C6" i="74"/>
  <c r="C5" i="74"/>
  <c r="K25" i="6"/>
  <c r="M25" i="6" s="1"/>
  <c r="I25" i="6" s="1"/>
  <c r="S25" i="6" s="1"/>
  <c r="K24" i="6"/>
  <c r="M24" i="6" s="1"/>
  <c r="I24" i="6" s="1"/>
  <c r="S24" i="6" s="1"/>
  <c r="K23" i="6"/>
  <c r="M23" i="6" s="1"/>
  <c r="I23" i="6" s="1"/>
  <c r="S23" i="6" s="1"/>
  <c r="K21" i="6"/>
  <c r="M21" i="6" s="1"/>
  <c r="I21" i="6" s="1"/>
  <c r="S21" i="6" s="1"/>
  <c r="K26" i="6"/>
  <c r="M26" i="6" s="1"/>
  <c r="I26" i="6" s="1"/>
  <c r="S26" i="6" s="1"/>
  <c r="E31" i="6"/>
  <c r="K22" i="6"/>
  <c r="M22" i="6" s="1"/>
  <c r="I22" i="6" s="1"/>
  <c r="S22" i="6" s="1"/>
  <c r="K20" i="6"/>
  <c r="C34" i="77"/>
  <c r="J34" i="34"/>
  <c r="H34" i="34"/>
  <c r="F34" i="34"/>
  <c r="C9" i="78"/>
  <c r="C12" i="78"/>
  <c r="C10" i="78"/>
  <c r="E66" i="39"/>
  <c r="C10" i="69"/>
  <c r="C8" i="69" s="1"/>
  <c r="C5" i="69" s="1"/>
  <c r="D19" i="69"/>
  <c r="D23" i="6"/>
  <c r="D22" i="6"/>
  <c r="D8" i="6"/>
  <c r="D11" i="6"/>
  <c r="D14" i="6"/>
  <c r="D10" i="6"/>
  <c r="D24" i="6"/>
  <c r="D6" i="6"/>
  <c r="D21" i="6"/>
  <c r="D28" i="6"/>
  <c r="D9" i="6"/>
  <c r="E61" i="40"/>
  <c r="D29" i="6"/>
  <c r="D13" i="6"/>
  <c r="D5" i="6"/>
  <c r="D20" i="6"/>
  <c r="D12" i="6"/>
  <c r="D19" i="6"/>
  <c r="D26" i="6"/>
  <c r="C18" i="4"/>
  <c r="D25" i="6"/>
  <c r="D15" i="6"/>
  <c r="H22" i="6"/>
  <c r="AC7" i="37"/>
  <c r="V42" i="37" s="1"/>
  <c r="I42" i="37" s="1"/>
  <c r="W7" i="37"/>
  <c r="W7" i="33"/>
  <c r="AC7" i="33"/>
  <c r="AC7" i="34"/>
  <c r="W7" i="34"/>
  <c r="F68" i="39"/>
  <c r="E70" i="39"/>
  <c r="R50" i="77"/>
  <c r="E49" i="77"/>
  <c r="G58" i="21"/>
  <c r="C8" i="68"/>
  <c r="I53" i="77"/>
  <c r="J53" i="77" s="1"/>
  <c r="I54" i="77"/>
  <c r="J54" i="77" s="1"/>
  <c r="G46" i="36"/>
  <c r="S7" i="37"/>
  <c r="AA7" i="37"/>
  <c r="R42" i="37" s="1"/>
  <c r="U7" i="34"/>
  <c r="AB7" i="34"/>
  <c r="AA7" i="33"/>
  <c r="S7" i="33"/>
  <c r="G53" i="77"/>
  <c r="H53" i="77" s="1"/>
  <c r="G54" i="77"/>
  <c r="H54" i="77" s="1"/>
  <c r="AB7" i="37"/>
  <c r="T42" i="37" s="1"/>
  <c r="G42" i="37" s="1"/>
  <c r="U7" i="37"/>
  <c r="Q73" i="15"/>
  <c r="C15" i="67"/>
  <c r="C18" i="67"/>
  <c r="J10" i="15"/>
  <c r="J5" i="15" s="1"/>
  <c r="J26" i="15" s="1"/>
  <c r="J29" i="15" s="1"/>
  <c r="Q52" i="67"/>
  <c r="Q74" i="67"/>
  <c r="Q61" i="15"/>
  <c r="Q52" i="15"/>
  <c r="C49" i="67"/>
  <c r="F27" i="11"/>
  <c r="C29" i="11" s="1"/>
  <c r="D27" i="11" s="1"/>
  <c r="F27" i="69"/>
  <c r="C29" i="69" s="1"/>
  <c r="D27" i="69" s="1"/>
  <c r="C19" i="15"/>
  <c r="C20" i="15" s="1"/>
  <c r="C26" i="15" s="1"/>
  <c r="F1" i="15"/>
  <c r="C49" i="15"/>
  <c r="F50" i="68"/>
  <c r="C46" i="68"/>
  <c r="C45" i="68" s="1"/>
  <c r="J10" i="40" l="1"/>
  <c r="C10" i="67"/>
  <c r="C5" i="67" s="1"/>
  <c r="C38" i="67" s="1"/>
  <c r="C10" i="15"/>
  <c r="C5" i="15" s="1"/>
  <c r="C38" i="15" s="1"/>
  <c r="E41" i="43"/>
  <c r="C41" i="43" s="1"/>
  <c r="C39" i="43" s="1"/>
  <c r="C38" i="69"/>
  <c r="C47" i="11"/>
  <c r="D45" i="11" s="1"/>
  <c r="H23" i="6"/>
  <c r="C35" i="11"/>
  <c r="F50" i="11"/>
  <c r="F22" i="69"/>
  <c r="C26" i="69" s="1"/>
  <c r="D22" i="69" s="1"/>
  <c r="F25" i="12"/>
  <c r="C26" i="12" s="1"/>
  <c r="D25" i="12" s="1"/>
  <c r="F24" i="67"/>
  <c r="C24" i="67" s="1"/>
  <c r="H26" i="6"/>
  <c r="R26" i="6" s="1"/>
  <c r="H25" i="6"/>
  <c r="R25" i="6" s="1"/>
  <c r="M19" i="6"/>
  <c r="I19" i="6" s="1"/>
  <c r="S6" i="1"/>
  <c r="I18" i="78"/>
  <c r="C18" i="78" s="1"/>
  <c r="E16" i="78" s="1"/>
  <c r="F22" i="11"/>
  <c r="C44" i="11" s="1"/>
  <c r="D41" i="11" s="1"/>
  <c r="F22" i="68"/>
  <c r="C26" i="68" s="1"/>
  <c r="D22" i="68" s="1"/>
  <c r="C38" i="35"/>
  <c r="C39" i="35"/>
  <c r="B2" i="35" s="1"/>
  <c r="B3" i="35" s="1"/>
  <c r="G65" i="40"/>
  <c r="H63" i="40"/>
  <c r="E43" i="35"/>
  <c r="F43" i="35" s="1"/>
  <c r="E42" i="35"/>
  <c r="F42" i="35" s="1"/>
  <c r="I43" i="35"/>
  <c r="J43" i="35" s="1"/>
  <c r="C42" i="68"/>
  <c r="C41" i="68" s="1"/>
  <c r="J10" i="39"/>
  <c r="W10" i="39" s="1"/>
  <c r="U10" i="40"/>
  <c r="H10" i="39"/>
  <c r="U10" i="39" s="1"/>
  <c r="F10" i="40"/>
  <c r="AA10" i="40" s="1"/>
  <c r="F10" i="39"/>
  <c r="S10" i="39" s="1"/>
  <c r="H24" i="6"/>
  <c r="R24" i="6" s="1"/>
  <c r="R22" i="6"/>
  <c r="C13" i="78"/>
  <c r="C14" i="78" s="1"/>
  <c r="C20" i="78" s="1"/>
  <c r="C19" i="78" s="1"/>
  <c r="C21" i="12"/>
  <c r="C22" i="12" s="1"/>
  <c r="C30" i="12" s="1"/>
  <c r="C28" i="12" s="1"/>
  <c r="D16" i="6"/>
  <c r="D30" i="6"/>
  <c r="R23" i="6"/>
  <c r="C48" i="67"/>
  <c r="C60" i="67" s="1"/>
  <c r="C28" i="11"/>
  <c r="C27" i="11" s="1"/>
  <c r="H21" i="6"/>
  <c r="R21" i="6" s="1"/>
  <c r="U34" i="34"/>
  <c r="AB34" i="34"/>
  <c r="F34" i="77"/>
  <c r="H34" i="77"/>
  <c r="J34" i="77"/>
  <c r="T49" i="34"/>
  <c r="G49" i="34" s="1"/>
  <c r="G53" i="34" s="1"/>
  <c r="H53" i="34" s="1"/>
  <c r="S34" i="34"/>
  <c r="AA34" i="34"/>
  <c r="R49" i="34" s="1"/>
  <c r="W34" i="34"/>
  <c r="AC34" i="34"/>
  <c r="V49" i="34" s="1"/>
  <c r="I49" i="34" s="1"/>
  <c r="I53" i="34" s="1"/>
  <c r="J53" i="34" s="1"/>
  <c r="M20" i="6"/>
  <c r="K27" i="6"/>
  <c r="A7" i="51"/>
  <c r="B7" i="72" s="1"/>
  <c r="A10" i="51"/>
  <c r="B9" i="72" s="1"/>
  <c r="C4" i="52"/>
  <c r="B45" i="72" s="1"/>
  <c r="D27" i="6"/>
  <c r="C19" i="69"/>
  <c r="C20" i="69" s="1"/>
  <c r="D37" i="69"/>
  <c r="C37" i="69" s="1"/>
  <c r="C19" i="67"/>
  <c r="C20" i="67" s="1"/>
  <c r="R43" i="37"/>
  <c r="E42" i="37"/>
  <c r="H46" i="36"/>
  <c r="E53" i="77"/>
  <c r="F53" i="77" s="1"/>
  <c r="E54" i="77"/>
  <c r="F54" i="77" s="1"/>
  <c r="J24" i="15"/>
  <c r="G46" i="37"/>
  <c r="H46" i="37" s="1"/>
  <c r="G47" i="37"/>
  <c r="H47" i="37" s="1"/>
  <c r="H58" i="21"/>
  <c r="C49" i="77"/>
  <c r="C50" i="77"/>
  <c r="F70" i="39"/>
  <c r="G68" i="39"/>
  <c r="I46" i="37"/>
  <c r="J46" i="37" s="1"/>
  <c r="I47" i="37"/>
  <c r="J47" i="37" s="1"/>
  <c r="F45" i="69"/>
  <c r="J26" i="67"/>
  <c r="J29" i="67" s="1"/>
  <c r="C47" i="69"/>
  <c r="D45" i="69" s="1"/>
  <c r="C23" i="15"/>
  <c r="C29" i="15" s="1"/>
  <c r="C33" i="15" s="1"/>
  <c r="C48" i="15"/>
  <c r="C60" i="15" s="1"/>
  <c r="AB10" i="39"/>
  <c r="C33" i="11"/>
  <c r="AC10" i="39"/>
  <c r="AC10" i="40"/>
  <c r="W10" i="40"/>
  <c r="C37" i="43"/>
  <c r="T11" i="43"/>
  <c r="V11" i="43" s="1"/>
  <c r="T10" i="43"/>
  <c r="V10" i="43" s="1"/>
  <c r="T12" i="43"/>
  <c r="V12" i="43" s="1"/>
  <c r="T16" i="43"/>
  <c r="V16" i="43" s="1"/>
  <c r="C35" i="43"/>
  <c r="C34" i="43"/>
  <c r="T15" i="43"/>
  <c r="V15" i="43" s="1"/>
  <c r="T8" i="43"/>
  <c r="V8" i="43" s="1"/>
  <c r="T9" i="43"/>
  <c r="V9" i="43" s="1"/>
  <c r="C33" i="43"/>
  <c r="T13" i="43"/>
  <c r="V13" i="43" s="1"/>
  <c r="T14" i="43"/>
  <c r="V14" i="43" s="1"/>
  <c r="C36" i="43"/>
  <c r="C25" i="11" l="1"/>
  <c r="C25" i="69"/>
  <c r="C33" i="69"/>
  <c r="C39" i="69" s="1"/>
  <c r="C43" i="69" s="1"/>
  <c r="C38" i="43"/>
  <c r="G38" i="43" s="1"/>
  <c r="I38" i="43" s="1"/>
  <c r="C42" i="11"/>
  <c r="C24" i="11"/>
  <c r="C23" i="67"/>
  <c r="C44" i="69"/>
  <c r="D41" i="69" s="1"/>
  <c r="F41" i="69"/>
  <c r="F41" i="68"/>
  <c r="C44" i="68"/>
  <c r="D41" i="68" s="1"/>
  <c r="C49" i="68" s="1"/>
  <c r="C51" i="68" s="1"/>
  <c r="AA10" i="39"/>
  <c r="C23" i="11"/>
  <c r="C26" i="11"/>
  <c r="D22" i="11" s="1"/>
  <c r="C23" i="69"/>
  <c r="D31" i="6"/>
  <c r="I5" i="6" s="1"/>
  <c r="S16" i="1"/>
  <c r="AQ6" i="1"/>
  <c r="E6" i="70"/>
  <c r="E2" i="70" s="1"/>
  <c r="B3" i="70" s="1"/>
  <c r="AR6" i="1"/>
  <c r="T6" i="1"/>
  <c r="T16" i="1" s="1"/>
  <c r="S19" i="6"/>
  <c r="H19" i="6"/>
  <c r="R19" i="6" s="1"/>
  <c r="R6" i="1" s="1"/>
  <c r="C24" i="68"/>
  <c r="C43" i="68"/>
  <c r="I63" i="40"/>
  <c r="H65" i="40"/>
  <c r="S10" i="40"/>
  <c r="G54" i="34"/>
  <c r="H54" i="34" s="1"/>
  <c r="C17" i="78"/>
  <c r="C16" i="78" s="1"/>
  <c r="C66" i="67"/>
  <c r="C27" i="12"/>
  <c r="C25" i="12" s="1"/>
  <c r="C32" i="12" s="1"/>
  <c r="B2" i="12" s="1"/>
  <c r="B3" i="12" s="1"/>
  <c r="C66" i="15"/>
  <c r="C28" i="69"/>
  <c r="C27" i="69" s="1"/>
  <c r="C24" i="69"/>
  <c r="U33" i="33"/>
  <c r="AB33" i="33"/>
  <c r="T48" i="33" s="1"/>
  <c r="G48" i="33" s="1"/>
  <c r="E49" i="34"/>
  <c r="R50" i="34"/>
  <c r="AB34" i="77"/>
  <c r="U34" i="77"/>
  <c r="AA33" i="33"/>
  <c r="R48" i="33" s="1"/>
  <c r="S33" i="33"/>
  <c r="AC33" i="33"/>
  <c r="V48" i="33" s="1"/>
  <c r="I48" i="33" s="1"/>
  <c r="I52" i="33" s="1"/>
  <c r="J52" i="33" s="1"/>
  <c r="W33" i="33"/>
  <c r="I20" i="6"/>
  <c r="M27" i="6"/>
  <c r="W34" i="77"/>
  <c r="AC34" i="77"/>
  <c r="AA34" i="77"/>
  <c r="S34" i="77"/>
  <c r="C26" i="67"/>
  <c r="G70" i="39"/>
  <c r="H68" i="39"/>
  <c r="I58" i="21"/>
  <c r="E46" i="37"/>
  <c r="F46" i="37" s="1"/>
  <c r="E47" i="37"/>
  <c r="F47" i="37" s="1"/>
  <c r="B2" i="77"/>
  <c r="B3" i="77"/>
  <c r="I46" i="36"/>
  <c r="C42" i="37"/>
  <c r="C43" i="37"/>
  <c r="B2" i="37" s="1"/>
  <c r="B3" i="37" s="1"/>
  <c r="C39" i="11"/>
  <c r="C43" i="11" s="1"/>
  <c r="J59" i="15"/>
  <c r="J60" i="15" s="1"/>
  <c r="Q48" i="15" s="1"/>
  <c r="J14" i="15"/>
  <c r="J22" i="15" s="1"/>
  <c r="J19" i="15"/>
  <c r="C13" i="15"/>
  <c r="C56" i="15" s="1"/>
  <c r="C65" i="15" s="1"/>
  <c r="C36" i="15"/>
  <c r="Q49" i="15"/>
  <c r="C57" i="15"/>
  <c r="C64" i="15" s="1"/>
  <c r="G33" i="43"/>
  <c r="I33" i="43" s="1"/>
  <c r="E33" i="43"/>
  <c r="G37" i="43"/>
  <c r="I37" i="43" s="1"/>
  <c r="E37" i="43"/>
  <c r="G39" i="43"/>
  <c r="I39" i="43" s="1"/>
  <c r="E39" i="43"/>
  <c r="E36" i="43"/>
  <c r="G36" i="43"/>
  <c r="I36" i="43" s="1"/>
  <c r="G34" i="43"/>
  <c r="I34" i="43" s="1"/>
  <c r="E34" i="43"/>
  <c r="E35" i="43"/>
  <c r="G35" i="43"/>
  <c r="I35" i="43" s="1"/>
  <c r="C42" i="69" l="1"/>
  <c r="C41" i="69" s="1"/>
  <c r="C46" i="69"/>
  <c r="C45" i="69" s="1"/>
  <c r="C41" i="11"/>
  <c r="C22" i="69"/>
  <c r="C31" i="69" s="1"/>
  <c r="E38" i="43"/>
  <c r="C22" i="11"/>
  <c r="C31" i="11" s="1"/>
  <c r="C29" i="67"/>
  <c r="J14" i="67" s="1"/>
  <c r="J22" i="67" s="1"/>
  <c r="I6" i="6"/>
  <c r="J63" i="40"/>
  <c r="I65" i="40"/>
  <c r="C23" i="78"/>
  <c r="C27" i="78" s="1"/>
  <c r="J13" i="15"/>
  <c r="J23" i="15" s="1"/>
  <c r="I27" i="6"/>
  <c r="S20" i="6"/>
  <c r="S27" i="6" s="1"/>
  <c r="H20" i="6"/>
  <c r="R49" i="33"/>
  <c r="E48" i="33"/>
  <c r="E54" i="34"/>
  <c r="F54" i="34" s="1"/>
  <c r="I54" i="34"/>
  <c r="J54" i="34" s="1"/>
  <c r="E53" i="34"/>
  <c r="F53" i="34" s="1"/>
  <c r="C50" i="34"/>
  <c r="C49" i="34"/>
  <c r="G53" i="33"/>
  <c r="H53" i="33" s="1"/>
  <c r="G52" i="33"/>
  <c r="H52" i="33" s="1"/>
  <c r="G3" i="43"/>
  <c r="I7" i="6"/>
  <c r="C46" i="11"/>
  <c r="C45" i="11" s="1"/>
  <c r="J46" i="36"/>
  <c r="H70" i="39"/>
  <c r="I68" i="39"/>
  <c r="J58" i="21"/>
  <c r="C37" i="15"/>
  <c r="L46" i="15"/>
  <c r="Q70" i="15"/>
  <c r="C75" i="15"/>
  <c r="C61" i="15"/>
  <c r="C49" i="69" l="1"/>
  <c r="C51" i="69" s="1"/>
  <c r="C49" i="11"/>
  <c r="C51" i="11" s="1"/>
  <c r="C52" i="11" s="1"/>
  <c r="B2" i="11" s="1"/>
  <c r="B3" i="11" s="1"/>
  <c r="C13" i="67"/>
  <c r="Q70" i="67" s="1"/>
  <c r="C36" i="67"/>
  <c r="Q49" i="67"/>
  <c r="J13" i="67"/>
  <c r="J23" i="67" s="1"/>
  <c r="J19" i="67"/>
  <c r="C57" i="67"/>
  <c r="C61" i="67" s="1"/>
  <c r="C33" i="67"/>
  <c r="J59" i="67"/>
  <c r="J60" i="67" s="1"/>
  <c r="K63" i="40"/>
  <c r="J65" i="40"/>
  <c r="C7" i="78"/>
  <c r="C28" i="78" s="1"/>
  <c r="C24" i="78" s="1"/>
  <c r="R20" i="6"/>
  <c r="H27" i="6"/>
  <c r="C48" i="33"/>
  <c r="C49" i="33"/>
  <c r="B3" i="34"/>
  <c r="B2" i="34"/>
  <c r="D36" i="78"/>
  <c r="J8" i="78" s="1"/>
  <c r="E53" i="33"/>
  <c r="F53" i="33" s="1"/>
  <c r="E52" i="33"/>
  <c r="F52" i="33" s="1"/>
  <c r="I53" i="33"/>
  <c r="J53" i="33" s="1"/>
  <c r="K101" i="43"/>
  <c r="AE11" i="43"/>
  <c r="AE13" i="43" s="1"/>
  <c r="M101" i="43"/>
  <c r="H22" i="43"/>
  <c r="AC11" i="43"/>
  <c r="AC13" i="43" s="1"/>
  <c r="I101" i="43"/>
  <c r="E22" i="43"/>
  <c r="B113" i="43"/>
  <c r="G101" i="43"/>
  <c r="AA11" i="43"/>
  <c r="AA13" i="43" s="1"/>
  <c r="J101" i="43"/>
  <c r="AI11" i="43"/>
  <c r="AI13" i="43" s="1"/>
  <c r="AJ11" i="43"/>
  <c r="AJ13" i="43" s="1"/>
  <c r="Y11" i="43"/>
  <c r="Y13" i="43" s="1"/>
  <c r="Z7" i="43"/>
  <c r="G22" i="43"/>
  <c r="E101" i="43"/>
  <c r="AB11" i="43"/>
  <c r="AB13" i="43" s="1"/>
  <c r="N101" i="43"/>
  <c r="F101" i="43"/>
  <c r="N104" i="46"/>
  <c r="AG11" i="43"/>
  <c r="AG13" i="43" s="1"/>
  <c r="C101" i="43"/>
  <c r="AH11" i="43"/>
  <c r="AH13" i="43" s="1"/>
  <c r="L101" i="43"/>
  <c r="H101" i="43"/>
  <c r="Z11" i="43"/>
  <c r="Z13" i="43" s="1"/>
  <c r="F22" i="43"/>
  <c r="D101" i="43"/>
  <c r="J22" i="43"/>
  <c r="AF11" i="43"/>
  <c r="AF13" i="43" s="1"/>
  <c r="AD11" i="43"/>
  <c r="AD13" i="43" s="1"/>
  <c r="K58" i="21"/>
  <c r="L58" i="21" s="1"/>
  <c r="M58" i="21" s="1"/>
  <c r="N58" i="21" s="1"/>
  <c r="O58" i="21" s="1"/>
  <c r="J7" i="21"/>
  <c r="F7" i="21"/>
  <c r="K46" i="36"/>
  <c r="H7" i="21"/>
  <c r="I70" i="39"/>
  <c r="J68" i="39"/>
  <c r="C52" i="69"/>
  <c r="B2" i="69" s="1"/>
  <c r="B3" i="69" s="1"/>
  <c r="C56" i="67" l="1"/>
  <c r="C65" i="67" s="1"/>
  <c r="C37" i="67"/>
  <c r="C64" i="67"/>
  <c r="C75" i="67"/>
  <c r="Q48" i="67"/>
  <c r="L46" i="67"/>
  <c r="C56" i="11"/>
  <c r="C57" i="11" s="1"/>
  <c r="L63" i="40"/>
  <c r="K65" i="40"/>
  <c r="R7" i="1"/>
  <c r="R27" i="6"/>
  <c r="C3" i="78"/>
  <c r="C4" i="78" s="1"/>
  <c r="C30" i="78" s="1"/>
  <c r="C31" i="78" s="1"/>
  <c r="D37" i="78" s="1"/>
  <c r="B2" i="33"/>
  <c r="B3" i="33"/>
  <c r="H102" i="43"/>
  <c r="H107" i="43"/>
  <c r="H103" i="43"/>
  <c r="H106" i="43"/>
  <c r="H109" i="43"/>
  <c r="H105" i="43"/>
  <c r="H104" i="43"/>
  <c r="C102" i="43"/>
  <c r="C106" i="43"/>
  <c r="C109" i="43"/>
  <c r="C105" i="43"/>
  <c r="C103" i="43"/>
  <c r="C104" i="43"/>
  <c r="C107" i="43"/>
  <c r="D106" i="43"/>
  <c r="D103" i="43"/>
  <c r="D105" i="43"/>
  <c r="D102" i="43"/>
  <c r="D109" i="43"/>
  <c r="D107" i="43"/>
  <c r="D104" i="43"/>
  <c r="L102" i="43"/>
  <c r="L103" i="43"/>
  <c r="L109" i="43"/>
  <c r="L105" i="43"/>
  <c r="L104" i="43"/>
  <c r="L106" i="43"/>
  <c r="L107" i="43"/>
  <c r="F104" i="43"/>
  <c r="F102" i="43"/>
  <c r="F106" i="43"/>
  <c r="F103" i="43"/>
  <c r="F109" i="43"/>
  <c r="F107" i="43"/>
  <c r="F105" i="43"/>
  <c r="E107" i="43"/>
  <c r="E109" i="43"/>
  <c r="E106" i="43"/>
  <c r="E103" i="43"/>
  <c r="E104" i="43"/>
  <c r="E102" i="43"/>
  <c r="E105" i="43"/>
  <c r="J103" i="43"/>
  <c r="J106" i="43"/>
  <c r="J104" i="43"/>
  <c r="J102" i="43"/>
  <c r="J107" i="43"/>
  <c r="J109" i="43"/>
  <c r="J105" i="43"/>
  <c r="D118" i="43"/>
  <c r="E118" i="43" s="1"/>
  <c r="F118" i="43" s="1"/>
  <c r="I116" i="43"/>
  <c r="J116" i="43" s="1"/>
  <c r="K116" i="43" s="1"/>
  <c r="L116" i="43" s="1"/>
  <c r="M116" i="43" s="1"/>
  <c r="B117" i="43"/>
  <c r="C117" i="43" s="1"/>
  <c r="D116" i="43"/>
  <c r="E116" i="43" s="1"/>
  <c r="F116" i="43" s="1"/>
  <c r="G116" i="43" s="1"/>
  <c r="H116" i="43" s="1"/>
  <c r="B118" i="43"/>
  <c r="C118" i="43" s="1"/>
  <c r="D117" i="43"/>
  <c r="E117" i="43" s="1"/>
  <c r="F117" i="43" s="1"/>
  <c r="G117" i="43" s="1"/>
  <c r="H117" i="43" s="1"/>
  <c r="D115" i="43"/>
  <c r="E115" i="43" s="1"/>
  <c r="F115" i="43" s="1"/>
  <c r="G115" i="43" s="1"/>
  <c r="H115" i="43" s="1"/>
  <c r="I118" i="43"/>
  <c r="J118" i="43" s="1"/>
  <c r="K118" i="43" s="1"/>
  <c r="L118" i="43" s="1"/>
  <c r="M118" i="43" s="1"/>
  <c r="B115" i="43"/>
  <c r="B116" i="43"/>
  <c r="C116" i="43" s="1"/>
  <c r="I117" i="43"/>
  <c r="J117" i="43" s="1"/>
  <c r="K117" i="43" s="1"/>
  <c r="L117" i="43" s="1"/>
  <c r="M117" i="43" s="1"/>
  <c r="I115" i="43"/>
  <c r="J115" i="43" s="1"/>
  <c r="K115" i="43" s="1"/>
  <c r="L115" i="43" s="1"/>
  <c r="M115" i="43" s="1"/>
  <c r="G118" i="43"/>
  <c r="H118" i="43" s="1"/>
  <c r="N103" i="43"/>
  <c r="N104" i="43"/>
  <c r="N109" i="43"/>
  <c r="N107" i="43"/>
  <c r="N106" i="43"/>
  <c r="N102" i="43"/>
  <c r="N105" i="43"/>
  <c r="G106" i="43"/>
  <c r="G109" i="43"/>
  <c r="G104" i="43"/>
  <c r="G105" i="43"/>
  <c r="G103" i="43"/>
  <c r="G107" i="43"/>
  <c r="G102" i="43"/>
  <c r="D22" i="43"/>
  <c r="I106" i="43"/>
  <c r="I107" i="43"/>
  <c r="I103" i="43"/>
  <c r="I104" i="43"/>
  <c r="I109" i="43"/>
  <c r="I102" i="43"/>
  <c r="I105" i="43"/>
  <c r="M106" i="43"/>
  <c r="M104" i="43"/>
  <c r="M103" i="43"/>
  <c r="M105" i="43"/>
  <c r="M109" i="43"/>
  <c r="M102" i="43"/>
  <c r="M107" i="43"/>
  <c r="K103" i="43"/>
  <c r="K109" i="43"/>
  <c r="K102" i="43"/>
  <c r="K107" i="43"/>
  <c r="K104" i="43"/>
  <c r="K106" i="43"/>
  <c r="K105" i="43"/>
  <c r="K68" i="39"/>
  <c r="J70" i="39"/>
  <c r="AC7" i="21"/>
  <c r="V48" i="21" s="1"/>
  <c r="I48" i="21" s="1"/>
  <c r="W7" i="21"/>
  <c r="U7" i="21"/>
  <c r="AB7" i="21"/>
  <c r="T48" i="21" s="1"/>
  <c r="G48" i="21" s="1"/>
  <c r="L46" i="36"/>
  <c r="AA7" i="21"/>
  <c r="R48" i="21" s="1"/>
  <c r="S7" i="21"/>
  <c r="C57" i="69"/>
  <c r="C56" i="69" s="1"/>
  <c r="M21" i="67"/>
  <c r="F35" i="67"/>
  <c r="F35" i="15"/>
  <c r="M21" i="15"/>
  <c r="S4" i="43" l="1"/>
  <c r="T4" i="43" s="1"/>
  <c r="V4" i="43" s="1"/>
  <c r="C23" i="43"/>
  <c r="C21" i="43" s="1"/>
  <c r="C29" i="43" s="1"/>
  <c r="C30" i="43" s="1"/>
  <c r="E30" i="43" s="1"/>
  <c r="C27" i="43" s="1"/>
  <c r="S5" i="43"/>
  <c r="T5" i="43" s="1"/>
  <c r="V5" i="43" s="1"/>
  <c r="S2" i="43"/>
  <c r="T2" i="43" s="1"/>
  <c r="V2" i="43" s="1"/>
  <c r="C26" i="43" s="1"/>
  <c r="B2" i="43" s="1"/>
  <c r="S6" i="43"/>
  <c r="T6" i="43" s="1"/>
  <c r="V6" i="43" s="1"/>
  <c r="S7" i="43"/>
  <c r="T7" i="43" s="1"/>
  <c r="V7" i="43" s="1"/>
  <c r="S3" i="43"/>
  <c r="T3" i="43" s="1"/>
  <c r="V3" i="43" s="1"/>
  <c r="M63" i="40"/>
  <c r="L65" i="40"/>
  <c r="F63" i="67"/>
  <c r="C62" i="67" s="1"/>
  <c r="C59" i="67" s="1"/>
  <c r="C58" i="67" s="1"/>
  <c r="C67" i="67" s="1"/>
  <c r="C68" i="67" s="1"/>
  <c r="C34" i="67"/>
  <c r="C31" i="67" s="1"/>
  <c r="C30" i="67" s="1"/>
  <c r="C39" i="67" s="1"/>
  <c r="J20" i="67"/>
  <c r="J17" i="67" s="1"/>
  <c r="J16" i="67" s="1"/>
  <c r="J25" i="67" s="1"/>
  <c r="F63" i="15"/>
  <c r="C62" i="15" s="1"/>
  <c r="C59" i="15" s="1"/>
  <c r="C58" i="15" s="1"/>
  <c r="C67" i="15" s="1"/>
  <c r="C68" i="15" s="1"/>
  <c r="C34" i="15"/>
  <c r="C31" i="15" s="1"/>
  <c r="C30" i="15" s="1"/>
  <c r="C39" i="15" s="1"/>
  <c r="J20" i="15"/>
  <c r="J17" i="15" s="1"/>
  <c r="J16" i="15" s="1"/>
  <c r="J25" i="15" s="1"/>
  <c r="R16" i="1"/>
  <c r="J9" i="78"/>
  <c r="G34" i="78"/>
  <c r="D38" i="78"/>
  <c r="I34" i="78" s="1"/>
  <c r="I35" i="78" s="1"/>
  <c r="C115" i="43"/>
  <c r="D113" i="43" s="1"/>
  <c r="G52" i="21"/>
  <c r="H52" i="21" s="1"/>
  <c r="G53" i="21"/>
  <c r="H53" i="21" s="1"/>
  <c r="L68" i="39"/>
  <c r="K70" i="39"/>
  <c r="E48" i="21"/>
  <c r="I53" i="21" s="1"/>
  <c r="J53" i="21" s="1"/>
  <c r="R49" i="21"/>
  <c r="M46" i="36"/>
  <c r="I52" i="21"/>
  <c r="J52" i="21" s="1"/>
  <c r="E6" i="76"/>
  <c r="L51" i="15"/>
  <c r="B6" i="76"/>
  <c r="L51" i="67"/>
  <c r="H38" i="78" l="1"/>
  <c r="I38" i="78"/>
  <c r="E29" i="43"/>
  <c r="B2" i="76"/>
  <c r="C6" i="68"/>
  <c r="C7" i="68" s="1"/>
  <c r="C5" i="68" s="1"/>
  <c r="B3" i="43"/>
  <c r="N63" i="40"/>
  <c r="M65" i="40"/>
  <c r="L57" i="67"/>
  <c r="L60" i="67" s="1"/>
  <c r="Q67" i="67"/>
  <c r="L57" i="15"/>
  <c r="L60" i="15" s="1"/>
  <c r="Q67" i="15"/>
  <c r="C71" i="15"/>
  <c r="C40" i="67"/>
  <c r="C80" i="67"/>
  <c r="C79" i="67" s="1"/>
  <c r="Q69" i="67"/>
  <c r="Q68" i="67" s="1"/>
  <c r="C40" i="15"/>
  <c r="C80" i="15"/>
  <c r="C79" i="15" s="1"/>
  <c r="Q69" i="15"/>
  <c r="Q68" i="15" s="1"/>
  <c r="C71" i="67"/>
  <c r="C39" i="78"/>
  <c r="C40" i="78" s="1"/>
  <c r="J10" i="78"/>
  <c r="E39" i="78"/>
  <c r="E2" i="76"/>
  <c r="C49" i="21"/>
  <c r="B2" i="21" s="1"/>
  <c r="B3" i="21" s="1"/>
  <c r="C48" i="21"/>
  <c r="N46" i="36"/>
  <c r="O46" i="36" s="1"/>
  <c r="E53" i="21"/>
  <c r="F53" i="21" s="1"/>
  <c r="E52" i="21"/>
  <c r="F52" i="21" s="1"/>
  <c r="L70" i="39"/>
  <c r="M68" i="39"/>
  <c r="B3" i="76" l="1"/>
  <c r="C23" i="68"/>
  <c r="C22" i="68" s="1"/>
  <c r="C20" i="68"/>
  <c r="H7" i="36"/>
  <c r="O63" i="40"/>
  <c r="O65" i="40" s="1"/>
  <c r="N65" i="40"/>
  <c r="J7" i="40" s="1"/>
  <c r="Q65" i="67"/>
  <c r="D2" i="67"/>
  <c r="Q56" i="67"/>
  <c r="C43" i="67"/>
  <c r="Q47" i="67"/>
  <c r="Q53" i="67" s="1"/>
  <c r="C83" i="67"/>
  <c r="C82" i="67" s="1"/>
  <c r="Q66" i="15"/>
  <c r="Q57" i="15"/>
  <c r="Q66" i="67"/>
  <c r="Q57" i="67"/>
  <c r="C45" i="67"/>
  <c r="C46" i="67" s="1"/>
  <c r="Q47" i="15"/>
  <c r="Q53" i="15" s="1"/>
  <c r="Q65" i="15"/>
  <c r="C83" i="15"/>
  <c r="C82" i="15" s="1"/>
  <c r="B2" i="15"/>
  <c r="B3" i="15" s="1"/>
  <c r="C43" i="15"/>
  <c r="Q56" i="15"/>
  <c r="C46" i="15"/>
  <c r="E40" i="78"/>
  <c r="AB7" i="36"/>
  <c r="T36" i="36" s="1"/>
  <c r="G36" i="36" s="1"/>
  <c r="U7" i="36"/>
  <c r="F7" i="36"/>
  <c r="J7" i="36"/>
  <c r="M70" i="39"/>
  <c r="N68" i="39"/>
  <c r="D2" i="77"/>
  <c r="E2" i="68"/>
  <c r="AE6" i="1"/>
  <c r="C25" i="68" l="1"/>
  <c r="C28" i="68"/>
  <c r="C27" i="68" s="1"/>
  <c r="C31" i="68" s="1"/>
  <c r="C52" i="68" s="1"/>
  <c r="AC7" i="40"/>
  <c r="V42" i="40" s="1"/>
  <c r="I42" i="40" s="1"/>
  <c r="W7" i="40"/>
  <c r="H7" i="40"/>
  <c r="F7" i="40"/>
  <c r="Q75" i="15"/>
  <c r="Q62" i="15"/>
  <c r="Q62" i="67"/>
  <c r="Q75" i="67"/>
  <c r="B3" i="67"/>
  <c r="B2" i="67"/>
  <c r="AA7" i="36"/>
  <c r="R36" i="36" s="1"/>
  <c r="S7" i="36"/>
  <c r="N70" i="39"/>
  <c r="O68" i="39"/>
  <c r="O70" i="39" s="1"/>
  <c r="AC7" i="36"/>
  <c r="V36" i="36" s="1"/>
  <c r="I36" i="36" s="1"/>
  <c r="G41" i="36" s="1"/>
  <c r="H41" i="36" s="1"/>
  <c r="W7" i="36"/>
  <c r="G40" i="36"/>
  <c r="H40" i="36" s="1"/>
  <c r="B2" i="68" l="1"/>
  <c r="C57" i="68"/>
  <c r="C56" i="68" s="1"/>
  <c r="S7" i="40"/>
  <c r="AA7" i="40"/>
  <c r="R42" i="40" s="1"/>
  <c r="AB7" i="40"/>
  <c r="T42" i="40" s="1"/>
  <c r="G42" i="40" s="1"/>
  <c r="U7" i="40"/>
  <c r="I46" i="40"/>
  <c r="J46" i="40" s="1"/>
  <c r="J7" i="39"/>
  <c r="F7" i="39"/>
  <c r="H7" i="39"/>
  <c r="I40" i="36"/>
  <c r="J40" i="36" s="1"/>
  <c r="R37" i="36"/>
  <c r="E36" i="36"/>
  <c r="B3" i="68"/>
  <c r="E42" i="40" l="1"/>
  <c r="R43" i="40"/>
  <c r="G47" i="40"/>
  <c r="H47" i="40" s="1"/>
  <c r="G46" i="40"/>
  <c r="H46" i="40" s="1"/>
  <c r="E40" i="36"/>
  <c r="F40" i="36" s="1"/>
  <c r="E41" i="36"/>
  <c r="F41" i="36" s="1"/>
  <c r="I41" i="36"/>
  <c r="J41" i="36" s="1"/>
  <c r="C36" i="36"/>
  <c r="C37" i="36"/>
  <c r="B2" i="36" s="1"/>
  <c r="B3" i="36" s="1"/>
  <c r="AA7" i="39"/>
  <c r="R47" i="39" s="1"/>
  <c r="S7" i="39"/>
  <c r="AB7" i="39"/>
  <c r="T47" i="39" s="1"/>
  <c r="G47" i="39" s="1"/>
  <c r="U7" i="39"/>
  <c r="W7" i="39"/>
  <c r="AC7" i="39"/>
  <c r="V47" i="39" s="1"/>
  <c r="I47" i="39" s="1"/>
  <c r="E46" i="40" l="1"/>
  <c r="F46" i="40" s="1"/>
  <c r="E47" i="40"/>
  <c r="F47" i="40" s="1"/>
  <c r="I47" i="40"/>
  <c r="J47" i="40" s="1"/>
  <c r="C42" i="40"/>
  <c r="C43" i="40"/>
  <c r="G51" i="39"/>
  <c r="H51" i="39" s="1"/>
  <c r="G52" i="39"/>
  <c r="H52" i="39" s="1"/>
  <c r="E47" i="39"/>
  <c r="I52" i="39" s="1"/>
  <c r="J52" i="39" s="1"/>
  <c r="R48" i="39"/>
  <c r="I51" i="39"/>
  <c r="J51" i="39" s="1"/>
  <c r="F61" i="40" l="1"/>
  <c r="B2" i="40" s="1"/>
  <c r="B3" i="40" s="1"/>
  <c r="B53" i="40"/>
  <c r="F53" i="40" s="1"/>
  <c r="B54" i="40"/>
  <c r="F54" i="40" s="1"/>
  <c r="B58" i="40"/>
  <c r="F58" i="40" s="1"/>
  <c r="B56" i="40"/>
  <c r="F56" i="40" s="1"/>
  <c r="B57" i="40"/>
  <c r="F57" i="40" s="1"/>
  <c r="B59" i="40"/>
  <c r="F59" i="40" s="1"/>
  <c r="B55" i="40"/>
  <c r="F55" i="40" s="1"/>
  <c r="B52" i="40"/>
  <c r="F52" i="40" s="1"/>
  <c r="B60" i="40"/>
  <c r="F60" i="40" s="1"/>
  <c r="B51" i="40"/>
  <c r="F51" i="40" s="1"/>
  <c r="C48" i="39"/>
  <c r="C47" i="39"/>
  <c r="E51" i="39"/>
  <c r="F51" i="39" s="1"/>
  <c r="E52" i="39"/>
  <c r="F52" i="39" s="1"/>
  <c r="B61" i="39" l="1"/>
  <c r="F61" i="39" s="1"/>
  <c r="B56" i="39"/>
  <c r="F56" i="39" s="1"/>
  <c r="F66" i="39" s="1"/>
  <c r="B2" i="39" s="1"/>
  <c r="B3" i="39" s="1"/>
  <c r="B59" i="39"/>
  <c r="F59" i="39" s="1"/>
  <c r="B62" i="39"/>
  <c r="F62" i="39" s="1"/>
  <c r="B58" i="39"/>
  <c r="F58" i="39" s="1"/>
  <c r="B65" i="39"/>
  <c r="F65" i="39" s="1"/>
  <c r="B60" i="39"/>
  <c r="F60" i="39" s="1"/>
  <c r="B64" i="39"/>
  <c r="F64" i="39" s="1"/>
  <c r="B63" i="39"/>
  <c r="F63" i="39" s="1"/>
  <c r="B57" i="39"/>
  <c r="F57" i="39" s="1"/>
  <c r="E97" i="9" l="1"/>
  <c r="E96" i="9"/>
  <c r="C96" i="9"/>
  <c r="B47" i="72"/>
  <c r="D4" i="52"/>
  <c r="B48" i="72"/>
  <c r="E4" i="52"/>
  <c r="B49" i="72"/>
  <c r="D5" i="52"/>
  <c r="E118" i="9"/>
  <c r="D118" i="9"/>
  <c r="D119" i="9"/>
  <c r="N61" i="9"/>
  <c r="N59" i="9"/>
  <c r="N60" i="9"/>
  <c r="B22" i="72"/>
  <c r="D6" i="53"/>
  <c r="D8" i="52"/>
  <c r="B51" i="72"/>
  <c r="F4" i="52"/>
  <c r="H5" i="52"/>
  <c r="H119" i="9"/>
  <c r="D52" i="9"/>
  <c r="D53" i="9"/>
  <c r="B30" i="72"/>
  <c r="C85" i="9"/>
  <c r="C95" i="9"/>
  <c r="C97" i="9"/>
  <c r="D58" i="9"/>
  <c r="D56" i="9"/>
  <c r="M54" i="9"/>
  <c r="H102" i="9"/>
  <c r="D7" i="53"/>
  <c r="B21" i="72"/>
  <c r="G4" i="52"/>
  <c r="B52" i="72"/>
  <c r="C104" i="9"/>
  <c r="H4" i="52"/>
  <c r="D13" i="53"/>
  <c r="D14" i="53"/>
  <c r="B32" i="72"/>
  <c r="C78" i="9"/>
  <c r="C73" i="9"/>
  <c r="M48" i="9"/>
  <c r="C105" i="9"/>
  <c r="I4" i="52"/>
  <c r="C93" i="9"/>
  <c r="C86" i="9"/>
  <c r="C68" i="9"/>
  <c r="D54" i="9"/>
  <c r="C64" i="9"/>
  <c r="C63" i="9"/>
  <c r="C67" i="9"/>
  <c r="D59" i="9"/>
  <c r="M55" i="9"/>
  <c r="G118" i="9"/>
  <c r="F118" i="9"/>
  <c r="F119" i="9"/>
  <c r="F5" i="52"/>
  <c r="B53" i="72"/>
  <c r="P57" i="9"/>
  <c r="D55" i="9"/>
  <c r="M53" i="9"/>
  <c r="N57" i="9"/>
  <c r="N58" i="9"/>
  <c r="H108" i="9"/>
  <c r="D15" i="53"/>
  <c r="B31" i="72"/>
  <c r="C81" i="9"/>
  <c r="D45" i="9"/>
  <c r="C72" i="9"/>
  <c r="C79" i="9"/>
  <c r="C80" i="9"/>
  <c r="E80" i="9"/>
  <c r="E81" i="9"/>
  <c r="D5" i="53"/>
  <c r="B20" i="7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<sst xmlns="http://schemas.openxmlformats.org/spreadsheetml/2006/main" count="8030" uniqueCount="3371">
  <si>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</si>
  <si>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</si>
  <si>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</si>
  <si>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</si>
  <si>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</si>
  <si>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</si>
  <si>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</si>
  <si>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</si>
  <si>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</si>
  <si>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</si>
  <si>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</si>
  <si>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</si>
  <si>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</si>
  <si>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</si>
  <si>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</si>
  <si>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</si>
  <si>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</si>
  <si>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</si>
  <si>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</si>
  <si>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</si>
  <si>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</si>
  <si>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</si>
  <si>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</si>
  <si>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</si>
  <si>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</si>
  <si>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</si>
  <si>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</si>
  <si>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</si>
  <si>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</si>
  <si>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</si>
  <si>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</si>
  <si>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</si>
  <si>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</si>
  <si>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</si>
  <si>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</si>
  <si>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</si>
  <si>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</si>
  <si>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</si>
  <si>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</si>
  <si>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</si>
  <si>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</si>
  <si>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</si>
  <si>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</si>
  <si>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</si>
  <si>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</si>
  <si>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</si>
  <si>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</si>
  <si>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</si>
  <si>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</si>
  <si>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</si>
  <si>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</si>
  <si>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</si>
  <si>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</si>
  <si>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</si>
  <si>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</si>
  <si>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</si>
  <si>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</si>
  <si>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</si>
  <si>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</si>
  <si>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</si>
  <si>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</si>
  <si>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</si>
  <si>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</si>
  <si>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</si>
  <si>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</si>
  <si>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</si>
  <si>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</si>
  <si>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</si>
  <si>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</si>
  <si>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</si>
  <si>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</si>
  <si>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</si>
  <si>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</si>
  <si>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</si>
  <si>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</si>
  <si>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</si>
  <si>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</si>
  <si>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</si>
  <si>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</si>
  <si>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</si>
  <si>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</si>
  <si>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</si>
  <si>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</si>
  <si>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</si>
  <si>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</si>
  <si>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</si>
  <si>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</si>
  <si>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</si>
  <si>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</si>
  <si>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</si>
  <si>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</si>
  <si>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</si>
  <si>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</si>
  <si>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</si>
  <si>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</si>
  <si>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</si>
  <si>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</si>
  <si>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</si>
  <si>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</si>
  <si>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</si>
  <si>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</si>
  <si>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</si>
  <si>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</si>
  <si>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</si>
  <si>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</si>
  <si>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</si>
  <si>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</si>
  <si>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</si>
  <si>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</si>
  <si>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</si>
  <si>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</si>
  <si>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</si>
  <si>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</si>
  <si>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</si>
  <si>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</si>
  <si>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</si>
  <si>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</si>
  <si>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</si>
  <si>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</si>
  <si>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</si>
  <si>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</si>
  <si>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</si>
  <si>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</si>
  <si>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</si>
  <si>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</si>
  <si>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</si>
  <si>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</si>
  <si>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</si>
  <si>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</si>
  <si>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</si>
  <si>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</si>
  <si>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</si>
  <si>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</si>
  <si>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</si>
  <si>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</si>
  <si>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</si>
  <si>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</si>
  <si>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</si>
  <si>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</si>
  <si>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</si>
  <si>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</si>
  <si>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</si>
  <si>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</si>
  <si>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</si>
  <si>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</si>
  <si>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</si>
  <si>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</si>
  <si>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</si>
  <si>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</si>
  <si>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</si>
  <si>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</si>
  <si>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</si>
  <si>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</si>
  <si>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</si>
  <si>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</si>
  <si>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</si>
  <si>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</si>
  <si>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</si>
  <si>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</si>
  <si>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</si>
  <si>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</si>
  <si>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</si>
  <si>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</si>
  <si>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</si>
  <si>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</si>
  <si>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</si>
  <si>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</si>
  <si>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</si>
  <si>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</si>
  <si>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</si>
  <si>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</si>
  <si>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</si>
  <si>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</si>
  <si>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</si>
  <si>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</si>
  <si>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</si>
  <si>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</si>
  <si>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</si>
  <si>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</si>
  <si>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</si>
  <si>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</si>
  <si>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</si>
  <si>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</si>
  <si>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</si>
  <si>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</si>
  <si>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</si>
  <si>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</si>
  <si>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</si>
  <si>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</si>
  <si>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</si>
  <si>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</si>
  <si>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</si>
  <si>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</si>
  <si>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</si>
  <si>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</si>
  <si>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</si>
  <si>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</si>
  <si>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</si>
  <si>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</si>
  <si>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</si>
  <si>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</si>
  <si>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</si>
  <si>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</si>
  <si>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</si>
  <si>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</si>
  <si>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</si>
  <si>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</si>
  <si>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</si>
  <si>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</si>
  <si>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</si>
  <si>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</si>
  <si>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</si>
  <si>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</si>
  <si>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</si>
  <si>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</si>
  <si>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</si>
  <si>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</si>
  <si>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</si>
  <si>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</si>
  <si>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</si>
  <si>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</si>
  <si>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</si>
  <si>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</si>
  <si>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</si>
  <si>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</si>
  <si>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</si>
  <si>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</si>
  <si>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</si>
  <si>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</si>
  <si>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</si>
  <si>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</si>
  <si>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</si>
  <si>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</si>
  <si>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</si>
  <si>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</si>
  <si>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</si>
  <si>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</si>
  <si>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</si>
  <si>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</si>
  <si>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</si>
  <si>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</si>
  <si>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</si>
  <si>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</si>
  <si>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</si>
  <si>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</si>
  <si>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</si>
  <si>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</si>
  <si>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</si>
  <si>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</si>
  <si>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</si>
  <si>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</si>
  <si>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</si>
  <si>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</si>
  <si>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</si>
  <si>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</si>
  <si>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</si>
  <si>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</si>
  <si>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</si>
  <si>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</si>
  <si>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</si>
  <si>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</si>
  <si>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</si>
  <si>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</si>
  <si>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</si>
  <si>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</si>
  <si>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</si>
  <si>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</si>
  <si>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</si>
  <si>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</si>
  <si>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</si>
  <si>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</si>
  <si>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</si>
  <si>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</si>
  <si>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</si>
  <si>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</si>
  <si>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</si>
  <si>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</si>
  <si>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</si>
  <si>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</si>
  <si>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</si>
  <si>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</si>
  <si>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</si>
  <si>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</si>
  <si>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</si>
  <si>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</si>
  <si>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</si>
  <si>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</si>
  <si>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</si>
  <si>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</si>
  <si>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</si>
  <si>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</si>
  <si>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</si>
  <si>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</si>
  <si>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</si>
  <si>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</si>
  <si>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</si>
  <si>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</si>
  <si>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</si>
  <si>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</si>
  <si>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</si>
  <si>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</si>
  <si>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</si>
  <si>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</si>
  <si>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</si>
  <si>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</si>
  <si>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</si>
  <si>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</si>
  <si>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</si>
  <si>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</si>
  <si>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</si>
  <si>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</si>
  <si>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</si>
  <si>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</si>
  <si>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</si>
  <si>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</si>
  <si>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</si>
  <si>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</si>
  <si>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</si>
  <si>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</si>
  <si>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</si>
  <si>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</si>
  <si>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</si>
  <si>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</si>
  <si>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</si>
  <si>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</si>
  <si>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</si>
  <si>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</si>
  <si>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</si>
  <si>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</si>
  <si>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</si>
  <si>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</si>
  <si>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</si>
  <si>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</si>
  <si>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</si>
  <si>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</si>
  <si>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</si>
  <si>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</si>
  <si>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</si>
  <si>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</si>
  <si>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</si>
  <si>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</si>
  <si>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</si>
  <si>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</si>
  <si>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</si>
  <si>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</si>
  <si>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</si>
  <si>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</si>
  <si>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</si>
  <si>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</si>
  <si>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</si>
  <si>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</si>
  <si>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</si>
  <si>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</si>
  <si>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</si>
  <si>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</si>
  <si>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</si>
  <si>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</si>
  <si>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</si>
  <si>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</si>
  <si>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</si>
  <si>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</si>
  <si>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</si>
  <si>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</si>
  <si>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</si>
  <si>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</si>
  <si>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</si>
  <si>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</si>
  <si>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</si>
  <si>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</si>
  <si>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</si>
  <si>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</si>
  <si>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</si>
  <si>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</si>
  <si>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</si>
  <si>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</si>
  <si>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</si>
  <si>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</si>
  <si>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</si>
  <si>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</si>
  <si>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</si>
  <si>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</si>
  <si>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</si>
  <si>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</si>
  <si>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</si>
  <si>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</si>
  <si>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</si>
  <si>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</si>
  <si>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</si>
  <si>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</si>
  <si>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</si>
  <si>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</si>
  <si>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</si>
  <si>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</si>
  <si>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</si>
  <si>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</si>
  <si>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</si>
  <si>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</si>
  <si>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</si>
  <si>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</si>
  <si>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</si>
  <si>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</si>
  <si>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</si>
  <si>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</si>
  <si>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</si>
  <si>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</si>
  <si>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</si>
  <si>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</si>
  <si>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</si>
  <si>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</si>
  <si>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</si>
  <si>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</si>
  <si>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</si>
  <si>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</si>
  <si>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</si>
  <si>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</si>
  <si>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</si>
  <si>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</si>
  <si>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</si>
  <si>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</si>
  <si>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</si>
  <si>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</si>
  <si>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</si>
  <si>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</si>
  <si>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</si>
  <si>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</si>
  <si>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</si>
  <si>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</si>
  <si>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</si>
  <si>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</si>
  <si>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</si>
  <si>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</si>
  <si>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</si>
  <si>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</si>
  <si>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</si>
  <si>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</si>
  <si>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</si>
  <si>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</si>
  <si>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</si>
  <si>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</si>
  <si>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</si>
  <si>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</si>
  <si>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</si>
  <si>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</si>
  <si>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</si>
  <si>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</si>
  <si>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</si>
  <si>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</si>
  <si>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</si>
  <si>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</si>
  <si>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</si>
  <si>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</si>
  <si>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</si>
  <si>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</si>
  <si>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</si>
  <si>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</si>
  <si>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</si>
  <si>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</si>
  <si>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</si>
  <si>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</si>
  <si>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</si>
  <si>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</si>
  <si>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</si>
  <si>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</si>
  <si>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</si>
  <si>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</si>
  <si>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</si>
  <si>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</si>
  <si>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</si>
  <si>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</si>
  <si>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</si>
  <si>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</si>
  <si>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</si>
  <si>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</si>
  <si>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</si>
  <si>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</si>
  <si>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</si>
  <si>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</si>
  <si>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</si>
  <si>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</si>
  <si>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</si>
  <si>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</si>
  <si>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</si>
  <si>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</si>
  <si>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</si>
  <si>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</si>
  <si>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</si>
  <si>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</si>
  <si>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</si>
  <si>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</si>
  <si>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</si>
  <si>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</si>
  <si>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</si>
  <si>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</si>
  <si>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</si>
  <si>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</si>
  <si>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</si>
  <si>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</si>
  <si>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</si>
  <si>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</si>
  <si>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</si>
  <si>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</si>
  <si>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</si>
  <si>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</si>
  <si>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</si>
  <si>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</si>
  <si>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</si>
  <si>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</si>
  <si>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</si>
  <si>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</si>
  <si>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</si>
  <si>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</si>
  <si>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</si>
  <si>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</si>
  <si>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</si>
  <si>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</si>
  <si>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</si>
  <si>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</si>
  <si>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</si>
  <si>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</si>
  <si>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</si>
  <si>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</si>
  <si>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</si>
  <si>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</si>
  <si>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</si>
  <si>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</si>
  <si>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</si>
  <si>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</si>
  <si>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</si>
  <si>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</si>
  <si>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</si>
  <si>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</si>
  <si>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</si>
  <si>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</si>
  <si>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</si>
  <si>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</si>
  <si>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</si>
  <si>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</si>
  <si>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</si>
  <si>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</si>
  <si>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</si>
  <si>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</si>
  <si>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</si>
  <si>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</si>
  <si>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</si>
  <si>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</si>
  <si>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</si>
  <si>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</si>
  <si>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</si>
  <si>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</si>
  <si>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</si>
  <si>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</si>
  <si>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</si>
  <si>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</si>
  <si>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</si>
  <si>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</si>
  <si>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</si>
  <si>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</si>
  <si>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</si>
  <si>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</si>
  <si>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</si>
  <si>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</si>
  <si>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</si>
  <si>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</si>
  <si>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</si>
  <si>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</si>
  <si>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</si>
  <si>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</si>
  <si>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</si>
  <si>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</si>
  <si>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</si>
  <si>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</si>
  <si>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</si>
  <si>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</si>
  <si>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</si>
  <si>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</si>
  <si>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</si>
  <si>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</si>
  <si>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</si>
  <si>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</si>
  <si>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</si>
  <si>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</si>
  <si>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</si>
  <si>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</si>
  <si>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</si>
  <si>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</si>
  <si>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</si>
  <si>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</si>
  <si>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</si>
  <si>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</si>
  <si>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</si>
  <si>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</si>
  <si>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</si>
  <si>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</si>
  <si>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</si>
  <si>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</si>
  <si>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</si>
  <si>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</si>
  <si>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</si>
  <si>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</si>
  <si>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</si>
  <si>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</si>
  <si>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</si>
  <si>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</si>
  <si>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</si>
  <si>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</si>
  <si>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</si>
  <si>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</si>
  <si>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</si>
  <si>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</si>
  <si>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</si>
  <si>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</si>
  <si>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</si>
  <si>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</si>
  <si>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</si>
  <si>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</si>
  <si>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</si>
  <si>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</si>
  <si>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</si>
  <si>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</si>
  <si>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</si>
  <si>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</si>
  <si>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</si>
  <si>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</si>
  <si>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</si>
  <si>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</si>
  <si>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</si>
  <si>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</si>
  <si>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</si>
  <si>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</si>
  <si>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</si>
  <si>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</si>
  <si>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</si>
  <si>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</si>
  <si>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</si>
  <si>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</si>
  <si>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</si>
  <si>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</si>
  <si>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</si>
  <si>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</si>
  <si>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</si>
  <si>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</si>
  <si>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</si>
  <si>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</si>
  <si>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</si>
  <si>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</si>
  <si>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</si>
  <si>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</si>
  <si>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</si>
  <si>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</si>
  <si>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</si>
  <si>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</si>
  <si>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</si>
  <si>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</si>
  <si>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</si>
  <si>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</si>
  <si>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</si>
  <si>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</si>
  <si>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</si>
  <si>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</si>
  <si>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</si>
  <si>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</si>
  <si>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</si>
  <si>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</si>
  <si>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</si>
  <si>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</si>
  <si>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</si>
  <si>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</si>
  <si>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</si>
  <si>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</si>
  <si>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</si>
  <si>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</si>
  <si>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</si>
  <si>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</si>
  <si>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</si>
  <si>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</si>
  <si>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</si>
  <si>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</si>
  <si>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</si>
  <si>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</si>
  <si>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</si>
  <si>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</si>
  <si>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</si>
  <si>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</si>
  <si>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</si>
  <si>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</si>
  <si>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</si>
  <si>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</si>
  <si>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</si>
  <si>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</si>
  <si>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</si>
  <si>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</si>
  <si>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</si>
  <si>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</si>
  <si>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</si>
  <si>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</si>
  <si>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</si>
  <si>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</si>
  <si>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</si>
  <si>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</si>
  <si>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</si>
  <si>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</si>
  <si>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</si>
  <si>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</si>
  <si>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</si>
  <si>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</si>
  <si>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</si>
  <si>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</si>
  <si>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</si>
  <si>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</si>
  <si>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</si>
  <si>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</si>
  <si>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</si>
  <si>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</si>
  <si>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</si>
  <si>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</si>
  <si>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</si>
  <si>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</si>
  <si>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</si>
  <si>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</si>
  <si>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</si>
  <si>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</si>
  <si>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</si>
  <si>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</si>
  <si>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</si>
  <si>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</si>
  <si>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</si>
  <si>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</si>
  <si>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</si>
  <si>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</si>
  <si>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</si>
  <si>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</si>
  <si>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</si>
  <si>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</si>
  <si>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</si>
  <si>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</si>
  <si>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</si>
  <si>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</si>
  <si>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</si>
  <si>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</si>
  <si>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</si>
  <si>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</si>
  <si>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</si>
  <si>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</si>
  <si>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</si>
  <si>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</si>
  <si>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</si>
  <si>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</si>
  <si>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</si>
  <si>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</si>
  <si>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</si>
  <si>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</si>
  <si>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</si>
  <si>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</si>
  <si>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</si>
  <si>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</si>
  <si>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</si>
  <si>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</si>
  <si>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</si>
  <si>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</si>
  <si>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</si>
  <si>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</si>
  <si>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</si>
  <si>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</si>
  <si>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</si>
  <si>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</si>
  <si>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</si>
  <si>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</si>
  <si>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</si>
  <si>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</si>
  <si>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</si>
  <si>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</si>
  <si>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</si>
  <si>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</si>
  <si>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</si>
  <si>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</si>
  <si>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</si>
  <si>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</si>
  <si>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</si>
  <si>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</si>
  <si>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</si>
  <si>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</si>
  <si>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</si>
  <si>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</si>
  <si>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</si>
  <si>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</si>
  <si>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</si>
  <si>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</si>
  <si>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</si>
  <si>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</si>
  <si>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</si>
  <si>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</si>
  <si>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</si>
  <si>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</si>
  <si>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</si>
  <si>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</si>
  <si>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</si>
  <si>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</si>
  <si>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</si>
  <si>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</si>
  <si>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</si>
  <si>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</si>
  <si>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</si>
  <si>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</si>
  <si>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</si>
  <si>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</si>
  <si>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</si>
  <si>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</si>
  <si>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</si>
  <si>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</si>
  <si>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</si>
  <si>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</si>
  <si>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</si>
  <si>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</si>
  <si>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</si>
  <si>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</si>
  <si>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</si>
  <si>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</si>
  <si>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</si>
  <si>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</si>
  <si>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</si>
  <si>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</si>
  <si>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</si>
  <si>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</si>
  <si>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</si>
  <si>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</si>
  <si>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</si>
  <si>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</si>
  <si>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</si>
  <si>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</si>
  <si>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</si>
  <si>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</si>
  <si>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</si>
  <si>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</si>
  <si>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</si>
  <si>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</si>
  <si>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</si>
  <si>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</si>
  <si>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</si>
  <si>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</si>
  <si>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</si>
  <si>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</si>
  <si>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</si>
  <si>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</si>
  <si>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</si>
  <si>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</si>
  <si>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</si>
  <si>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</si>
  <si>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</si>
  <si>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</si>
  <si>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</si>
  <si>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</si>
  <si>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</si>
  <si>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</si>
  <si>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</si>
  <si>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</si>
  <si>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</si>
  <si>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</si>
  <si>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</si>
  <si>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</si>
  <si>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</si>
  <si>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</si>
  <si>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</si>
  <si>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</si>
  <si>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</si>
  <si>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</si>
  <si>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</si>
  <si>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</si>
  <si>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</si>
  <si>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</si>
  <si>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</si>
  <si>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</si>
  <si>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</si>
  <si>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</si>
  <si>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</si>
  <si>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</si>
  <si>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</si>
  <si>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</si>
  <si>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</si>
  <si>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</si>
  <si>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</si>
  <si>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</si>
  <si>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</si>
  <si>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</si>
  <si>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</si>
  <si>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</si>
  <si>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</si>
  <si>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</si>
  <si>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</si>
  <si>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</si>
  <si>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</si>
  <si>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</si>
  <si>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</si>
  <si>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</si>
  <si>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</si>
  <si>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</si>
  <si>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</si>
  <si>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</si>
  <si>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</si>
  <si>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</si>
  <si>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</si>
  <si>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</si>
  <si>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</si>
  <si>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</si>
  <si>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</si>
  <si>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</si>
  <si>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</si>
  <si>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</si>
  <si>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</si>
  <si>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</si>
  <si>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</si>
  <si>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</si>
  <si>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</si>
  <si>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</si>
  <si>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</si>
  <si>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</si>
  <si>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</si>
  <si>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</si>
  <si>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</si>
  <si>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</si>
  <si>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</si>
  <si>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</si>
  <si>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</si>
  <si>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</si>
  <si>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</si>
  <si>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</si>
  <si>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</si>
  <si>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</si>
  <si>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</si>
  <si>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</si>
  <si>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</si>
  <si>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</si>
  <si>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</si>
  <si>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</si>
  <si>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</si>
  <si>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</si>
  <si>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</si>
  <si>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</si>
  <si>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</si>
  <si>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</si>
  <si>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</si>
  <si>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</si>
  <si>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</si>
  <si>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</si>
  <si>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</si>
  <si>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</si>
  <si>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</si>
  <si>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</si>
  <si>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</si>
  <si>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</si>
  <si>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</si>
  <si>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</si>
  <si>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</si>
  <si>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</si>
  <si>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</si>
  <si>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</si>
  <si>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</si>
  <si>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</si>
  <si>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</si>
  <si>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</si>
  <si>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</si>
  <si>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</si>
  <si>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</si>
  <si>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</si>
  <si>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</si>
  <si>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</si>
  <si>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</si>
  <si>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</si>
  <si>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</si>
  <si>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</si>
  <si>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</si>
  <si>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</si>
  <si>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</si>
  <si>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</si>
  <si>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</si>
  <si>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</si>
  <si>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</si>
  <si>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</si>
  <si>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</si>
  <si>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</si>
  <si>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</si>
  <si>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</si>
  <si>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</si>
  <si>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</si>
  <si>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</si>
  <si>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</si>
  <si>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</si>
  <si>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</si>
  <si>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</si>
  <si>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</si>
  <si>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</si>
  <si>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</si>
  <si>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</si>
  <si>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</si>
  <si>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</si>
  <si>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</si>
  <si>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</si>
  <si>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</si>
  <si>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</si>
  <si>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</si>
  <si>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</si>
  <si>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</si>
  <si>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</si>
  <si>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</si>
  <si>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</si>
  <si>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</si>
  <si>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</si>
  <si>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</si>
  <si>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</si>
  <si>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</si>
  <si>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</si>
  <si>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</si>
  <si>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</si>
  <si>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</si>
  <si>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</si>
  <si>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</si>
  <si>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</si>
  <si>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</si>
  <si>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</si>
  <si>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</si>
  <si>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</si>
  <si>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</si>
  <si>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</si>
  <si>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</si>
  <si>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</si>
  <si>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</si>
  <si>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</si>
  <si>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</si>
  <si>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</si>
  <si>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</si>
  <si>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</si>
  <si>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</si>
  <si>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</si>
  <si>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</si>
  <si>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</si>
  <si>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</si>
  <si>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</si>
  <si>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</si>
  <si>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</si>
  <si>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</si>
  <si>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</si>
  <si>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</si>
  <si>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</si>
  <si>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</si>
  <si>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</si>
  <si>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</si>
  <si>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</si>
  <si>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</si>
  <si>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</si>
  <si>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</si>
  <si>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</si>
  <si>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</si>
  <si>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</si>
  <si>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</si>
  <si>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</si>
  <si>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</si>
  <si>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</si>
  <si>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</si>
  <si>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</si>
  <si>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</si>
  <si>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</si>
  <si>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</si>
  <si>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</si>
  <si>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</si>
  <si>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</si>
  <si>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</si>
  <si>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</si>
  <si>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</si>
  <si>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</si>
  <si>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</si>
  <si>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</si>
  <si>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</si>
  <si>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</si>
  <si>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</si>
  <si>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</si>
  <si>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</si>
  <si>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</si>
  <si>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</si>
  <si>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</si>
  <si>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</si>
  <si>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</si>
  <si>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</si>
  <si>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</si>
  <si>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</si>
  <si>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</si>
  <si>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</si>
  <si>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</si>
  <si>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</si>
  <si>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</si>
  <si>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</si>
  <si>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</si>
  <si>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</si>
  <si>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</si>
  <si>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</si>
  <si>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</si>
  <si>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</si>
  <si>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</si>
  <si>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</si>
  <si>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</si>
  <si>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</si>
  <si>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</si>
  <si>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</si>
  <si>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</si>
  <si>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</si>
  <si>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</si>
  <si>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</si>
  <si>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</si>
  <si>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</si>
  <si>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</si>
  <si>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</si>
  <si>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</si>
  <si>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</si>
  <si>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</si>
  <si>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</si>
  <si>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</si>
  <si>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</si>
  <si>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</si>
  <si>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</si>
  <si>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</si>
  <si>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</si>
  <si>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</si>
  <si>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</si>
  <si>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</si>
  <si>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</si>
  <si>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</si>
  <si>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</si>
  <si>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</si>
  <si>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</si>
  <si>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</si>
  <si>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</si>
  <si>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</si>
  <si>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</si>
  <si>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</si>
  <si>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</si>
  <si>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</si>
  <si>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</si>
  <si>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</si>
  <si>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</si>
  <si>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</si>
  <si>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</si>
  <si>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</si>
  <si>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</si>
  <si>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</si>
  <si>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</si>
  <si>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</si>
  <si>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</si>
  <si>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</si>
  <si>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</si>
  <si>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</si>
  <si>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</si>
  <si>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</si>
  <si>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</si>
  <si>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</si>
  <si>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</si>
  <si>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</si>
  <si>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</si>
  <si>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</si>
  <si>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</si>
  <si>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</si>
  <si>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</si>
  <si>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</si>
  <si>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</si>
  <si>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</si>
  <si>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</si>
  <si>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</si>
  <si>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</si>
  <si>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</si>
  <si>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</si>
  <si>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</si>
  <si>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</si>
  <si>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</si>
  <si>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</si>
  <si>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</si>
  <si>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</si>
  <si>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</si>
  <si>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</si>
  <si>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</si>
  <si>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</si>
  <si>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</si>
  <si>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</si>
  <si>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</si>
  <si>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</si>
  <si>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</si>
  <si>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</si>
  <si>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</si>
  <si>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</si>
  <si>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</si>
  <si>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</si>
  <si>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</si>
  <si>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</si>
  <si>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</si>
  <si>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</si>
  <si>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</si>
  <si>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</si>
  <si>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</si>
  <si>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</si>
  <si>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</si>
  <si>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</si>
  <si>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</si>
  <si>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</si>
  <si>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</si>
  <si>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</si>
  <si>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</si>
  <si>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</si>
  <si>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</si>
  <si>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</si>
  <si>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</si>
  <si>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</si>
  <si>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</si>
  <si>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</si>
  <si>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</si>
  <si>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</si>
  <si>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</si>
  <si>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</si>
  <si>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</si>
  <si>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</si>
  <si>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</si>
  <si>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</si>
  <si>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</si>
  <si>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</si>
  <si>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</si>
  <si>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</si>
  <si>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</si>
  <si>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</si>
  <si>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</si>
  <si>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</si>
  <si>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</si>
  <si>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</si>
  <si>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</si>
  <si>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</si>
  <si>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</si>
  <si>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</si>
  <si>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</si>
  <si>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</si>
  <si>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</si>
  <si>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</si>
  <si>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</si>
  <si>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</si>
  <si>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</si>
  <si>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</si>
  <si>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</si>
  <si>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</si>
  <si>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</si>
  <si>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</si>
  <si>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</si>
  <si>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</si>
  <si>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</si>
  <si>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</si>
  <si>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</si>
  <si>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</si>
  <si>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</si>
  <si>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</si>
  <si>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</si>
  <si>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</si>
  <si>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</si>
  <si>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</si>
  <si>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</si>
  <si>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</si>
  <si>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</si>
  <si>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</si>
  <si>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</si>
  <si>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</si>
  <si>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</si>
  <si>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</si>
  <si>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</si>
  <si>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</si>
  <si>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</si>
  <si>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</si>
  <si>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</si>
  <si>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</si>
  <si>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</si>
  <si>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</si>
  <si>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</si>
  <si>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</si>
  <si>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</si>
  <si>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</si>
  <si>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</si>
  <si>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</si>
  <si>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</si>
  <si>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</si>
  <si>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</si>
  <si>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</si>
  <si>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</si>
  <si>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</si>
  <si>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</si>
  <si>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</si>
  <si>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</si>
  <si>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</si>
  <si>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</si>
  <si>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</si>
  <si>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</si>
  <si>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</si>
  <si>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</si>
  <si>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</si>
  <si>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</si>
  <si>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</si>
  <si>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</si>
  <si>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</si>
  <si>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</si>
  <si>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</si>
  <si>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</si>
  <si>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</si>
  <si>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</si>
  <si>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</si>
  <si>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</si>
  <si>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</si>
  <si>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</si>
  <si>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</si>
  <si>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</si>
  <si>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</si>
  <si>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</si>
  <si>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</si>
  <si>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</si>
  <si>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</si>
  <si>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</si>
  <si>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</si>
  <si>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</si>
  <si>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</si>
  <si>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</si>
  <si>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</si>
  <si>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</si>
  <si>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</si>
  <si>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</si>
  <si>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</si>
  <si>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</si>
  <si>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</si>
  <si>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</si>
  <si>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</si>
  <si>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</si>
  <si>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</si>
  <si>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</si>
  <si>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</si>
  <si>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</si>
  <si>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</si>
  <si>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</si>
  <si>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</si>
  <si>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</si>
  <si>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</si>
  <si>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</si>
  <si>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</si>
  <si>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</si>
  <si>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</si>
  <si>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</si>
  <si>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</si>
  <si>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</si>
  <si>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</si>
  <si>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</si>
  <si>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</si>
  <si>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</si>
  <si>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</si>
  <si>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</si>
  <si>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</si>
  <si>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</si>
  <si>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</si>
  <si>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</si>
  <si>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</si>
  <si>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</si>
  <si>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</si>
  <si>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</si>
  <si>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</si>
  <si>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</si>
  <si>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</si>
  <si>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</si>
  <si>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</si>
  <si>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</si>
  <si>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</si>
  <si>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</si>
  <si>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</si>
  <si>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</si>
  <si>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</si>
  <si>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</si>
  <si>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</si>
  <si>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</si>
  <si>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</si>
  <si>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</si>
  <si>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</si>
  <si>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</si>
  <si>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</si>
  <si>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</si>
  <si>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</si>
  <si>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</si>
  <si>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</si>
  <si>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</si>
  <si>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</si>
  <si>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</si>
  <si>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</si>
  <si>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</si>
  <si>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</si>
  <si>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</si>
  <si>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</si>
  <si>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</si>
  <si>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</si>
  <si>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</si>
  <si>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</si>
  <si>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</si>
  <si>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</si>
  <si>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</si>
  <si>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</si>
  <si>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</si>
  <si>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</si>
  <si>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</si>
  <si>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</si>
  <si>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</si>
  <si>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</si>
  <si>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</si>
  <si>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</si>
  <si>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</si>
  <si>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</si>
  <si>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</si>
  <si>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</si>
  <si>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</si>
  <si>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</si>
  <si>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</si>
  <si>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</si>
  <si>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</si>
  <si>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</si>
  <si>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</si>
  <si>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</si>
  <si>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</si>
  <si>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</si>
  <si>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</si>
  <si>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</si>
  <si>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</si>
  <si>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</si>
  <si>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</si>
  <si>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</si>
  <si>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</si>
  <si>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</si>
  <si>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</si>
  <si>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</si>
  <si>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</si>
  <si>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</si>
  <si>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</si>
  <si>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</si>
  <si>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</si>
  <si>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</si>
  <si>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</si>
  <si>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</si>
  <si>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</si>
  <si>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</si>
  <si>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</si>
  <si>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</si>
  <si>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</si>
  <si>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</si>
  <si>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</si>
  <si>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</si>
  <si>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</si>
  <si>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</si>
  <si>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</si>
  <si>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</si>
  <si>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</si>
  <si>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</si>
  <si>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</si>
  <si>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</si>
  <si>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</si>
  <si>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</si>
  <si>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</si>
  <si>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</si>
  <si>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</si>
  <si>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</si>
  <si>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</si>
  <si>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</si>
  <si>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</si>
  <si>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</si>
  <si>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</si>
  <si>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</si>
  <si>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</si>
  <si>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</si>
  <si>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</si>
  <si>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</si>
  <si>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</si>
  <si>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</si>
  <si>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</si>
  <si>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</si>
  <si>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</si>
  <si>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</si>
  <si>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</si>
  <si>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</si>
  <si>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</si>
  <si>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</si>
  <si>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</si>
  <si>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</si>
  <si>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</si>
  <si>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</si>
  <si>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</si>
  <si>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</si>
  <si>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</si>
  <si>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</si>
  <si>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</si>
  <si>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</si>
  <si>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</si>
  <si>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</si>
  <si>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</si>
  <si>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</si>
  <si>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</si>
  <si>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</si>
  <si>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</si>
  <si>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</si>
  <si>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</si>
  <si>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</si>
  <si>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</si>
  <si>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</si>
  <si>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</si>
  <si>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</si>
  <si>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</si>
  <si>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</si>
  <si>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</si>
  <si>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</si>
  <si>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</si>
  <si>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</si>
  <si>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</si>
  <si>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</si>
  <si>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</si>
  <si>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</si>
  <si>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</si>
  <si>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</si>
  <si>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</si>
  <si>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</si>
  <si>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</si>
  <si>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</si>
  <si>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</si>
  <si>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</si>
  <si>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</si>
  <si>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</si>
  <si>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</si>
  <si>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</si>
  <si>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</si>
  <si>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</si>
  <si>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</si>
  <si>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</si>
  <si>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</si>
  <si>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</si>
  <si>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</si>
  <si>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</si>
  <si>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</si>
  <si>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</si>
  <si>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</si>
  <si>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</si>
  <si>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</si>
  <si>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</si>
  <si>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</si>
  <si>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</si>
  <si>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</si>
  <si>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</si>
  <si>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</si>
  <si>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</si>
  <si>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</si>
  <si>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</si>
  <si>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</si>
  <si>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</si>
  <si>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</si>
  <si>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</si>
  <si>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</si>
  <si>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</si>
  <si>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</si>
  <si>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</si>
  <si>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</si>
  <si>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</si>
  <si>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</si>
  <si>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</si>
  <si>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</si>
  <si>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</si>
  <si>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</si>
  <si>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</si>
  <si>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</si>
  <si>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</si>
  <si>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</si>
  <si>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</si>
  <si>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</si>
  <si>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</si>
  <si>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</si>
  <si>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</si>
  <si>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</si>
  <si>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</si>
  <si>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</si>
  <si>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</si>
  <si>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</si>
  <si>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</si>
  <si>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</si>
  <si>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</si>
  <si>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</si>
  <si>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</si>
  <si>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</si>
  <si>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</si>
  <si>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</si>
  <si>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</si>
  <si>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</si>
  <si>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</si>
  <si>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</si>
  <si>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</si>
  <si>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</si>
  <si>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</si>
  <si>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</si>
  <si>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</si>
  <si>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</si>
  <si>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</si>
  <si>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</si>
  <si>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</si>
  <si>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</si>
  <si>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</si>
  <si>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</si>
  <si>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</si>
  <si>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</si>
  <si>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</si>
  <si>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</si>
  <si>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</si>
  <si>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</si>
  <si>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</si>
  <si>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</si>
  <si>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</si>
  <si>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</si>
  <si>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</si>
  <si>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</si>
  <si>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</si>
  <si>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</si>
  <si>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</si>
  <si>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</si>
  <si>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</si>
  <si>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</si>
  <si>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</si>
  <si>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</si>
  <si>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</si>
  <si>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</si>
  <si>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</si>
  <si>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</si>
  <si>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</si>
  <si>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</si>
  <si>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</si>
  <si>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</si>
  <si>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</si>
  <si>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</si>
  <si>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</si>
  <si>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</si>
  <si>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</si>
  <si>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</si>
  <si>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</si>
  <si>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</si>
  <si>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</si>
  <si>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</si>
  <si>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</si>
  <si>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</si>
  <si>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</si>
  <si>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</si>
  <si>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</si>
  <si>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</si>
  <si>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</si>
  <si>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</si>
  <si>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</si>
  <si>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</si>
  <si>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</si>
  <si>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</si>
  <si>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</si>
  <si>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</si>
  <si>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</si>
  <si>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</si>
  <si>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</si>
  <si>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</si>
  <si>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</si>
  <si>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</si>
  <si>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</si>
  <si>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</si>
  <si>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</si>
  <si>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</si>
  <si>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</si>
  <si>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</si>
  <si>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</si>
  <si>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</si>
  <si>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</si>
  <si>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</si>
  <si>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</si>
  <si>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</si>
  <si>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</si>
  <si>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</si>
  <si>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</si>
  <si>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</si>
  <si>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</si>
  <si>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</si>
  <si>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</si>
  <si>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</si>
  <si>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</si>
  <si>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</si>
  <si>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</si>
  <si>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</si>
  <si>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</si>
  <si>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</si>
  <si>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</si>
  <si>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</si>
  <si>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</si>
  <si>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</si>
  <si>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</si>
  <si>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</si>
  <si>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</si>
  <si>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</si>
  <si>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</si>
  <si>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</si>
  <si>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</si>
  <si>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</si>
  <si>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</si>
  <si>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</si>
  <si>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</si>
  <si>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</si>
  <si>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</si>
  <si>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</si>
  <si>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</si>
  <si>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</si>
  <si>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</si>
  <si>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</si>
  <si>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</si>
  <si>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</si>
  <si>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</si>
  <si>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</si>
  <si>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</si>
  <si>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</si>
  <si>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</si>
  <si>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</si>
  <si>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</si>
  <si>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</si>
  <si>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</si>
  <si>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</si>
  <si>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</si>
  <si>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</si>
  <si>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</si>
  <si>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</si>
  <si>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</si>
  <si>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</si>
  <si>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</si>
  <si>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</si>
  <si>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</si>
  <si>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</si>
  <si>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</si>
  <si>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</si>
  <si>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</si>
  <si>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</si>
  <si>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</si>
  <si>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</si>
  <si>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</si>
  <si>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</si>
  <si>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</si>
  <si>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</si>
  <si>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</si>
  <si>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</si>
  <si>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</si>
  <si>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</si>
  <si>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</si>
  <si>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</si>
  <si>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</si>
  <si>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</si>
  <si>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</si>
  <si>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</si>
  <si>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</si>
  <si>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</si>
  <si>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</si>
  <si>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</si>
  <si>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</si>
  <si>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</si>
  <si>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</si>
  <si>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</si>
  <si>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</si>
  <si>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</si>
  <si>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</si>
  <si>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</si>
  <si>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</si>
  <si>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</si>
  <si>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</si>
  <si>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</si>
  <si>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</si>
  <si>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</si>
  <si>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</si>
  <si>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</si>
  <si>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</si>
  <si>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</si>
  <si>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</si>
  <si>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</si>
  <si>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</si>
  <si>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</si>
  <si>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</si>
  <si>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</si>
  <si>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</si>
  <si>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</si>
  <si>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</si>
  <si>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</si>
  <si>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</si>
  <si>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</si>
  <si>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</si>
  <si>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</si>
  <si>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</si>
  <si>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</si>
  <si>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</si>
  <si>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</si>
  <si>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</si>
  <si>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</si>
  <si>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</si>
  <si>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</si>
  <si>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</si>
  <si>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</si>
  <si>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</si>
  <si>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</si>
  <si>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</si>
  <si>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</si>
  <si>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</si>
  <si>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</si>
  <si>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</si>
  <si>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</si>
  <si>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</si>
  <si>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</si>
  <si>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</si>
  <si>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</si>
  <si>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</si>
  <si>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</si>
  <si>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</si>
  <si>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</si>
  <si>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</si>
  <si>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</si>
  <si>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</si>
  <si>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</si>
  <si>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</si>
  <si>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</si>
  <si>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</si>
  <si>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</si>
  <si>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</si>
  <si>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</si>
  <si>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</si>
  <si>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</si>
  <si>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</si>
  <si>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</si>
  <si>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</si>
  <si>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</si>
  <si>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</si>
  <si>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</si>
  <si>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</si>
  <si>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</si>
  <si>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</si>
  <si>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</si>
  <si>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</si>
  <si>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</si>
  <si>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</si>
  <si>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</si>
  <si>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</si>
  <si>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</si>
  <si>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</si>
  <si>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</si>
  <si>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</si>
  <si>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</si>
  <si>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</si>
  <si>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</si>
  <si>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</si>
  <si>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</si>
  <si>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</si>
  <si>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</si>
  <si>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</si>
  <si>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</si>
  <si>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</si>
  <si>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</si>
  <si>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</si>
  <si>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</si>
  <si>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</si>
  <si>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</si>
  <si>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</si>
  <si>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</si>
  <si>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</si>
  <si>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</si>
  <si>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</si>
  <si>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</si>
  <si>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</si>
  <si>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</si>
  <si>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</si>
  <si>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</si>
  <si>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</si>
  <si>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</si>
  <si>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</si>
  <si>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</si>
  <si>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</si>
  <si>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</si>
  <si>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</si>
  <si>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</si>
  <si>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</si>
  <si>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</si>
  <si>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</si>
  <si>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</si>
  <si>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</si>
  <si>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</si>
  <si>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</si>
  <si>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</si>
  <si>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</si>
  <si>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</si>
  <si>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</si>
  <si>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</si>
  <si>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</si>
  <si>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</si>
  <si>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</si>
  <si>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</si>
  <si>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</si>
  <si>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</si>
  <si>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</si>
  <si>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</si>
  <si>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</si>
  <si>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</si>
  <si>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</si>
  <si>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</si>
  <si>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</si>
  <si>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</si>
  <si>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</si>
  <si>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</si>
  <si>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</si>
  <si>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</si>
  <si>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</si>
  <si>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</si>
  <si>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</si>
  <si>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</si>
  <si>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</si>
  <si>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</si>
  <si>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</si>
  <si>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</si>
  <si>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</si>
  <si>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</si>
  <si>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</si>
  <si>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</si>
  <si>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</si>
  <si>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</si>
  <si>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</si>
  <si>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</si>
  <si>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</si>
  <si>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</si>
  <si>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</si>
  <si>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</si>
  <si>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</si>
  <si>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</si>
  <si>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</si>
  <si>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</si>
  <si>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</si>
  <si>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</si>
  <si>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</si>
  <si>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</si>
  <si>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</si>
  <si>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</si>
  <si>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</si>
  <si>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</si>
  <si>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</si>
  <si>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</si>
  <si>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</si>
  <si>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</si>
  <si>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</si>
  <si>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</si>
  <si>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</si>
  <si>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</si>
  <si>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</si>
  <si>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</si>
  <si>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</si>
  <si>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</si>
  <si>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</si>
  <si>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</si>
  <si>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</si>
  <si>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</si>
  <si>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</si>
  <si>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</si>
  <si>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</si>
  <si>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</si>
  <si>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</si>
  <si>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</si>
  <si>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</si>
  <si>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</si>
  <si>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</si>
  <si>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</si>
  <si>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</si>
  <si>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</si>
  <si>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</si>
  <si>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</si>
  <si>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</si>
  <si>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</si>
  <si>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</si>
  <si>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</si>
  <si>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</si>
  <si>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</si>
  <si>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</si>
  <si>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</si>
  <si>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</si>
  <si>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</si>
  <si>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</si>
  <si>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</si>
  <si>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</si>
  <si>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</si>
  <si>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</si>
  <si>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</si>
  <si>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</si>
  <si>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</si>
  <si>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</si>
  <si>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</si>
  <si>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</si>
  <si>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</si>
  <si>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</si>
  <si>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</si>
  <si>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</si>
  <si>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</si>
  <si>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</si>
  <si>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</si>
  <si>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</si>
  <si>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</si>
  <si>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</si>
  <si>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</si>
  <si>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</si>
  <si>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</si>
  <si>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</si>
  <si>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</si>
  <si>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</si>
  <si>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</si>
  <si>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</si>
  <si>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</si>
  <si>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</si>
  <si>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</si>
  <si>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</si>
  <si>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</si>
  <si>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</si>
  <si>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</si>
  <si>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</si>
  <si>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</si>
  <si>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</si>
  <si>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</si>
  <si>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</si>
  <si>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</si>
  <si>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</si>
  <si>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</si>
  <si>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</si>
  <si>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</si>
  <si>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</si>
  <si>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</si>
  <si>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</si>
  <si>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</si>
  <si>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</si>
  <si>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</si>
  <si>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</si>
  <si>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</si>
  <si>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</si>
  <si>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</si>
  <si>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</si>
  <si>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</si>
  <si>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</si>
  <si>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</si>
  <si>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</si>
  <si>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</si>
  <si>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</si>
  <si>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</si>
  <si>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</si>
  <si>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</si>
  <si>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</si>
  <si>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</si>
  <si>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</si>
  <si>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</si>
  <si>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</si>
  <si>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</si>
  <si>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</si>
  <si>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</si>
  <si>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</si>
  <si>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</si>
  <si>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</si>
  <si>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</si>
  <si>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</si>
  <si>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</si>
  <si>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</si>
  <si>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</si>
  <si>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</si>
  <si>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</si>
  <si>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</si>
  <si>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</si>
  <si>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</si>
  <si>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</si>
  <si>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</si>
  <si>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</si>
  <si>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</si>
  <si>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</si>
  <si>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</si>
  <si>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</si>
  <si>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</si>
  <si>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</si>
  <si>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</si>
  <si>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</si>
  <si>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</si>
  <si>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</si>
  <si>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</si>
  <si>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</si>
  <si>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</si>
  <si>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</si>
  <si>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</si>
  <si>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</si>
  <si>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</si>
  <si>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</si>
  <si>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</si>
  <si>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</si>
  <si>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</si>
  <si>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</si>
  <si>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</si>
  <si>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</si>
  <si>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</si>
  <si>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</si>
  <si>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</si>
  <si>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</si>
  <si>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</si>
  <si>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</si>
  <si>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</si>
  <si>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</si>
  <si>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</si>
  <si>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</si>
  <si>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</si>
  <si>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</si>
  <si>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</si>
  <si>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</si>
  <si>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</si>
  <si>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</si>
  <si>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</si>
  <si>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</si>
  <si>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</si>
  <si>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</si>
  <si>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</si>
  <si>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</si>
  <si>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</si>
  <si>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</si>
  <si>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</si>
  <si>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</si>
  <si>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</si>
  <si>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</si>
  <si>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</si>
  <si>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</si>
  <si>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</si>
  <si>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</si>
  <si>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</si>
  <si>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</si>
  <si>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</si>
  <si>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</si>
  <si>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</si>
  <si>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</si>
  <si>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</si>
  <si>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</si>
  <si>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</si>
  <si>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</si>
  <si>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</si>
  <si>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</si>
  <si>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</si>
  <si>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</si>
  <si>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</si>
  <si>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</si>
  <si>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</si>
  <si>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</si>
  <si>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</si>
  <si>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</si>
  <si>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</si>
  <si>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</si>
  <si>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</si>
  <si>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</si>
  <si>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</si>
  <si>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</si>
  <si>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</si>
  <si>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</si>
  <si>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</si>
  <si>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</si>
  <si>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</si>
  <si>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</si>
  <si>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</si>
  <si>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</si>
  <si>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</si>
  <si>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</si>
  <si>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</si>
  <si>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</si>
  <si>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</si>
  <si>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</si>
  <si>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</si>
  <si>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</si>
  <si>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</si>
  <si>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</si>
  <si>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</si>
  <si>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</si>
  <si>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</si>
  <si>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</si>
  <si>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</si>
  <si>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</si>
  <si>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</si>
  <si>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</si>
  <si>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</si>
  <si>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</si>
  <si>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</si>
  <si>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</si>
  <si>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</si>
  <si>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</si>
  <si>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</si>
  <si>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</si>
  <si>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</si>
  <si>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</si>
  <si>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</si>
  <si>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</si>
  <si>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</si>
  <si>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</si>
  <si>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</si>
  <si>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</si>
  <si>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</si>
  <si>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</si>
  <si>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</si>
  <si>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</si>
  <si>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</si>
  <si>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</si>
  <si>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</si>
  <si>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</si>
  <si>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</si>
  <si>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</si>
  <si>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</si>
  <si>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</si>
  <si>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</si>
  <si>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</si>
  <si>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</si>
  <si>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</si>
  <si>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</si>
  <si>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</si>
  <si>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</si>
  <si>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</si>
  <si>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</si>
  <si>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</si>
  <si>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</si>
  <si>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</si>
  <si>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</si>
  <si>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</si>
  <si>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</si>
  <si>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</si>
  <si>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</si>
  <si>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</si>
  <si>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</si>
  <si>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</si>
  <si>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</si>
  <si>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</si>
  <si>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</si>
  <si>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</si>
  <si>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</si>
  <si>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</si>
  <si>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</si>
  <si>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</si>
  <si>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</si>
  <si>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</si>
  <si>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</si>
  <si>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</si>
  <si>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</si>
  <si>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</si>
  <si>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</si>
  <si>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</si>
  <si>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</si>
  <si>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</si>
  <si>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</si>
  <si>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</si>
  <si>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</si>
  <si>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</si>
  <si>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</si>
  <si>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</si>
  <si>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</si>
  <si>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</si>
  <si>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</si>
  <si>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</si>
  <si>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</si>
  <si>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</si>
  <si>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</si>
  <si>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</si>
  <si>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</si>
  <si>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</si>
  <si>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</si>
  <si>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</si>
  <si>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</si>
  <si>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</si>
  <si>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</si>
  <si>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</si>
  <si>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</si>
  <si>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</si>
  <si>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</si>
  <si>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</si>
  <si>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</si>
  <si>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</si>
  <si>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</si>
  <si>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</si>
  <si>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</si>
  <si>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</si>
  <si>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</si>
  <si>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</si>
  <si>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</si>
  <si>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</si>
  <si>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</si>
  <si>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</si>
  <si>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</si>
  <si>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</si>
  <si>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</si>
  <si>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</si>
  <si>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</si>
  <si>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</si>
  <si>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</si>
  <si>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</si>
  <si>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</si>
  <si>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</si>
  <si>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</si>
  <si>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</si>
  <si>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</si>
  <si>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</si>
  <si>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</si>
  <si>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</si>
  <si>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</si>
  <si>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</si>
  <si>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</si>
  <si>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</si>
  <si>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</si>
  <si>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</si>
  <si>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</si>
  <si>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</si>
  <si>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</si>
  <si>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</si>
  <si>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</si>
  <si>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</si>
  <si>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</si>
  <si>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</si>
  <si>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</si>
  <si>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</si>
  <si>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</si>
  <si>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</si>
  <si>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</si>
  <si>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</si>
  <si>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</si>
  <si>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</si>
  <si>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</si>
  <si>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</si>
  <si>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</si>
  <si>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</si>
  <si>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</si>
  <si>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</si>
  <si>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</si>
  <si>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</si>
  <si>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</si>
  <si>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</si>
  <si>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</si>
  <si>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</si>
  <si>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</si>
  <si>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</si>
  <si>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</si>
  <si>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</si>
  <si>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</si>
  <si>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</si>
  <si>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</si>
  <si>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</si>
  <si>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</si>
  <si>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</si>
  <si>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</si>
  <si>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</si>
  <si>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</si>
  <si>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</si>
  <si>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</si>
  <si>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</si>
  <si>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</si>
  <si>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</si>
  <si>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</si>
  <si>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</si>
  <si>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</si>
  <si>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</si>
  <si>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</si>
  <si>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</si>
  <si>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</si>
  <si>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</si>
  <si>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</si>
  <si>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</si>
  <si>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</si>
  <si>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</si>
  <si>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</si>
  <si>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</si>
  <si>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</si>
  <si>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</si>
  <si>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</si>
  <si>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</si>
  <si>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</si>
  <si>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</si>
  <si>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</si>
  <si>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</si>
  <si>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</si>
  <si>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</si>
  <si>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</si>
  <si>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</si>
  <si>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</si>
  <si>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</si>
  <si>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</si>
  <si>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</si>
  <si>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</si>
  <si>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</si>
  <si>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</si>
  <si>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</si>
  <si>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</si>
  <si>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</si>
  <si>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</si>
  <si>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</si>
  <si>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</si>
  <si>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</si>
  <si>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</si>
  <si>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</si>
  <si>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</si>
  <si>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</si>
  <si>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</si>
  <si>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</si>
  <si>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</si>
  <si>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</si>
  <si>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</si>
  <si>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</si>
  <si>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</si>
  <si>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</si>
  <si>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</si>
  <si>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</si>
  <si>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</si>
  <si>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</si>
  <si>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</si>
  <si>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</si>
  <si>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</si>
  <si>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</si>
  <si>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</si>
  <si>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</si>
  <si>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</si>
  <si>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</si>
  <si>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</si>
  <si>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</si>
  <si>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</si>
  <si>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</si>
  <si>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</si>
  <si>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</si>
  <si>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</si>
  <si>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</si>
  <si>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</si>
  <si>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</si>
  <si>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</si>
  <si>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</si>
  <si>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</si>
  <si>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</si>
  <si>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</si>
  <si>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</si>
  <si>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</si>
  <si>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</si>
  <si>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</si>
  <si>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</si>
  <si>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</si>
  <si>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</si>
  <si>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</si>
  <si>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</si>
  <si>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</si>
  <si>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</si>
  <si>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</si>
  <si>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</si>
  <si>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</si>
  <si>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</si>
  <si>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</si>
  <si>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</si>
  <si>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</si>
  <si>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</si>
  <si>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</si>
  <si>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</si>
  <si>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</si>
  <si>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</si>
  <si>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</si>
  <si>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</si>
  <si>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</si>
  <si>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</si>
  <si>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</si>
  <si>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</si>
  <si>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</si>
  <si>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</si>
  <si>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</si>
  <si>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</si>
  <si>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</si>
  <si>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</si>
  <si>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</si>
  <si>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</si>
  <si>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</si>
  <si>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</si>
  <si>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</si>
  <si>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</si>
  <si>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</si>
  <si>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</si>
  <si>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</si>
  <si>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</si>
  <si>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</si>
  <si>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</si>
  <si>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</si>
  <si>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</si>
  <si>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</si>
  <si>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</si>
  <si>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</si>
  <si>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</si>
  <si>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</si>
  <si>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</si>
  <si>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</si>
  <si>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</si>
  <si>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</si>
  <si>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</si>
  <si>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</si>
  <si>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</si>
  <si>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</si>
  <si>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</si>
  <si>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</si>
  <si>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</si>
  <si>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</si>
  <si>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</si>
  <si>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</si>
  <si>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</si>
  <si>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</si>
  <si>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</si>
  <si>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</si>
  <si>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</si>
  <si>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</si>
  <si>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</si>
  <si>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</si>
  <si>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</si>
  <si>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</si>
  <si>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</si>
  <si>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</si>
  <si>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</si>
  <si>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</si>
  <si>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</si>
  <si>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</si>
  <si>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</si>
  <si>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</si>
  <si>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</si>
  <si>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</si>
  <si>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</si>
  <si>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</si>
  <si>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</si>
  <si>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</si>
  <si>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</si>
  <si>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</si>
  <si>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</si>
  <si>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</si>
  <si>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</si>
  <si>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</si>
  <si>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</si>
  <si>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</si>
  <si>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</si>
  <si>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</si>
  <si>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</si>
  <si>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</si>
  <si>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</si>
  <si>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</si>
  <si>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</si>
  <si>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</si>
  <si>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</si>
  <si>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</si>
  <si>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</si>
  <si>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</si>
  <si>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</si>
  <si>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</si>
  <si>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</si>
  <si>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</si>
  <si>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</si>
  <si>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</si>
  <si>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</si>
  <si>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</si>
  <si>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</si>
  <si>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</si>
  <si>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</si>
  <si>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</si>
  <si>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</si>
  <si>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</si>
  <si>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</si>
  <si>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</si>
  <si>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</si>
  <si>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</si>
  <si>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</si>
  <si>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</si>
  <si>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</si>
  <si>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</si>
  <si>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</si>
  <si>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</si>
  <si>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</si>
  <si>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</si>
  <si>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</si>
  <si>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</si>
  <si>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</si>
  <si>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</si>
  <si>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</si>
  <si>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</si>
  <si>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</si>
  <si>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</si>
  <si>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</si>
  <si>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</si>
  <si>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</si>
  <si>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</si>
  <si>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</si>
  <si>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</si>
  <si>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</si>
  <si>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</si>
  <si>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</si>
  <si>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</si>
  <si>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</si>
  <si>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</si>
  <si>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</si>
  <si>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</si>
  <si>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</si>
  <si>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</si>
  <si>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</si>
  <si>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</si>
  <si>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</si>
  <si>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</si>
  <si>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</si>
  <si>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</si>
  <si>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</si>
  <si>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</si>
  <si>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</si>
  <si>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</si>
  <si>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</si>
  <si>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</si>
  <si>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</si>
  <si>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</si>
  <si>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</si>
  <si>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</si>
  <si>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</si>
  <si>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</si>
  <si>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</si>
  <si>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</si>
  <si>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</si>
  <si>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</si>
  <si>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</si>
  <si>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</si>
  <si>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</si>
  <si>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</si>
  <si>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</si>
  <si>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</si>
  <si>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</si>
  <si>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</si>
  <si>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</si>
  <si>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</si>
  <si>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</si>
  <si>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</si>
  <si>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</si>
  <si>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</si>
  <si>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</si>
  <si>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</si>
  <si>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</si>
  <si>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</si>
  <si>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</si>
  <si>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</si>
  <si>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</si>
  <si>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</si>
  <si>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</si>
  <si>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</si>
  <si>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</si>
  <si>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</si>
  <si>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</si>
  <si>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</si>
  <si>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</si>
  <si>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</si>
  <si>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</si>
  <si>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</si>
  <si>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</si>
  <si>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</si>
  <si>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</si>
  <si>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</si>
  <si>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</si>
  <si>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</si>
  <si>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</si>
  <si>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</si>
  <si>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</si>
  <si>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</si>
  <si>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</si>
  <si>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</si>
  <si>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</si>
  <si>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</si>
  <si>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</si>
  <si>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</si>
  <si>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</si>
  <si>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</si>
  <si>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</si>
  <si>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</si>
  <si>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</si>
  <si>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</si>
  <si>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</si>
  <si>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</si>
  <si>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</si>
  <si>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</si>
  <si>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</si>
  <si>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</si>
  <si>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</si>
  <si>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</si>
  <si>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</si>
  <si>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</si>
  <si>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</si>
  <si>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</si>
  <si>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</si>
  <si>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</si>
  <si>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</si>
  <si>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</si>
  <si>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</si>
  <si>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</si>
  <si>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</si>
  <si>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</si>
  <si>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</si>
  <si>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</si>
  <si>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</si>
  <si>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</si>
  <si>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</si>
  <si>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</si>
  <si>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</si>
  <si>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</si>
  <si>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</si>
  <si>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</si>
  <si>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</si>
  <si>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</si>
  <si>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</si>
  <si>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</si>
  <si>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</si>
  <si>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</si>
  <si>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</si>
  <si>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</si>
  <si>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</si>
  <si>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</si>
  <si>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</si>
  <si>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</si>
  <si>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</si>
  <si>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</si>
  <si>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</si>
  <si>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</si>
  <si>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</si>
  <si>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</si>
  <si>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</si>
  <si>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</si>
  <si>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</si>
  <si>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</si>
  <si>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</si>
  <si>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</si>
  <si>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</si>
  <si>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</si>
  <si>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</si>
  <si>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</si>
  <si>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</si>
  <si>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</si>
  <si>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</si>
  <si>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</si>
  <si>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</si>
  <si>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</si>
  <si>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</si>
  <si>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</si>
  <si>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</si>
  <si>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</si>
  <si>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</si>
  <si>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</si>
  <si>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</si>
  <si>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</si>
  <si>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</si>
  <si>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</si>
  <si>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</si>
  <si>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</si>
  <si>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</si>
  <si>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</si>
  <si>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</si>
  <si>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</si>
  <si>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</si>
  <si>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</si>
  <si>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</si>
  <si>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</si>
  <si>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</si>
  <si>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</si>
  <si>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</si>
  <si>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</si>
  <si>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</si>
  <si>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</si>
  <si>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</si>
  <si>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</si>
  <si>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</si>
  <si>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</si>
  <si>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</si>
  <si>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</si>
  <si>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</si>
  <si>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</si>
  <si>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</si>
  <si>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</si>
  <si>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</si>
  <si>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</si>
  <si>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</si>
  <si>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</si>
  <si>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</si>
  <si>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</si>
  <si>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</si>
  <si>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</si>
  <si>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</si>
  <si>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</si>
  <si>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</si>
  <si>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</si>
  <si>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</si>
  <si>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</si>
  <si>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</si>
  <si>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</si>
  <si>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</si>
  <si>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</si>
  <si>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</si>
  <si>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</si>
  <si>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</si>
  <si>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</si>
  <si>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</si>
  <si>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</si>
  <si>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</si>
  <si>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</si>
  <si>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</si>
  <si>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</si>
  <si>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</si>
  <si>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</si>
  <si>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</si>
  <si>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</si>
  <si>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</si>
  <si>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</si>
  <si>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</si>
  <si>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</si>
  <si>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</si>
  <si>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</si>
  <si>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</si>
  <si>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</si>
  <si>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</si>
  <si>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</si>
  <si>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</si>
  <si>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</si>
  <si>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</si>
  <si>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</si>
  <si>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</si>
  <si>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</si>
  <si>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</si>
  <si>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</si>
  <si>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</si>
  <si>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</si>
  <si>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</si>
  <si>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</si>
  <si>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</si>
  <si>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</si>
  <si>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</si>
  <si>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</si>
  <si>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</si>
  <si>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</si>
  <si>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</si>
  <si>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</si>
  <si>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</si>
  <si>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</si>
  <si>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</si>
  <si>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</si>
  <si>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</si>
  <si>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</si>
  <si>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</si>
  <si>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</si>
  <si>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</si>
  <si>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</si>
  <si>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</si>
  <si>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</si>
  <si>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</si>
  <si>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</si>
  <si>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</si>
  <si>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</si>
  <si>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</si>
  <si>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</si>
  <si>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</si>
  <si>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</si>
  <si>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</si>
  <si>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</si>
  <si>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</si>
  <si>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</si>
  <si>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</si>
  <si>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</si>
  <si>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</si>
  <si>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</si>
  <si>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</si>
  <si>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</si>
  <si>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</si>
  <si>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</si>
  <si>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</si>
  <si>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</si>
  <si>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</si>
  <si>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</si>
  <si>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</si>
  <si>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</si>
  <si>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</si>
  <si>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</si>
  <si>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</si>
  <si>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</si>
  <si>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</si>
  <si>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</si>
  <si>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</si>
  <si>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</si>
  <si>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</si>
  <si>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</si>
  <si>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</si>
  <si>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</si>
  <si>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</si>
  <si>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</si>
  <si>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</si>
  <si>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</si>
  <si>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</si>
  <si>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</si>
  <si>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</si>
  <si>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</si>
  <si>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</si>
  <si>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</si>
  <si>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</si>
  <si>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</si>
  <si>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</si>
  <si>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</si>
  <si>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</si>
  <si>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</si>
  <si>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</si>
  <si>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</si>
  <si>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</si>
  <si>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</si>
  <si>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</si>
  <si>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</si>
  <si>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</si>
  <si>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</si>
  <si>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</si>
  <si>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</si>
  <si>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</si>
  <si>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</si>
  <si>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</si>
  <si>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</si>
  <si>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</si>
  <si>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</si>
  <si>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</si>
  <si>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</si>
  <si>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</si>
  <si>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</si>
  <si>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</si>
  <si>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</si>
  <si>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</si>
  <si>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</si>
  <si>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</si>
  <si>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</si>
  <si>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</si>
  <si>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</si>
  <si>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</si>
  <si>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</si>
  <si>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</si>
  <si>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</si>
  <si>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</si>
  <si>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</si>
  <si>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</si>
  <si>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</si>
  <si>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</si>
  <si>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</si>
  <si>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</si>
  <si>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</si>
  <si>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</si>
  <si>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</si>
  <si>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</si>
  <si>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</si>
  <si>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</si>
  <si>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</si>
  <si>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</si>
  <si>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</si>
  <si>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</si>
  <si>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</si>
  <si>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</si>
  <si>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</si>
  <si>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</si>
  <si>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</si>
  <si>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</si>
  <si>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</si>
  <si>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</si>
  <si>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</si>
  <si>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</si>
  <si>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</si>
  <si>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</si>
  <si>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</si>
  <si>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</si>
  <si>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</si>
  <si>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</si>
  <si>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</si>
  <si>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</si>
  <si>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</si>
  <si>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</si>
  <si>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</si>
  <si>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</si>
  <si>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</si>
  <si>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</si>
  <si>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</si>
  <si>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</si>
  <si>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</si>
  <si>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</si>
  <si>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</si>
  <si>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</si>
  <si>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</si>
  <si>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</si>
  <si>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</si>
  <si>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</si>
  <si>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</si>
  <si>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</si>
  <si>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</si>
  <si>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</si>
  <si>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</si>
  <si>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</si>
  <si>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</si>
  <si>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</si>
  <si>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</si>
  <si>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</si>
  <si>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</si>
  <si>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</si>
  <si>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</si>
  <si>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</si>
  <si>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</si>
  <si>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</si>
  <si>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</si>
  <si>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</si>
  <si>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</si>
  <si>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</si>
  <si>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</si>
  <si>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</si>
  <si>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</si>
  <si>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</si>
  <si>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</si>
  <si>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</si>
  <si>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</si>
  <si>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</si>
  <si>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</si>
  <si>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</si>
  <si>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</si>
  <si>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</si>
  <si>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</si>
  <si>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</si>
  <si>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</si>
  <si>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</si>
  <si>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</si>
  <si>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</si>
  <si>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</si>
  <si>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</si>
  <si>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</si>
  <si>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</si>
  <si>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</si>
  <si>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</si>
  <si>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</si>
  <si>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</si>
  <si>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</si>
  <si>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</si>
  <si>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</si>
  <si>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</si>
  <si>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</si>
  <si>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</si>
  <si>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</si>
  <si>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</si>
  <si>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</si>
  <si>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</si>
  <si>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</si>
  <si>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</si>
  <si>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</si>
  <si>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</si>
  <si>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</si>
  <si>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</si>
  <si>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</si>
  <si>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</si>
  <si>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</si>
  <si>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</si>
  <si>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</si>
  <si>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</si>
  <si>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</si>
  <si>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</si>
  <si>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</si>
  <si>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</si>
  <si>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</si>
  <si>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</si>
  <si>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</si>
  <si>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</si>
  <si>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</si>
  <si>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</si>
  <si>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</si>
  <si>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</si>
  <si>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</si>
  <si>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</si>
  <si>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租金比较法-办公</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</si>
  <si>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</si>
  <si>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</si>
  <si>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</si>
  <si>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</si>
  <si>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</si>
  <si>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</si>
  <si>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</si>
  <si>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</si>
  <si>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</si>
  <si>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</si>
  <si>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</si>
  <si>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</si>
  <si>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</si>
  <si>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</si>
  <si>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</si>
  <si>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</si>
  <si>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</si>
  <si>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</si>
  <si>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</si>
  <si>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</si>
  <si>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</si>
  <si>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</si>
  <si>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</si>
  <si>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</si>
  <si>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</si>
  <si>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</si>
  <si>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</si>
  <si>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</si>
  <si>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</si>
  <si>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</si>
  <si>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</si>
  <si>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</si>
  <si>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</si>
  <si>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</si>
  <si>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</si>
  <si>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</si>
  <si>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</si>
  <si>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</si>
  <si>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</si>
  <si>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</si>
  <si>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</si>
  <si>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</si>
  <si>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</si>
  <si>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</si>
  <si>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</si>
  <si>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</si>
  <si>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</si>
  <si>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</si>
  <si>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</si>
  <si>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</si>
  <si>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</si>
  <si>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</si>
  <si>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</si>
  <si>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</si>
  <si>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</si>
  <si>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</si>
  <si>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</si>
  <si>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</si>
  <si>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</si>
  <si>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</si>
  <si>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</si>
  <si>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</si>
  <si>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</si>
  <si>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</si>
  <si>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</si>
  <si>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</si>
  <si>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</si>
  <si>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</si>
  <si>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</si>
  <si>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</si>
  <si>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</si>
  <si>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</si>
  <si>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</si>
  <si>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</si>
  <si>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</si>
  <si>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</si>
  <si>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</si>
  <si>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</si>
  <si>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</si>
  <si>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</si>
  <si>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</si>
  <si>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</si>
  <si>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</si>
  <si>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</si>
  <si>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</si>
  <si>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</si>
  <si>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</si>
  <si>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</si>
  <si>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</si>
  <si>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</si>
  <si>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</si>
  <si>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</si>
  <si>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</si>
  <si>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</si>
  <si>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</si>
  <si>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</si>
  <si>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</si>
  <si>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</si>
  <si>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</si>
  <si>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</si>
  <si>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</si>
  <si>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</si>
  <si>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</si>
  <si>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</si>
  <si>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</si>
  <si>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</si>
  <si>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</si>
  <si>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</si>
  <si>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</si>
  <si>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</si>
  <si>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</si>
  <si>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</si>
  <si>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</si>
  <si>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</si>
  <si>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</si>
  <si>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</si>
  <si>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</si>
  <si>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</si>
  <si>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</si>
  <si>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</si>
  <si>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</si>
  <si>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</si>
  <si>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</si>
  <si>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</si>
  <si>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</si>
  <si>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</si>
  <si>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</si>
  <si>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</si>
  <si>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</si>
  <si>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陈颖</t>
  </si>
  <si>
    <t>核定资产</t>
  </si>
  <si>
    <t>房地产市场价值</t>
  </si>
  <si>
    <t>北京市</t>
  </si>
  <si>
    <t>企业</t>
  </si>
  <si>
    <t>现房</t>
  </si>
  <si>
    <t>通路</t>
  </si>
  <si>
    <t>通电</t>
  </si>
  <si>
    <t>通讯</t>
  </si>
  <si>
    <t>通上水</t>
  </si>
  <si>
    <t>通下水</t>
  </si>
  <si>
    <t>平整</t>
  </si>
  <si>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
    </r>
    <phoneticPr fontId="6" type="noConversion"/>
  </si>
  <si>
    <t>是</t>
  </si>
  <si>
    <t>地上</t>
  </si>
  <si>
    <t>成新度</t>
  </si>
  <si>
    <t>项目局部</t>
  </si>
  <si>
    <t>收益法倒推-办公</t>
  </si>
  <si>
    <t>售价</t>
  </si>
  <si>
    <t>与级别开发程度不一致</t>
  </si>
  <si>
    <t>按公示增长率计算</t>
  </si>
  <si>
    <t>一般</t>
  </si>
  <si>
    <t>好</t>
  </si>
  <si>
    <t>较好</t>
  </si>
  <si>
    <t>未包含在土地购买价格中</t>
  </si>
  <si>
    <t>已包含在土地取得成本中</t>
  </si>
  <si>
    <t>挂牌</t>
  </si>
  <si>
    <t>挂牌</t>
    <phoneticPr fontId="32" type="noConversion"/>
  </si>
  <si>
    <t>办公</t>
    <phoneticPr fontId="32" type="noConversion"/>
  </si>
  <si>
    <t>30-40（含）</t>
  </si>
  <si>
    <t>五通</t>
  </si>
  <si>
    <t>楼层</t>
    <phoneticPr fontId="32" type="noConversion"/>
  </si>
  <si>
    <t>高速</t>
    <rPh sb="0" eb="1">
      <t>gao su</t>
    </rPh>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</si>
  <si>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</si>
  <si>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</si>
  <si>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</si>
  <si>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钢混</t>
  </si>
  <si>
    <t>钢混</t>
    <phoneticPr fontId="32" type="noConversion"/>
  </si>
  <si>
    <t>精装修</t>
  </si>
  <si>
    <t>甲级</t>
    <phoneticPr fontId="32" type="noConversion"/>
  </si>
  <si>
    <t>物业公司管理</t>
  </si>
  <si>
    <t>物业公司管理</t>
    <phoneticPr fontId="32" type="noConversion"/>
  </si>
  <si>
    <t>五通</t>
    <phoneticPr fontId="32" type="noConversion"/>
  </si>
  <si>
    <t>简单装修</t>
  </si>
  <si>
    <t>标准层高</t>
  </si>
  <si>
    <t>标准层高</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</si>
  <si>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</si>
  <si>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</si>
  <si>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</si>
  <si>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</si>
  <si>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</si>
  <si>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挂牌</t>
    <phoneticPr fontId="140" type="noConversion"/>
  </si>
  <si>
    <t>楼层</t>
    <phoneticPr fontId="140" type="noConversion"/>
  </si>
  <si>
    <r>
      <rPr>
        <sz val="11"/>
        <color indexed="8"/>
        <rFont val="宋体"/>
        <family val="3"/>
        <charset val="134"/>
      </rPr>
      <t>中楼层</t>
    </r>
    <r>
      <rPr>
        <sz val="11"/>
        <color indexed="8"/>
        <rFont val="Arial"/>
        <family val="2"/>
      </rPr>
      <t>/15</t>
    </r>
    <phoneticPr fontId="140" type="noConversion"/>
  </si>
  <si>
    <r>
      <rPr>
        <sz val="11"/>
        <color indexed="8"/>
        <rFont val="宋体"/>
        <family val="3"/>
        <charset val="134"/>
      </rPr>
      <t>中楼层</t>
    </r>
    <r>
      <rPr>
        <sz val="11"/>
        <color indexed="8"/>
        <rFont val="Arial"/>
        <family val="2"/>
      </rPr>
      <t>/20</t>
    </r>
    <phoneticPr fontId="140" type="noConversion"/>
  </si>
  <si>
    <r>
      <rPr>
        <sz val="11"/>
        <color indexed="8"/>
        <rFont val="宋体"/>
        <family val="3"/>
        <charset val="134"/>
      </rPr>
      <t>低楼层</t>
    </r>
    <r>
      <rPr>
        <sz val="11"/>
        <color indexed="8"/>
        <rFont val="Arial"/>
        <family val="2"/>
      </rPr>
      <t>/15</t>
    </r>
    <phoneticPr fontId="140" type="noConversion"/>
  </si>
  <si>
    <t>办公</t>
    <phoneticPr fontId="140" type="noConversion"/>
  </si>
  <si>
    <t>建成年份</t>
    <phoneticPr fontId="140" type="noConversion"/>
  </si>
  <si>
    <t>复印件</t>
  </si>
  <si>
    <t>2020-4</t>
    <phoneticPr fontId="140" type="noConversion"/>
  </si>
  <si>
    <t>2020-3</t>
    <phoneticPr fontId="3" type="noConversion"/>
  </si>
  <si>
    <t>房型</t>
    <phoneticPr fontId="32" type="noConversion"/>
  </si>
  <si>
    <t>全部缴纳</t>
  </si>
  <si>
    <t>叶凌</t>
  </si>
  <si>
    <t>商务金融用地（商业类）</t>
  </si>
  <si>
    <t>不临58条商业街</t>
  </si>
  <si>
    <r>
      <rPr>
        <sz val="11"/>
        <rFont val="宋体"/>
        <family val="3"/>
        <charset val="134"/>
      </rPr>
      <t>估价对象位于</t>
    </r>
    <r>
      <rPr>
        <sz val="11"/>
        <rFont val="Arial"/>
        <family val="2"/>
      </rPr>
      <t>XX</t>
    </r>
    <r>
      <rPr>
        <sz val="11"/>
        <rFont val="宋体"/>
        <family val="3"/>
        <charset val="134"/>
      </rPr>
      <t>商圈，周边商业氛围成熟，人流量大，商业繁华度好</t>
    </r>
    <phoneticPr fontId="32" type="noConversion"/>
  </si>
  <si>
    <t>收益法倒推-商业</t>
    <phoneticPr fontId="16" type="noConversion"/>
  </si>
  <si>
    <t>售价比较法-商业</t>
    <phoneticPr fontId="16" type="noConversion"/>
  </si>
  <si>
    <t>租金比较法-商业</t>
    <phoneticPr fontId="16" type="noConversion"/>
  </si>
  <si>
    <r>
      <t>1</t>
    </r>
    <r>
      <rPr>
        <sz val="11"/>
        <color indexed="8"/>
        <rFont val="宋体"/>
        <family val="3"/>
        <charset val="134"/>
      </rPr>
      <t>层</t>
    </r>
    <phoneticPr fontId="31" type="noConversion"/>
  </si>
  <si>
    <t>单面临街</t>
  </si>
  <si>
    <t>单面临街</t>
    <phoneticPr fontId="31" type="noConversion"/>
  </si>
  <si>
    <t>双面临街</t>
    <phoneticPr fontId="31" type="noConversion"/>
  </si>
  <si>
    <t>商业街</t>
    <phoneticPr fontId="31" type="noConversion"/>
  </si>
  <si>
    <t>钢混</t>
    <phoneticPr fontId="31" type="noConversion"/>
  </si>
  <si>
    <t>精装修</t>
    <phoneticPr fontId="31" type="noConversion"/>
  </si>
  <si>
    <t>标准层高</t>
    <phoneticPr fontId="31" type="noConversion"/>
  </si>
  <si>
    <t>较适宜</t>
  </si>
  <si>
    <t>较适宜</t>
    <phoneticPr fontId="31" type="noConversion"/>
  </si>
  <si>
    <t>挂牌</t>
    <phoneticPr fontId="31" type="noConversion"/>
  </si>
  <si>
    <r>
      <t>估价对象</t>
    </r>
    <r>
      <rPr>
        <b/>
        <sz val="9"/>
        <color indexed="10"/>
        <rFont val="宋体"/>
        <family val="3"/>
        <charset val="134"/>
      </rPr>
      <t>1-2层商业用房</t>
    </r>
    <r>
      <rPr>
        <b/>
        <sz val="9"/>
        <rFont val="宋体"/>
        <family val="3"/>
        <charset val="134"/>
      </rPr>
      <t>结果一览表</t>
    </r>
    <phoneticPr fontId="3" type="noConversion"/>
  </si>
  <si>
    <t>中行</t>
    <phoneticPr fontId="6" type="noConversion"/>
  </si>
  <si>
    <t>否</t>
  </si>
  <si>
    <t>办公项目</t>
  </si>
  <si>
    <t>地上二层商业</t>
  </si>
  <si>
    <t>估价对象容积率</t>
  </si>
  <si>
    <t>楼层修正</t>
  </si>
  <si>
    <t>写字楼底商</t>
    <phoneticPr fontId="31" type="noConversion"/>
  </si>
  <si>
    <t>住宅底商</t>
    <phoneticPr fontId="31" type="noConversion"/>
  </si>
  <si>
    <t>普通装修</t>
    <phoneticPr fontId="31" type="noConversion"/>
  </si>
  <si>
    <t>毛坯</t>
    <phoneticPr fontId="31" type="noConversion"/>
  </si>
  <si>
    <t>建筑面积</t>
    <phoneticPr fontId="32" type="noConversion"/>
  </si>
  <si>
    <t>位置</t>
    <phoneticPr fontId="140" type="noConversion"/>
  </si>
  <si>
    <t>店铺/楼盘名称</t>
    <phoneticPr fontId="140" type="noConversion"/>
  </si>
  <si>
    <t>租/售</t>
    <phoneticPr fontId="140" type="noConversion"/>
  </si>
  <si>
    <t>总价（元）</t>
    <phoneticPr fontId="140" type="noConversion"/>
  </si>
  <si>
    <t>租</t>
    <phoneticPr fontId="140" type="noConversion"/>
  </si>
  <si>
    <t>-</t>
    <phoneticPr fontId="140" type="noConversion"/>
  </si>
  <si>
    <r>
      <t>市场租金（元/</t>
    </r>
    <r>
      <rPr>
        <sz val="10"/>
        <color indexed="10"/>
        <rFont val="仿宋_GB2312"/>
        <family val="3"/>
        <charset val="134"/>
      </rPr>
      <t>建筑</t>
    </r>
    <r>
      <rPr>
        <sz val="10"/>
        <color indexed="8"/>
        <rFont val="仿宋_GB2312"/>
        <family val="3"/>
        <charset val="134"/>
      </rPr>
      <t>㎡·天）</t>
    </r>
    <phoneticPr fontId="3" type="noConversion"/>
  </si>
  <si>
    <t>使用面积比</t>
    <phoneticPr fontId="140" type="noConversion"/>
  </si>
  <si>
    <t>建筑面积（平方米）</t>
    <phoneticPr fontId="140" type="noConversion"/>
  </si>
  <si>
    <t>建筑面积单位租金（元/平方米/天）</t>
    <phoneticPr fontId="140" type="noConversion"/>
  </si>
  <si>
    <t>使用面积单位租金（元/平方米/天）</t>
    <phoneticPr fontId="140" type="noConversion"/>
  </si>
  <si>
    <t>40-50（含）</t>
  </si>
  <si>
    <t>1-2</t>
    <phoneticPr fontId="32" type="noConversion"/>
  </si>
  <si>
    <t>甲级写字楼</t>
    <phoneticPr fontId="31" type="noConversion"/>
  </si>
  <si>
    <t>中层</t>
    <phoneticPr fontId="31" type="noConversion"/>
  </si>
  <si>
    <t>高层</t>
    <phoneticPr fontId="31" type="noConversion"/>
  </si>
  <si>
    <r>
      <t>1-2</t>
    </r>
    <r>
      <rPr>
        <sz val="11"/>
        <color indexed="8"/>
        <rFont val="宋体"/>
        <family val="3"/>
        <charset val="134"/>
      </rPr>
      <t>层</t>
    </r>
    <phoneticPr fontId="31" type="noConversion"/>
  </si>
  <si>
    <t>标准写字楼</t>
    <phoneticPr fontId="31" type="noConversion"/>
  </si>
  <si>
    <t>20-30米</t>
    <rPh sb="5" eb="6">
      <t>mi</t>
    </rPh>
    <phoneticPr fontId="32" type="noConversion"/>
  </si>
  <si>
    <t>较好</t>
    <rPh sb="0" eb="1">
      <t>jiao hao</t>
    </rPh>
    <phoneticPr fontId="31" type="noConversion"/>
  </si>
  <si>
    <t>一般</t>
    <rPh sb="0" eb="1">
      <t>yi ban</t>
    </rPh>
    <phoneticPr fontId="31" type="noConversion"/>
  </si>
  <si>
    <t>出让</t>
  </si>
  <si>
    <t>商业</t>
    <phoneticPr fontId="32" type="noConversion"/>
  </si>
  <si>
    <t>1</t>
    <phoneticPr fontId="32" type="noConversion"/>
  </si>
  <si>
    <t>住宅底商</t>
  </si>
  <si>
    <t>临街情况</t>
    <rPh sb="0" eb="1">
      <t>zhan shi mian</t>
    </rPh>
    <phoneticPr fontId="32" type="noConversion"/>
  </si>
  <si>
    <t>单面临街</t>
    <phoneticPr fontId="32" type="noConversion"/>
  </si>
  <si>
    <r>
      <t>1500</t>
    </r>
    <r>
      <rPr>
        <sz val="11"/>
        <rFont val="宋体"/>
        <family val="3"/>
        <charset val="134"/>
      </rPr>
      <t>以上</t>
    </r>
    <phoneticPr fontId="32" type="noConversion"/>
  </si>
  <si>
    <t>楼层</t>
    <phoneticPr fontId="140" type="noConversion"/>
  </si>
  <si>
    <t>1</t>
    <phoneticPr fontId="140" type="noConversion"/>
  </si>
  <si>
    <t>商业</t>
    <phoneticPr fontId="31" type="noConversion"/>
  </si>
  <si>
    <t>商业</t>
    <phoneticPr fontId="31" type="noConversion"/>
  </si>
  <si>
    <t>较好</t>
    <rPh sb="0" eb="1">
      <t>yi ban</t>
    </rPh>
    <phoneticPr fontId="31" type="noConversion"/>
  </si>
  <si>
    <t>1层</t>
  </si>
  <si>
    <t>商业</t>
    <phoneticPr fontId="7" type="noConversion"/>
  </si>
  <si>
    <t>正常</t>
  </si>
  <si>
    <t>建筑面积445.5</t>
    <phoneticPr fontId="3" type="noConversion"/>
  </si>
  <si>
    <t>使用面积284.5</t>
    <phoneticPr fontId="3" type="noConversion"/>
  </si>
  <si>
    <t>比例0.64</t>
    <phoneticPr fontId="3" type="noConversion"/>
  </si>
  <si>
    <t>较密集</t>
  </si>
  <si>
    <t>较密集</t>
    <phoneticPr fontId="31" type="noConversion"/>
  </si>
  <si>
    <t>写字楼底商</t>
  </si>
  <si>
    <t>六通</t>
  </si>
  <si>
    <t>六通</t>
    <phoneticPr fontId="31" type="noConversion"/>
  </si>
  <si>
    <t>五通</t>
    <phoneticPr fontId="31" type="noConversion"/>
  </si>
  <si>
    <t>七通</t>
  </si>
  <si>
    <t>成新度</t>
    <phoneticPr fontId="31" type="noConversion"/>
  </si>
  <si>
    <t>紫光发展大厦</t>
    <phoneticPr fontId="140" type="noConversion"/>
  </si>
  <si>
    <t>单面临街</t>
    <rPh sb="0" eb="4">
      <t>mi</t>
    </rPh>
    <phoneticPr fontId="32" type="noConversion"/>
  </si>
  <si>
    <t>北投购物公园</t>
    <phoneticPr fontId="140" type="noConversion"/>
  </si>
  <si>
    <t>北京市朝阳区安定路5号院20号楼</t>
    <phoneticPr fontId="140" type="noConversion"/>
  </si>
  <si>
    <t>伊藤洋华堂</t>
    <phoneticPr fontId="140" type="noConversion"/>
  </si>
  <si>
    <t>北京市朝阳区北四环东路108号</t>
    <phoneticPr fontId="140" type="noConversion"/>
  </si>
  <si>
    <t>中源科技大厦</t>
    <phoneticPr fontId="140" type="noConversion"/>
  </si>
  <si>
    <t>紫光发展大厦</t>
    <phoneticPr fontId="140" type="noConversion"/>
  </si>
  <si>
    <t>北京市朝阳区惠新东街11号</t>
    <phoneticPr fontId="140" type="noConversion"/>
  </si>
  <si>
    <t>华瑞大厦</t>
    <phoneticPr fontId="140" type="noConversion"/>
  </si>
  <si>
    <t>北京市朝阳区霄云南街9号院</t>
    <phoneticPr fontId="140" type="noConversion"/>
  </si>
  <si>
    <t>凤凰置地广场</t>
    <phoneticPr fontId="140" type="noConversion"/>
  </si>
  <si>
    <t>北京市朝阳区曙光西里甲5号</t>
    <phoneticPr fontId="140" type="noConversion"/>
  </si>
  <si>
    <t>惠新东街14号</t>
    <phoneticPr fontId="140" type="noConversion"/>
  </si>
  <si>
    <t>北京市朝阳区惠新东街14号</t>
    <phoneticPr fontId="140" type="noConversion"/>
  </si>
  <si>
    <t>1</t>
    <phoneticPr fontId="140" type="noConversion"/>
  </si>
  <si>
    <t>北京市朝阳区小营北路53号院</t>
    <phoneticPr fontId="140" type="noConversion"/>
  </si>
  <si>
    <t>北京市朝阳区安定路5号恒毅大厦（恒毅大厦写字楼底商）</t>
    <phoneticPr fontId="140" type="noConversion"/>
  </si>
  <si>
    <t>鼎城时代广场</t>
    <phoneticPr fontId="140" type="noConversion"/>
  </si>
  <si>
    <t>北京市朝阳区小营北路15号</t>
    <phoneticPr fontId="140" type="noConversion"/>
  </si>
  <si>
    <t>租</t>
    <phoneticPr fontId="140" type="noConversion"/>
  </si>
  <si>
    <t>北沙滩6号</t>
    <phoneticPr fontId="140" type="noConversion"/>
  </si>
  <si>
    <t>北京市朝阳区北沙滩6号</t>
    <phoneticPr fontId="140" type="noConversion"/>
  </si>
  <si>
    <t>慧忠北里第一社区</t>
    <phoneticPr fontId="140" type="noConversion"/>
  </si>
  <si>
    <t>北京市朝阳区大屯街道</t>
    <phoneticPr fontId="140" type="noConversion"/>
  </si>
  <si>
    <t>好-估价对象临近城市主干道—安定路，临近地铁10号线（安贞门站）有18路、108路、124路、380路、387路等10余条公交线路</t>
    <phoneticPr fontId="41" type="noConversion"/>
  </si>
  <si>
    <t>快速路</t>
  </si>
  <si>
    <t>快速路</t>
    <phoneticPr fontId="32" type="noConversion"/>
  </si>
  <si>
    <t>快速路-北四环东路</t>
    <phoneticPr fontId="140" type="noConversion"/>
  </si>
  <si>
    <t>高速路-京密路</t>
    <phoneticPr fontId="140" type="noConversion"/>
  </si>
  <si>
    <t>城市主干道-小营北路</t>
    <phoneticPr fontId="140" type="noConversion"/>
  </si>
  <si>
    <t>商业街</t>
  </si>
  <si>
    <t>芍药居北里</t>
  </si>
  <si>
    <t>保利香槟花园</t>
    <phoneticPr fontId="140" type="noConversion"/>
  </si>
  <si>
    <t>冠军城</t>
    <phoneticPr fontId="140" type="noConversion"/>
  </si>
  <si>
    <t>北京市朝阳区北沙滩桥东南角大屯路南沙滩66号</t>
    <phoneticPr fontId="140" type="noConversion"/>
  </si>
  <si>
    <t>北京市朝阳区小营路6号</t>
    <phoneticPr fontId="140" type="noConversion"/>
  </si>
  <si>
    <t>北京市朝阳区北四环东路和育慧南路交叉口东侧</t>
    <phoneticPr fontId="140" type="noConversion"/>
  </si>
  <si>
    <t>六通</t>
    <phoneticPr fontId="32" type="noConversion"/>
  </si>
  <si>
    <t>七通</t>
    <phoneticPr fontId="31" type="noConversion"/>
  </si>
  <si>
    <t>恒毅大厦</t>
    <phoneticPr fontId="32" type="noConversion"/>
  </si>
  <si>
    <t>北京市朝阳区安定路5号</t>
    <phoneticPr fontId="32" type="noConversion"/>
  </si>
  <si>
    <t>北京市朝阳区安定路5号</t>
    <phoneticPr fontId="31" type="noConversion"/>
  </si>
  <si>
    <t>通热</t>
  </si>
  <si>
    <t>燃气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</si>
</sst>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75">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DengXian"/>
      <family val="4"/>
      <charset val="134"/>
      <scheme val="minor"/>
    </font>
    <font>
      <sz val="10"/>
      <color rgb="FFFF0000"/>
      <name val="DengXian"/>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4"/>
      <charset val="134"/>
      <scheme val="major"/>
    </font>
    <font>
      <sz val="10"/>
      <name val="DengXian Light"/>
      <family val="4"/>
      <charset val="134"/>
      <scheme val="major"/>
    </font>
    <font>
      <sz val="9"/>
      <color theme="1"/>
      <name val="DengXian"/>
      <family val="4"/>
      <charset val="134"/>
      <scheme val="minor"/>
    </font>
    <font>
      <sz val="10"/>
      <color theme="1"/>
      <name val="DengXian Light"/>
      <family val="4"/>
      <charset val="134"/>
      <scheme val="major"/>
    </font>
    <font>
      <sz val="10"/>
      <color indexed="10"/>
      <name val="仿宋_GB2312"/>
      <family val="3"/>
      <charset val="134"/>
    </font>
    <font>
      <b/>
      <sz val="9"/>
      <name val="DengXian"/>
      <family val="4"/>
      <charset val="134"/>
      <scheme val="minor"/>
    </font>
    <font>
      <b/>
      <sz val="9"/>
      <color indexed="10"/>
      <name val="宋体"/>
      <family val="3"/>
      <charset val="134"/>
    </font>
    <font>
      <b/>
      <sz val="9"/>
      <name val="宋体"/>
      <family val="3"/>
      <charset val="134"/>
    </font>
    <font>
      <sz val="9"/>
      <color rgb="FFFF0000"/>
      <name val="DengXian"/>
      <family val="4"/>
      <charset val="134"/>
      <scheme val="minor"/>
    </font>
    <font>
      <sz val="11"/>
      <color rgb="FFFF0000"/>
      <name val="DengXian"/>
      <family val="4"/>
      <charset val="134"/>
      <scheme val="minor"/>
    </font>
    <font>
      <u/>
      <sz val="11"/>
      <color theme="10"/>
      <name val="DengXian"/>
      <family val="3"/>
      <charset val="134"/>
      <scheme val="minor"/>
    </font>
    <font>
      <sz val="11"/>
      <color indexed="8"/>
      <name val="Arial"/>
      <family val="3"/>
      <charset val="134"/>
    </font>
    <font>
      <sz val="9"/>
      <color rgb="FFFF0000"/>
      <name val="DengXian"/>
      <family val="3"/>
      <charset val="134"/>
      <scheme val="minor"/>
    </font>
    <font>
      <sz val="11"/>
      <color rgb="FFFF0000"/>
      <name val="DengXian"/>
      <family val="3"/>
      <charset val="134"/>
      <scheme val="minor"/>
    </font>
    <font>
      <sz val="11"/>
      <color rgb="FFFF0000"/>
      <name val="DengXian"/>
      <charset val="134"/>
      <scheme val="minor"/>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0" tint="-0.14999847407452621"/>
        <bgColor indexed="64"/>
      </patternFill>
    </fill>
    <fill>
      <patternFill patternType="solid">
        <fgColor rgb="FF00B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9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269" fillId="0" borderId="0" applyNumberFormat="0" applyFill="0" applyBorder="0" applyAlignment="0" applyProtection="0">
      <alignment vertical="center"/>
    </xf>
  </cellStyleXfs>
  <cellXfs count="36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0" xfId="10" applyFont="1" applyBorder="1" applyAlignment="1">
      <alignment vertical="center"/>
    </xf>
    <xf numFmtId="0" fontId="254" fillId="0" borderId="1" xfId="10" applyNumberFormat="1" applyFont="1" applyBorder="1" applyAlignment="1">
      <alignment horizontal="left" vertical="center" wrapText="1" shrinkToFit="1"/>
    </xf>
    <xf numFmtId="9" fontId="255" fillId="0" borderId="1" xfId="10" applyNumberFormat="1" applyFont="1" applyBorder="1" applyAlignment="1">
      <alignment horizontal="center" vertical="center" wrapText="1" shrinkToFit="1"/>
    </xf>
    <xf numFmtId="0" fontId="98" fillId="0" borderId="0" xfId="10" applyAlignment="1"/>
    <xf numFmtId="0" fontId="98" fillId="0" borderId="0" xfId="10" applyFont="1" applyAlignment="1">
      <alignment vertical="center" wrapText="1"/>
    </xf>
    <xf numFmtId="49" fontId="114" fillId="0" borderId="1" xfId="10" applyNumberFormat="1" applyFont="1" applyFill="1" applyBorder="1" applyAlignment="1">
      <alignment horizontal="center" vertical="center" wrapText="1" shrinkToFit="1"/>
    </xf>
    <xf numFmtId="0" fontId="114" fillId="0" borderId="1" xfId="10" applyFont="1" applyFill="1" applyBorder="1" applyAlignment="1">
      <alignment vertical="center" wrapText="1" shrinkToFit="1"/>
    </xf>
    <xf numFmtId="0" fontId="114" fillId="0" borderId="1" xfId="10" applyFont="1" applyFill="1" applyBorder="1" applyAlignment="1">
      <alignment horizontal="center" vertical="center" wrapText="1" shrinkToFit="1"/>
    </xf>
    <xf numFmtId="49" fontId="254" fillId="0" borderId="1" xfId="10" applyNumberFormat="1" applyFont="1" applyBorder="1" applyAlignment="1">
      <alignment horizontal="center" vertical="center" wrapText="1" shrinkToFit="1"/>
    </xf>
    <xf numFmtId="0" fontId="111" fillId="0" borderId="0" xfId="10" applyFont="1" applyAlignment="1">
      <alignment wrapTex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1" xfId="10" applyFont="1" applyBorder="1" applyAlignment="1">
      <alignment horizontal="left" vertical="center" wrapText="1" shrinkToFit="1"/>
    </xf>
    <xf numFmtId="179" fontId="114" fillId="0" borderId="1" xfId="10" applyNumberFormat="1" applyFont="1" applyBorder="1" applyAlignment="1">
      <alignment horizontal="center" vertical="center" wrapText="1" shrinkToFit="1"/>
    </xf>
    <xf numFmtId="0" fontId="111" fillId="0" borderId="0" xfId="10" applyFont="1" applyFill="1" applyAlignment="1">
      <alignment wrapText="1"/>
    </xf>
    <xf numFmtId="9" fontId="114" fillId="0" borderId="1" xfId="10" applyNumberFormat="1" applyFont="1" applyFill="1" applyBorder="1" applyAlignment="1">
      <alignment horizontal="left" vertical="center" wrapText="1" shrinkToFit="1"/>
    </xf>
    <xf numFmtId="9" fontId="259" fillId="0" borderId="1" xfId="10" applyNumberFormat="1" applyFont="1" applyFill="1" applyBorder="1" applyAlignment="1">
      <alignment horizontal="center" vertical="center" wrapText="1"/>
    </xf>
    <xf numFmtId="179" fontId="258" fillId="0" borderId="1" xfId="10" applyNumberFormat="1" applyFont="1" applyFill="1" applyBorder="1" applyAlignment="1">
      <alignment horizontal="center" vertical="center" wrapText="1" shrinkToFit="1"/>
    </xf>
    <xf numFmtId="0" fontId="114" fillId="0" borderId="0" xfId="10" applyFont="1" applyFill="1" applyBorder="1" applyAlignment="1">
      <alignment horizontal="center" vertical="center"/>
    </xf>
    <xf numFmtId="9" fontId="260" fillId="20" borderId="1" xfId="10" applyNumberFormat="1" applyFont="1" applyFill="1" applyBorder="1" applyAlignment="1">
      <alignment horizontal="center" vertical="center" wrapText="1"/>
    </xf>
    <xf numFmtId="0" fontId="98" fillId="0" borderId="0" xfId="10" applyFont="1" applyAlignment="1">
      <alignment vertical="center" wrapText="1" shrinkToFit="1"/>
    </xf>
    <xf numFmtId="179" fontId="114" fillId="0" borderId="0" xfId="10" applyNumberFormat="1" applyFont="1" applyBorder="1" applyAlignment="1">
      <alignment horizontal="center" vertical="center"/>
    </xf>
    <xf numFmtId="0" fontId="111" fillId="0" borderId="1" xfId="10" applyNumberFormat="1" applyFont="1" applyBorder="1" applyAlignment="1">
      <alignment vertical="center" wrapText="1"/>
    </xf>
    <xf numFmtId="0" fontId="111" fillId="0" borderId="1" xfId="10" applyNumberFormat="1" applyFont="1" applyBorder="1" applyAlignment="1">
      <alignment horizontal="center" vertical="center" wrapText="1"/>
    </xf>
    <xf numFmtId="9" fontId="254" fillId="0" borderId="1" xfId="10" applyNumberFormat="1" applyFont="1" applyFill="1" applyBorder="1" applyAlignment="1">
      <alignment horizontal="center" vertical="center" wrapText="1"/>
    </xf>
    <xf numFmtId="9" fontId="111" fillId="0" borderId="1" xfId="10" applyNumberFormat="1" applyFont="1" applyBorder="1" applyAlignment="1">
      <alignment horizontal="center" vertical="center" wrapText="1"/>
    </xf>
    <xf numFmtId="179" fontId="261" fillId="0" borderId="0" xfId="10" applyNumberFormat="1" applyFont="1" applyAlignment="1">
      <alignment vertical="center"/>
    </xf>
    <xf numFmtId="10" fontId="111" fillId="0" borderId="1" xfId="10" applyNumberFormat="1" applyFont="1" applyBorder="1" applyAlignment="1">
      <alignment horizontal="center" vertical="center" wrapText="1"/>
    </xf>
    <xf numFmtId="9" fontId="111" fillId="20" borderId="1" xfId="10" applyNumberFormat="1" applyFont="1" applyFill="1" applyBorder="1" applyAlignment="1">
      <alignment horizontal="center" vertical="center" wrapText="1"/>
    </xf>
    <xf numFmtId="10" fontId="117" fillId="0" borderId="1" xfId="10" applyNumberFormat="1" applyFont="1" applyBorder="1" applyAlignment="1">
      <alignment horizontal="center" vertical="center" wrapText="1"/>
    </xf>
    <xf numFmtId="0" fontId="111" fillId="0" borderId="1" xfId="10" applyFont="1" applyBorder="1" applyAlignment="1">
      <alignment wrapText="1"/>
    </xf>
    <xf numFmtId="0" fontId="98" fillId="0" borderId="0" xfId="10" applyFont="1" applyAlignment="1">
      <alignment vertical="center"/>
    </xf>
    <xf numFmtId="0" fontId="128" fillId="0" borderId="0" xfId="1" applyFont="1" applyBorder="1" applyAlignment="1" applyProtection="1">
      <alignment horizontal="left" vertical="center"/>
      <protection hidden="1"/>
    </xf>
    <xf numFmtId="179" fontId="261" fillId="0" borderId="0" xfId="10" applyNumberFormat="1" applyFont="1" applyAlignment="1">
      <alignment vertical="center" wrapText="1" shrinkToFit="1"/>
    </xf>
    <xf numFmtId="181" fontId="114" fillId="0" borderId="0" xfId="10" applyNumberFormat="1" applyFont="1" applyFill="1" applyBorder="1" applyAlignment="1">
      <alignment horizontal="center" vertical="center"/>
    </xf>
    <xf numFmtId="179" fontId="98" fillId="0" borderId="0" xfId="10" applyNumberFormat="1" applyFont="1" applyAlignment="1">
      <alignment vertical="center"/>
    </xf>
    <xf numFmtId="49" fontId="114" fillId="0" borderId="13" xfId="10" applyNumberFormat="1" applyFont="1" applyFill="1" applyBorder="1" applyAlignment="1">
      <alignment horizontal="center" vertical="center" wrapText="1" shrinkToFit="1"/>
    </xf>
    <xf numFmtId="0" fontId="114" fillId="0" borderId="13" xfId="10" applyFont="1" applyFill="1" applyBorder="1" applyAlignment="1">
      <alignment vertical="center" wrapText="1" shrinkToFi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180" fontId="114" fillId="0" borderId="54" xfId="10" applyNumberFormat="1" applyFont="1" applyFill="1" applyBorder="1" applyAlignment="1">
      <alignment horizontal="center" vertical="center" wrapText="1" shrinkToFit="1"/>
    </xf>
    <xf numFmtId="0" fontId="114" fillId="0" borderId="3" xfId="10" applyFont="1" applyFill="1" applyBorder="1" applyAlignment="1">
      <alignment horizontal="left" vertical="center" wrapText="1" shrinkToFit="1"/>
    </xf>
    <xf numFmtId="0" fontId="114" fillId="0" borderId="1" xfId="10" applyNumberFormat="1" applyFont="1" applyFill="1" applyBorder="1" applyAlignment="1">
      <alignment horizontal="center" vertical="center" wrapText="1" shrinkToFit="1"/>
    </xf>
    <xf numFmtId="10" fontId="114" fillId="0" borderId="1" xfId="10" applyNumberFormat="1" applyFont="1" applyFill="1" applyBorder="1" applyAlignment="1">
      <alignment horizontal="center" vertical="center" wrapText="1" shrinkToFit="1"/>
    </xf>
    <xf numFmtId="9" fontId="114" fillId="0" borderId="0" xfId="10" applyNumberFormat="1" applyFont="1" applyFill="1" applyBorder="1" applyAlignment="1">
      <alignment horizontal="center" vertical="center"/>
    </xf>
    <xf numFmtId="0" fontId="114" fillId="0" borderId="5" xfId="10" applyFont="1" applyFill="1" applyBorder="1" applyAlignment="1">
      <alignment horizontal="right" vertical="center" wrapText="1" shrinkToFit="1"/>
    </xf>
    <xf numFmtId="49" fontId="114" fillId="0" borderId="54" xfId="10" applyNumberFormat="1" applyFont="1" applyFill="1" applyBorder="1" applyAlignment="1">
      <alignment horizontal="center" vertical="center" wrapText="1" shrinkToFit="1"/>
    </xf>
    <xf numFmtId="10" fontId="115" fillId="0" borderId="0" xfId="10" applyNumberFormat="1" applyFont="1" applyFill="1" applyBorder="1" applyAlignment="1">
      <alignment horizontal="center" vertical="center"/>
    </xf>
    <xf numFmtId="0" fontId="262" fillId="0" borderId="0" xfId="10" applyFont="1" applyFill="1" applyAlignment="1">
      <alignment vertical="center"/>
    </xf>
    <xf numFmtId="183" fontId="114" fillId="0" borderId="0" xfId="10" applyNumberFormat="1" applyFont="1" applyFill="1" applyBorder="1" applyAlignment="1">
      <alignment horizontal="center" vertical="center"/>
    </xf>
    <xf numFmtId="10" fontId="114" fillId="0" borderId="0" xfId="10" applyNumberFormat="1" applyFont="1" applyFill="1" applyBorder="1" applyAlignment="1">
      <alignment horizontal="center" vertical="center"/>
    </xf>
    <xf numFmtId="0" fontId="98" fillId="0" borderId="0" xfId="10" applyAlignment="1">
      <alignment horizontal="left" vertical="center" wrapText="1"/>
    </xf>
    <xf numFmtId="0" fontId="98" fillId="0" borderId="0" xfId="10" applyFill="1" applyAlignment="1">
      <alignment vertical="center" wrapText="1"/>
    </xf>
    <xf numFmtId="0" fontId="98" fillId="0" borderId="0" xfId="10" applyAlignment="1">
      <alignment horizontal="center" vertical="center" wrapText="1"/>
    </xf>
    <xf numFmtId="0" fontId="98" fillId="0" borderId="0" xfId="10" applyAlignment="1">
      <alignment vertical="center" wrapText="1"/>
    </xf>
    <xf numFmtId="0" fontId="114" fillId="0" borderId="0" xfId="10" applyFont="1" applyBorder="1" applyAlignment="1">
      <alignment horizontal="center" vertical="center"/>
    </xf>
    <xf numFmtId="0" fontId="261" fillId="0" borderId="0" xfId="10" applyFont="1" applyAlignment="1">
      <alignment horizontal="center" vertical="center" wrapText="1"/>
    </xf>
    <xf numFmtId="0" fontId="261" fillId="0" borderId="0" xfId="10" applyFont="1" applyAlignment="1">
      <alignment vertical="center" wrapText="1"/>
    </xf>
    <xf numFmtId="0" fontId="140" fillId="0" borderId="1" xfId="10" applyFont="1" applyBorder="1" applyAlignment="1">
      <alignment horizontal="center" vertical="center" wrapText="1"/>
    </xf>
    <xf numFmtId="0" fontId="140" fillId="0" borderId="1" xfId="10" applyFont="1" applyFill="1" applyBorder="1" applyAlignment="1">
      <alignment horizontal="center" vertical="center" wrapText="1"/>
    </xf>
    <xf numFmtId="9" fontId="140" fillId="0" borderId="1" xfId="10" applyNumberFormat="1" applyFont="1" applyFill="1" applyBorder="1" applyAlignment="1">
      <alignment horizontal="center" vertical="center" wrapText="1"/>
    </xf>
    <xf numFmtId="0" fontId="267" fillId="0" borderId="0" xfId="10" applyFont="1" applyFill="1" applyAlignment="1">
      <alignment horizontal="center" vertical="center" wrapText="1"/>
    </xf>
    <xf numFmtId="0" fontId="261" fillId="0" borderId="1" xfId="10" applyFont="1" applyBorder="1" applyAlignment="1">
      <alignment horizontal="center" vertical="center" wrapText="1"/>
    </xf>
    <xf numFmtId="0" fontId="261" fillId="0" borderId="0" xfId="10" applyFont="1" applyAlignment="1">
      <alignment horizontal="left" vertical="center" wrapText="1"/>
    </xf>
    <xf numFmtId="179" fontId="261" fillId="0" borderId="0" xfId="10" applyNumberFormat="1" applyFont="1" applyFill="1" applyAlignment="1">
      <alignment vertical="center" wrapText="1"/>
    </xf>
    <xf numFmtId="0" fontId="261" fillId="0" borderId="0" xfId="10" applyFont="1" applyFill="1" applyAlignment="1">
      <alignment vertical="center" wrapText="1"/>
    </xf>
    <xf numFmtId="0" fontId="98" fillId="0" borderId="0" xfId="10" applyFont="1" applyAlignment="1">
      <alignment horizontal="left" vertical="center" wrapText="1"/>
    </xf>
    <xf numFmtId="0" fontId="98" fillId="0" borderId="0" xfId="10" applyFont="1" applyFill="1" applyAlignment="1">
      <alignment vertical="center" wrapText="1"/>
    </xf>
    <xf numFmtId="0" fontId="98" fillId="0" borderId="0" xfId="10" applyFont="1" applyAlignment="1">
      <alignment horizontal="center" vertical="center" wrapText="1"/>
    </xf>
    <xf numFmtId="0" fontId="79" fillId="7" borderId="15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2"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24" xfId="0" applyFont="1" applyFill="1" applyBorder="1" applyAlignment="1" applyProtection="1">
      <alignment horizontal="center" vertical="center" wrapText="1"/>
      <protection locked="0"/>
    </xf>
    <xf numFmtId="0" fontId="53" fillId="6" borderId="34"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49" fillId="12" borderId="125" xfId="9" applyFont="1" applyFill="1" applyBorder="1" applyAlignment="1" applyProtection="1">
      <alignment horizontal="left" vertical="center" wrapText="1"/>
    </xf>
    <xf numFmtId="0" fontId="97" fillId="2" borderId="23"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49" fontId="53" fillId="0" borderId="54" xfId="0" applyNumberFormat="1" applyFont="1" applyFill="1" applyBorder="1" applyAlignment="1" applyProtection="1">
      <alignment horizontal="center" vertical="center" wrapText="1"/>
      <protection locked="0"/>
    </xf>
    <xf numFmtId="49" fontId="46" fillId="0" borderId="44" xfId="0" applyNumberFormat="1" applyFont="1" applyFill="1" applyBorder="1" applyAlignment="1" applyProtection="1">
      <alignment horizontal="center" vertical="center" wrapText="1"/>
      <protection locked="0"/>
    </xf>
    <xf numFmtId="0" fontId="104" fillId="2" borderId="23" xfId="0" applyNumberFormat="1" applyFont="1" applyFill="1" applyBorder="1" applyAlignment="1" applyProtection="1">
      <alignment horizontal="center" vertical="center" wrapText="1"/>
      <protection locked="0"/>
    </xf>
    <xf numFmtId="0" fontId="104" fillId="6" borderId="24" xfId="0" applyNumberFormat="1" applyFont="1" applyFill="1" applyBorder="1" applyAlignment="1" applyProtection="1">
      <alignment horizontal="center" vertical="center" wrapText="1"/>
    </xf>
    <xf numFmtId="0" fontId="104" fillId="6" borderId="5" xfId="0" applyNumberFormat="1" applyFont="1" applyFill="1" applyBorder="1" applyAlignment="1" applyProtection="1">
      <alignment horizontal="center" vertical="center" wrapText="1"/>
    </xf>
    <xf numFmtId="176" fontId="140" fillId="0" borderId="1" xfId="10" applyNumberFormat="1" applyFont="1" applyBorder="1" applyAlignment="1">
      <alignment horizontal="center" vertical="center" wrapText="1"/>
    </xf>
    <xf numFmtId="176" fontId="140" fillId="0" borderId="1" xfId="10" applyNumberFormat="1" applyFont="1" applyFill="1" applyBorder="1" applyAlignment="1">
      <alignment horizontal="center" vertical="center" wrapText="1"/>
    </xf>
    <xf numFmtId="0" fontId="71" fillId="9" borderId="14" xfId="0" applyFont="1" applyFill="1" applyBorder="1" applyAlignment="1" applyProtection="1">
      <alignment vertical="center" textRotation="255" wrapText="1"/>
    </xf>
    <xf numFmtId="0" fontId="46" fillId="9" borderId="5" xfId="0" applyFont="1" applyFill="1" applyBorder="1" applyAlignment="1" applyProtection="1">
      <alignment horizontal="center" vertical="center" wrapText="1"/>
    </xf>
    <xf numFmtId="0" fontId="46" fillId="9" borderId="37" xfId="0" applyNumberFormat="1" applyFont="1" applyFill="1" applyBorder="1" applyAlignment="1" applyProtection="1">
      <alignment horizontal="center" vertical="center" wrapText="1"/>
      <protection locked="0"/>
    </xf>
    <xf numFmtId="0" fontId="46" fillId="9" borderId="24" xfId="0" applyNumberFormat="1" applyFont="1" applyFill="1" applyBorder="1" applyAlignment="1" applyProtection="1">
      <alignment horizontal="center" vertical="center" wrapText="1"/>
    </xf>
    <xf numFmtId="0" fontId="46" fillId="9" borderId="3" xfId="0" applyNumberFormat="1" applyFont="1" applyFill="1" applyBorder="1" applyAlignment="1" applyProtection="1">
      <alignment horizontal="center" vertical="center" wrapText="1"/>
      <protection locked="0"/>
    </xf>
    <xf numFmtId="0" fontId="46" fillId="9" borderId="5" xfId="0" applyNumberFormat="1" applyFont="1" applyFill="1" applyBorder="1" applyAlignment="1" applyProtection="1">
      <alignment horizontal="center" vertical="center" wrapText="1"/>
    </xf>
    <xf numFmtId="0" fontId="46" fillId="9" borderId="23" xfId="0" applyNumberFormat="1" applyFont="1" applyFill="1" applyBorder="1" applyAlignment="1" applyProtection="1">
      <alignment horizontal="center" vertical="center" wrapText="1"/>
      <protection locked="0"/>
    </xf>
    <xf numFmtId="0" fontId="60" fillId="9" borderId="3" xfId="0" applyNumberFormat="1" applyFont="1" applyFill="1" applyBorder="1" applyAlignment="1" applyProtection="1">
      <alignment horizontal="center" vertical="center" wrapText="1"/>
    </xf>
    <xf numFmtId="181" fontId="51"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8"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3" fillId="9" borderId="1" xfId="0" applyNumberFormat="1" applyFont="1" applyFill="1" applyBorder="1" applyAlignment="1" applyProtection="1">
      <alignment horizontal="center" vertical="center"/>
    </xf>
    <xf numFmtId="0" fontId="53" fillId="9" borderId="24"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181" fontId="46" fillId="9" borderId="0" xfId="0" applyNumberFormat="1" applyFont="1" applyFill="1" applyBorder="1" applyAlignment="1" applyProtection="1">
      <alignment horizontal="center" vertical="center" wrapText="1"/>
      <protection locked="0"/>
    </xf>
    <xf numFmtId="0" fontId="46" fillId="9" borderId="0" xfId="0" applyFont="1" applyFill="1" applyBorder="1" applyAlignment="1" applyProtection="1">
      <alignment horizontal="center" vertical="center"/>
      <protection locked="0"/>
    </xf>
    <xf numFmtId="0" fontId="46" fillId="9" borderId="1" xfId="0" applyFont="1" applyFill="1" applyBorder="1" applyAlignment="1" applyProtection="1">
      <alignment horizontal="center" vertical="center" wrapText="1"/>
    </xf>
    <xf numFmtId="188" fontId="46" fillId="9" borderId="5" xfId="0" applyNumberFormat="1" applyFont="1" applyFill="1" applyBorder="1" applyAlignment="1" applyProtection="1">
      <alignment horizontal="center" vertical="center"/>
    </xf>
    <xf numFmtId="49" fontId="46" fillId="9" borderId="3" xfId="0" applyNumberFormat="1" applyFont="1" applyFill="1" applyBorder="1" applyAlignment="1" applyProtection="1">
      <alignment horizontal="center" vertical="center"/>
    </xf>
    <xf numFmtId="0" fontId="46" fillId="9" borderId="15" xfId="0" applyFont="1" applyFill="1" applyBorder="1" applyAlignment="1" applyProtection="1">
      <alignment horizontal="center" vertical="center"/>
    </xf>
    <xf numFmtId="0" fontId="46" fillId="9" borderId="1" xfId="0" applyFont="1" applyFill="1" applyBorder="1" applyAlignment="1" applyProtection="1">
      <alignment horizontal="center" vertical="center"/>
    </xf>
    <xf numFmtId="0" fontId="46" fillId="9" borderId="1" xfId="0" applyNumberFormat="1" applyFont="1" applyFill="1" applyBorder="1" applyAlignment="1" applyProtection="1">
      <alignment horizontal="center" vertical="center"/>
    </xf>
    <xf numFmtId="0" fontId="46" fillId="9" borderId="24" xfId="0" applyNumberFormat="1" applyFont="1" applyFill="1" applyBorder="1" applyAlignment="1" applyProtection="1">
      <alignment horizontal="center" vertical="center"/>
    </xf>
    <xf numFmtId="0" fontId="46" fillId="9" borderId="0" xfId="0" applyFont="1" applyFill="1" applyAlignment="1" applyProtection="1">
      <alignment horizontal="center" vertical="center"/>
      <protection locked="0"/>
    </xf>
    <xf numFmtId="0" fontId="60" fillId="17" borderId="3" xfId="0" applyNumberFormat="1" applyFont="1" applyFill="1" applyBorder="1" applyAlignment="1" applyProtection="1">
      <alignment horizontal="center" vertical="center" wrapText="1"/>
    </xf>
    <xf numFmtId="181" fontId="70" fillId="17" borderId="0" xfId="0" applyNumberFormat="1" applyFont="1" applyFill="1" applyBorder="1" applyAlignment="1" applyProtection="1">
      <alignment horizontal="center" vertical="center" wrapText="1"/>
      <protection locked="0"/>
    </xf>
    <xf numFmtId="0" fontId="53" fillId="17" borderId="0" xfId="0" applyFont="1" applyFill="1" applyBorder="1" applyAlignment="1" applyProtection="1">
      <alignment horizontal="center" vertical="center"/>
      <protection locked="0"/>
    </xf>
    <xf numFmtId="0" fontId="53" fillId="17" borderId="1" xfId="0" applyFont="1" applyFill="1" applyBorder="1" applyAlignment="1" applyProtection="1">
      <alignment horizontal="center" vertical="center" wrapText="1"/>
    </xf>
    <xf numFmtId="188" fontId="53" fillId="17" borderId="5" xfId="0" applyNumberFormat="1" applyFont="1" applyFill="1" applyBorder="1" applyAlignment="1" applyProtection="1">
      <alignment horizontal="center" vertical="center"/>
    </xf>
    <xf numFmtId="49" fontId="53" fillId="17" borderId="3" xfId="0" applyNumberFormat="1" applyFont="1" applyFill="1" applyBorder="1" applyAlignment="1" applyProtection="1">
      <alignment horizontal="center" vertical="center"/>
    </xf>
    <xf numFmtId="0" fontId="53" fillId="17" borderId="15" xfId="0" applyFont="1" applyFill="1" applyBorder="1" applyAlignment="1" applyProtection="1">
      <alignment horizontal="center" vertical="center"/>
    </xf>
    <xf numFmtId="0" fontId="53" fillId="17" borderId="1" xfId="0" applyFont="1" applyFill="1" applyBorder="1" applyAlignment="1" applyProtection="1">
      <alignment horizontal="center" vertical="center"/>
    </xf>
    <xf numFmtId="0" fontId="53" fillId="17" borderId="1" xfId="0" applyNumberFormat="1" applyFont="1" applyFill="1" applyBorder="1" applyAlignment="1" applyProtection="1">
      <alignment horizontal="center" vertical="center"/>
    </xf>
    <xf numFmtId="0" fontId="53" fillId="17" borderId="24" xfId="0" applyNumberFormat="1" applyFont="1" applyFill="1" applyBorder="1" applyAlignment="1" applyProtection="1">
      <alignment horizontal="center" vertical="center"/>
    </xf>
    <xf numFmtId="0" fontId="53" fillId="17" borderId="0" xfId="0" applyFont="1" applyFill="1" applyAlignment="1" applyProtection="1">
      <alignment horizontal="center" vertical="center"/>
      <protection locked="0"/>
    </xf>
    <xf numFmtId="0" fontId="261" fillId="0" borderId="0" xfId="10" applyFont="1" applyFill="1" applyAlignment="1">
      <alignment horizontal="center" vertical="center" wrapText="1"/>
    </xf>
    <xf numFmtId="0" fontId="267" fillId="0" borderId="0" xfId="10" applyFont="1" applyFill="1" applyAlignment="1">
      <alignment vertical="center" wrapText="1"/>
    </xf>
    <xf numFmtId="184" fontId="46" fillId="0" borderId="73" xfId="0" applyNumberFormat="1" applyFont="1" applyFill="1" applyBorder="1" applyAlignment="1" applyProtection="1">
      <alignment horizontal="center" vertical="center" wrapText="1"/>
      <protection locked="0"/>
    </xf>
    <xf numFmtId="0" fontId="134" fillId="6" borderId="62" xfId="0"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2" fontId="261" fillId="0" borderId="0" xfId="10" applyNumberFormat="1" applyFont="1" applyFill="1" applyAlignment="1">
      <alignment horizontal="center" vertical="center" wrapText="1"/>
    </xf>
    <xf numFmtId="0" fontId="0" fillId="0" borderId="0" xfId="0" applyFill="1">
      <alignment vertical="center"/>
    </xf>
    <xf numFmtId="0" fontId="98" fillId="0" borderId="0" xfId="0" applyFont="1" applyFill="1">
      <alignment vertical="center"/>
    </xf>
    <xf numFmtId="0" fontId="269" fillId="0" borderId="0" xfId="51" applyFill="1">
      <alignment vertical="center"/>
    </xf>
    <xf numFmtId="31" fontId="98" fillId="0" borderId="0" xfId="10" applyNumberFormat="1" applyFont="1" applyAlignment="1">
      <alignment vertical="center"/>
    </xf>
    <xf numFmtId="14" fontId="49" fillId="7" borderId="13" xfId="0" applyNumberFormat="1" applyFont="1" applyFill="1" applyBorder="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134" fillId="7" borderId="5" xfId="0"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xf>
    <xf numFmtId="0" fontId="46" fillId="7" borderId="41" xfId="0" applyNumberFormat="1" applyFont="1" applyFill="1" applyBorder="1" applyAlignment="1" applyProtection="1">
      <alignment horizontal="center" vertical="center" wrapText="1"/>
      <protection locked="0"/>
    </xf>
    <xf numFmtId="0" fontId="46" fillId="7" borderId="5" xfId="0" applyNumberFormat="1" applyFont="1" applyFill="1" applyBorder="1" applyAlignment="1" applyProtection="1">
      <alignment horizontal="center" vertical="center" wrapText="1"/>
    </xf>
    <xf numFmtId="0" fontId="97" fillId="7" borderId="37" xfId="0" applyNumberFormat="1" applyFont="1" applyFill="1" applyBorder="1" applyAlignment="1" applyProtection="1">
      <alignment horizontal="center" vertical="center" wrapText="1"/>
      <protection locked="0"/>
    </xf>
    <xf numFmtId="0" fontId="53" fillId="7" borderId="24" xfId="0" applyNumberFormat="1" applyFont="1" applyFill="1" applyBorder="1" applyAlignment="1" applyProtection="1">
      <alignment horizontal="center" vertical="center" wrapText="1"/>
    </xf>
    <xf numFmtId="0" fontId="134" fillId="7" borderId="41" xfId="0" applyNumberFormat="1" applyFont="1" applyFill="1" applyBorder="1" applyAlignment="1" applyProtection="1">
      <alignment horizontal="center" vertical="center" wrapText="1"/>
      <protection locked="0"/>
    </xf>
    <xf numFmtId="0" fontId="53" fillId="7" borderId="5" xfId="0" applyNumberFormat="1" applyFont="1" applyFill="1" applyBorder="1" applyAlignment="1" applyProtection="1">
      <alignment horizontal="center" vertical="center" wrapText="1"/>
    </xf>
    <xf numFmtId="0" fontId="134" fillId="7" borderId="33" xfId="0" applyFont="1" applyFill="1" applyBorder="1" applyAlignment="1" applyProtection="1">
      <alignment horizontal="center" vertical="center" wrapText="1"/>
      <protection locked="0"/>
    </xf>
    <xf numFmtId="0" fontId="53" fillId="7" borderId="37" xfId="0" applyNumberFormat="1" applyFont="1" applyFill="1" applyBorder="1" applyAlignment="1" applyProtection="1">
      <alignment horizontal="center" vertical="center" wrapText="1"/>
      <protection locked="0"/>
    </xf>
    <xf numFmtId="0" fontId="53" fillId="7" borderId="49" xfId="0" applyNumberFormat="1" applyFont="1" applyFill="1" applyBorder="1" applyAlignment="1" applyProtection="1">
      <alignment horizontal="center" vertical="center" wrapText="1"/>
    </xf>
    <xf numFmtId="0" fontId="53" fillId="7" borderId="33" xfId="0" applyNumberFormat="1" applyFont="1" applyFill="1" applyBorder="1" applyAlignment="1" applyProtection="1">
      <alignment horizontal="center" vertical="center" wrapText="1"/>
    </xf>
    <xf numFmtId="0" fontId="48" fillId="22" borderId="14" xfId="0" applyFont="1" applyFill="1" applyBorder="1" applyAlignment="1" applyProtection="1">
      <alignment vertical="center" textRotation="255" wrapText="1"/>
    </xf>
    <xf numFmtId="0" fontId="52" fillId="22" borderId="14" xfId="0" applyFont="1" applyFill="1" applyBorder="1" applyAlignment="1" applyProtection="1">
      <alignment vertical="center" textRotation="255" wrapText="1"/>
    </xf>
    <xf numFmtId="0" fontId="52" fillId="22" borderId="12" xfId="0" applyFont="1" applyFill="1" applyBorder="1" applyAlignment="1" applyProtection="1">
      <alignment vertical="center" textRotation="255" wrapText="1"/>
    </xf>
    <xf numFmtId="9" fontId="258" fillId="5" borderId="1" xfId="10" applyNumberFormat="1" applyFont="1" applyFill="1" applyBorder="1" applyAlignment="1">
      <alignment horizontal="center" vertical="center" wrapText="1" shrinkToFit="1"/>
    </xf>
    <xf numFmtId="181" fontId="258" fillId="5" borderId="1" xfId="10" applyNumberFormat="1" applyFont="1" applyFill="1" applyBorder="1" applyAlignment="1">
      <alignment horizontal="center" vertical="center" wrapText="1" shrinkToFit="1"/>
    </xf>
    <xf numFmtId="0" fontId="114" fillId="5" borderId="1" xfId="10" applyFont="1" applyFill="1" applyBorder="1" applyAlignment="1">
      <alignment horizontal="center" vertical="center" wrapText="1" shrinkToFit="1"/>
    </xf>
    <xf numFmtId="0" fontId="270" fillId="0" borderId="44" xfId="0" applyNumberFormat="1" applyFont="1" applyFill="1" applyBorder="1" applyAlignment="1" applyProtection="1">
      <alignment horizontal="center" vertical="center" wrapText="1"/>
      <protection locked="0"/>
    </xf>
    <xf numFmtId="0" fontId="46" fillId="7" borderId="0" xfId="0" applyFont="1" applyFill="1" applyProtection="1">
      <alignment vertical="center"/>
      <protection locked="0"/>
    </xf>
    <xf numFmtId="0" fontId="134" fillId="7" borderId="0" xfId="0" applyFont="1" applyFill="1" applyProtection="1">
      <alignment vertical="center"/>
      <protection locked="0"/>
    </xf>
    <xf numFmtId="49" fontId="134" fillId="0" borderId="41" xfId="0" applyNumberFormat="1" applyFont="1" applyFill="1" applyBorder="1" applyAlignment="1" applyProtection="1">
      <alignment horizontal="center" vertical="center" wrapText="1"/>
      <protection locked="0"/>
    </xf>
    <xf numFmtId="0" fontId="134" fillId="7" borderId="37"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71" fillId="5" borderId="1" xfId="0" applyFont="1" applyFill="1" applyBorder="1" applyAlignment="1">
      <alignment vertical="center" wrapText="1"/>
    </xf>
    <xf numFmtId="0" fontId="0" fillId="8" borderId="0" xfId="0" applyFill="1">
      <alignment vertical="center"/>
    </xf>
    <xf numFmtId="0" fontId="98" fillId="0" borderId="0" xfId="0" applyFont="1" applyAlignment="1">
      <alignment horizontal="center" vertical="center" wrapText="1"/>
    </xf>
    <xf numFmtId="0" fontId="0" fillId="0" borderId="0" xfId="0" applyAlignment="1">
      <alignment horizontal="center" vertical="center" wrapText="1"/>
    </xf>
    <xf numFmtId="9" fontId="0" fillId="0" borderId="0" xfId="0" applyNumberFormat="1" applyAlignment="1">
      <alignment horizontal="center"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79"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197"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98" fillId="0" borderId="0" xfId="0" applyFont="1" applyAlignment="1">
      <alignment horizontal="center" vertical="center" wrapText="1"/>
    </xf>
    <xf numFmtId="0" fontId="117" fillId="0" borderId="0" xfId="10" applyFont="1" applyFill="1" applyBorder="1" applyAlignment="1">
      <alignment horizontal="center" vertical="center" wrapText="1"/>
    </xf>
    <xf numFmtId="0" fontId="98" fillId="0" borderId="1" xfId="10" applyFont="1" applyBorder="1" applyAlignment="1">
      <alignment horizontal="center" vertical="center" wrapTex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0" fontId="114" fillId="0" borderId="3" xfId="10" applyFont="1" applyFill="1" applyBorder="1" applyAlignment="1">
      <alignment horizontal="center" vertical="center" wrapText="1" shrinkToFit="1"/>
    </xf>
    <xf numFmtId="0" fontId="114" fillId="0" borderId="1" xfId="10" applyFont="1" applyFill="1" applyBorder="1" applyAlignment="1">
      <alignment horizontal="center" vertical="center" wrapText="1" shrinkToFi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46" xfId="10" applyFont="1" applyFill="1" applyBorder="1" applyAlignment="1">
      <alignment horizontal="center" vertical="center" wrapText="1" shrinkToFit="1"/>
    </xf>
    <xf numFmtId="0" fontId="114" fillId="0" borderId="36" xfId="10" applyFont="1" applyFill="1" applyBorder="1" applyAlignment="1">
      <alignment horizontal="center" vertical="center" wrapText="1" shrinkToFit="1"/>
    </xf>
    <xf numFmtId="0" fontId="114" fillId="0" borderId="22" xfId="10" applyFont="1" applyFill="1" applyBorder="1" applyAlignment="1">
      <alignment horizontal="center" vertical="center" wrapText="1" shrinkToFit="1"/>
    </xf>
    <xf numFmtId="0" fontId="114" fillId="0" borderId="58" xfId="10" applyFont="1" applyFill="1" applyBorder="1" applyAlignment="1">
      <alignment horizontal="center" vertical="center" wrapText="1" shrinkToFit="1"/>
    </xf>
    <xf numFmtId="0" fontId="114" fillId="0" borderId="0" xfId="10" applyFont="1" applyFill="1" applyBorder="1" applyAlignment="1">
      <alignment horizontal="center" vertical="center" wrapText="1" shrinkToFit="1"/>
    </xf>
    <xf numFmtId="0" fontId="114" fillId="0" borderId="35" xfId="10" applyFont="1" applyFill="1" applyBorder="1" applyAlignment="1">
      <alignment horizontal="center" vertical="center" wrapText="1" shrinkToFit="1"/>
    </xf>
    <xf numFmtId="0" fontId="114" fillId="0" borderId="4" xfId="10" applyFont="1" applyFill="1" applyBorder="1" applyAlignment="1">
      <alignment horizontal="center" vertical="center" wrapText="1" shrinkToFit="1"/>
    </xf>
    <xf numFmtId="0" fontId="114" fillId="0" borderId="60" xfId="10" applyFont="1" applyFill="1" applyBorder="1" applyAlignment="1">
      <alignment horizontal="center" vertical="center" wrapText="1" shrinkToFit="1"/>
    </xf>
    <xf numFmtId="0" fontId="114" fillId="0" borderId="7" xfId="10" applyFont="1" applyFill="1" applyBorder="1" applyAlignment="1">
      <alignment horizontal="center" vertical="center" wrapText="1" shrinkToFit="1"/>
    </xf>
    <xf numFmtId="0" fontId="98" fillId="0" borderId="1" xfId="10" applyFont="1" applyBorder="1" applyAlignment="1">
      <alignment horizontal="center" vertical="center" wrapText="1" shrinkToFit="1"/>
    </xf>
    <xf numFmtId="181" fontId="114" fillId="0" borderId="1" xfId="10" applyNumberFormat="1" applyFont="1" applyFill="1" applyBorder="1" applyAlignment="1">
      <alignment horizontal="center" vertical="center" wrapText="1" shrinkToFit="1"/>
    </xf>
    <xf numFmtId="180" fontId="114" fillId="0" borderId="5" xfId="10" applyNumberFormat="1" applyFont="1" applyFill="1" applyBorder="1" applyAlignment="1">
      <alignment horizontal="right" vertical="center" wrapText="1" shrinkToFit="1"/>
    </xf>
    <xf numFmtId="180" fontId="114" fillId="0" borderId="54" xfId="10" applyNumberFormat="1" applyFont="1" applyFill="1" applyBorder="1" applyAlignment="1">
      <alignment horizontal="right" vertical="center" wrapText="1" shrinkToFit="1"/>
    </xf>
    <xf numFmtId="0" fontId="114" fillId="0" borderId="54" xfId="10" applyFont="1" applyFill="1" applyBorder="1" applyAlignment="1">
      <alignment horizontal="left" vertical="center" wrapText="1" shrinkToFit="1"/>
    </xf>
    <xf numFmtId="0" fontId="114" fillId="0" borderId="3" xfId="10" applyFont="1" applyFill="1" applyBorder="1" applyAlignment="1">
      <alignment horizontal="left" vertical="center" wrapText="1" shrinkToFit="1"/>
    </xf>
    <xf numFmtId="0" fontId="114" fillId="0" borderId="5" xfId="10" applyFont="1" applyFill="1" applyBorder="1" applyAlignment="1">
      <alignment horizontal="right" vertical="center" wrapText="1" shrinkToFit="1"/>
    </xf>
    <xf numFmtId="0" fontId="114" fillId="0" borderId="54" xfId="10" applyFont="1" applyFill="1" applyBorder="1" applyAlignment="1">
      <alignment horizontal="right" vertical="center" wrapText="1" shrinkToFit="1"/>
    </xf>
    <xf numFmtId="185" fontId="114" fillId="0" borderId="54" xfId="10" applyNumberFormat="1" applyFont="1" applyFill="1" applyBorder="1" applyAlignment="1">
      <alignment horizontal="left" vertical="center" wrapText="1" shrinkToFit="1"/>
    </xf>
    <xf numFmtId="10" fontId="114" fillId="0" borderId="3" xfId="10" applyNumberFormat="1" applyFont="1" applyFill="1" applyBorder="1" applyAlignment="1">
      <alignment horizontal="left" vertical="center" wrapText="1" shrinkToFit="1"/>
    </xf>
    <xf numFmtId="9" fontId="114" fillId="0" borderId="13" xfId="10" applyNumberFormat="1" applyFont="1" applyFill="1" applyBorder="1" applyAlignment="1">
      <alignment horizontal="left" vertical="center" wrapText="1" shrinkToFit="1"/>
    </xf>
    <xf numFmtId="9" fontId="114" fillId="0" borderId="2" xfId="10" applyNumberFormat="1" applyFont="1" applyFill="1" applyBorder="1" applyAlignment="1">
      <alignment horizontal="left" vertical="center" wrapText="1" shrinkToFit="1"/>
    </xf>
    <xf numFmtId="9" fontId="258" fillId="5" borderId="1" xfId="10" applyNumberFormat="1" applyFont="1" applyFill="1" applyBorder="1" applyAlignment="1">
      <alignment horizontal="center" vertical="center" wrapText="1" shrinkToFit="1"/>
    </xf>
    <xf numFmtId="0" fontId="114" fillId="0" borderId="5" xfId="10" applyNumberFormat="1" applyFont="1" applyFill="1" applyBorder="1" applyAlignment="1">
      <alignment horizontal="right" vertical="center" wrapText="1" shrinkToFit="1"/>
    </xf>
    <xf numFmtId="0" fontId="114" fillId="0" borderId="54" xfId="10" applyNumberFormat="1" applyFont="1" applyFill="1" applyBorder="1" applyAlignment="1">
      <alignment horizontal="right" vertical="center" wrapText="1" shrinkToFit="1"/>
    </xf>
    <xf numFmtId="10" fontId="114" fillId="7" borderId="54" xfId="10" applyNumberFormat="1" applyFont="1" applyFill="1" applyBorder="1" applyAlignment="1">
      <alignment horizontal="left" vertical="center" wrapText="1" shrinkToFit="1"/>
    </xf>
    <xf numFmtId="10" fontId="114" fillId="7" borderId="3" xfId="10" applyNumberFormat="1" applyFont="1" applyFill="1" applyBorder="1" applyAlignment="1">
      <alignment horizontal="left" vertical="center" wrapText="1" shrinkToFit="1"/>
    </xf>
    <xf numFmtId="10" fontId="114" fillId="0" borderId="1" xfId="10" applyNumberFormat="1" applyFont="1" applyFill="1" applyBorder="1" applyAlignment="1">
      <alignment horizontal="center" vertical="center" wrapText="1" shrinkToFit="1"/>
    </xf>
    <xf numFmtId="10" fontId="114" fillId="0" borderId="54" xfId="10" applyNumberFormat="1" applyFont="1" applyFill="1" applyBorder="1" applyAlignment="1">
      <alignment horizontal="left" vertical="center" wrapText="1" shrinkToFit="1"/>
    </xf>
    <xf numFmtId="10" fontId="114" fillId="0" borderId="5" xfId="10" applyNumberFormat="1" applyFont="1" applyFill="1" applyBorder="1" applyAlignment="1">
      <alignment horizontal="center" vertical="center" wrapText="1" shrinkToFit="1"/>
    </xf>
    <xf numFmtId="10" fontId="114" fillId="0" borderId="3" xfId="10" applyNumberFormat="1" applyFont="1" applyFill="1" applyBorder="1" applyAlignment="1">
      <alignment horizontal="center" vertical="center" wrapText="1" shrinkToFit="1"/>
    </xf>
    <xf numFmtId="183" fontId="114" fillId="0" borderId="1" xfId="10" applyNumberFormat="1" applyFont="1" applyFill="1" applyBorder="1" applyAlignment="1">
      <alignment horizontal="center" vertical="center" wrapText="1" shrinkToFit="1"/>
    </xf>
    <xf numFmtId="179" fontId="114" fillId="23" borderId="46" xfId="10" applyNumberFormat="1" applyFont="1" applyFill="1" applyBorder="1" applyAlignment="1">
      <alignment horizontal="center" vertical="center" wrapText="1" shrinkToFit="1"/>
    </xf>
    <xf numFmtId="179" fontId="114" fillId="23" borderId="36" xfId="10" applyNumberFormat="1" applyFont="1" applyFill="1" applyBorder="1" applyAlignment="1">
      <alignment horizontal="center" vertical="center" wrapText="1" shrinkToFit="1"/>
    </xf>
    <xf numFmtId="179" fontId="114" fillId="23" borderId="22" xfId="10" applyNumberFormat="1" applyFont="1" applyFill="1" applyBorder="1" applyAlignment="1">
      <alignment horizontal="center" vertical="center" wrapText="1" shrinkToFit="1"/>
    </xf>
    <xf numFmtId="179" fontId="114" fillId="23" borderId="4" xfId="10" applyNumberFormat="1" applyFont="1" applyFill="1" applyBorder="1" applyAlignment="1">
      <alignment horizontal="center" vertical="center" wrapText="1" shrinkToFit="1"/>
    </xf>
    <xf numFmtId="179" fontId="114" fillId="23" borderId="60" xfId="10" applyNumberFormat="1" applyFont="1" applyFill="1" applyBorder="1" applyAlignment="1">
      <alignment horizontal="center" vertical="center" wrapText="1" shrinkToFit="1"/>
    </xf>
    <xf numFmtId="179" fontId="114" fillId="23" borderId="7" xfId="10" applyNumberFormat="1" applyFont="1" applyFill="1" applyBorder="1" applyAlignment="1">
      <alignment horizontal="center" vertical="center" wrapText="1" shrinkToFit="1"/>
    </xf>
    <xf numFmtId="176" fontId="140" fillId="0" borderId="1" xfId="10" applyNumberFormat="1" applyFont="1" applyFill="1" applyBorder="1" applyAlignment="1">
      <alignment horizontal="center" vertical="center" wrapText="1"/>
    </xf>
    <xf numFmtId="0" fontId="264" fillId="21" borderId="0" xfId="10" applyFont="1" applyFill="1" applyBorder="1" applyAlignment="1">
      <alignment horizontal="center" vertical="center" wrapText="1"/>
    </xf>
    <xf numFmtId="0" fontId="140" fillId="0" borderId="1" xfId="10" applyFont="1" applyFill="1" applyBorder="1" applyAlignment="1">
      <alignment horizontal="center" vertical="center" wrapText="1"/>
    </xf>
    <xf numFmtId="179" fontId="140" fillId="0" borderId="1" xfId="10" applyNumberFormat="1" applyFont="1" applyFill="1" applyBorder="1" applyAlignment="1">
      <alignment horizontal="center" vertical="center" wrapText="1"/>
    </xf>
    <xf numFmtId="0" fontId="140" fillId="0" borderId="1" xfId="10" applyFont="1" applyBorder="1" applyAlignment="1">
      <alignment horizontal="center" vertical="center" wrapText="1"/>
    </xf>
    <xf numFmtId="179" fontId="140" fillId="0" borderId="5" xfId="10" applyNumberFormat="1" applyFont="1" applyFill="1" applyBorder="1" applyAlignment="1">
      <alignment horizontal="center" vertical="center" wrapText="1"/>
    </xf>
    <xf numFmtId="179" fontId="140" fillId="0" borderId="54" xfId="10" applyNumberFormat="1" applyFont="1" applyFill="1" applyBorder="1" applyAlignment="1">
      <alignment horizontal="center" vertical="center" wrapText="1"/>
    </xf>
    <xf numFmtId="179" fontId="140" fillId="0" borderId="3" xfId="10" applyNumberFormat="1" applyFont="1" applyFill="1" applyBorder="1" applyAlignment="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75"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73" fillId="0" borderId="0" xfId="0" applyFont="1" applyAlignment="1">
      <alignment horizontal="center" vertical="center" wrapText="1"/>
    </xf>
    <xf numFmtId="49" fontId="274"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134" fillId="0" borderId="0" xfId="0" applyFont="1" applyFill="1" applyAlignment="1" applyProtection="1">
      <alignment horizontal="center" vertical="center"/>
      <protection locked="0"/>
    </xf>
    <xf numFmtId="9" fontId="46" fillId="0" borderId="44" xfId="0" applyNumberFormat="1" applyFont="1" applyFill="1" applyBorder="1" applyAlignment="1" applyProtection="1">
      <alignment horizontal="center" vertical="center" wrapText="1"/>
      <protection locked="0"/>
    </xf>
    <xf numFmtId="176" fontId="272" fillId="5" borderId="1" xfId="0" applyNumberFormat="1" applyFont="1" applyFill="1" applyBorder="1" applyAlignment="1">
      <alignment vertical="center" wrapText="1"/>
    </xf>
    <xf numFmtId="176" fontId="272" fillId="9" borderId="1" xfId="0" applyNumberFormat="1" applyFont="1" applyFill="1" applyBorder="1" applyAlignment="1">
      <alignment vertical="center" wrapText="1"/>
    </xf>
    <xf numFmtId="176" fontId="268" fillId="0" borderId="0" xfId="10" applyNumberFormat="1" applyFont="1" applyFill="1" applyAlignment="1">
      <alignment vertical="center" wrapText="1"/>
    </xf>
    <xf numFmtId="0" fontId="237" fillId="0" borderId="0" xfId="0" applyFont="1" applyFill="1" applyAlignment="1" applyProtection="1">
      <alignment horizontal="center" vertical="center"/>
      <protection locked="0"/>
    </xf>
  </cellXfs>
  <cellStyles count="52">
    <cellStyle name="百分比 2" xfId="14" xr:uid="{00000000-0005-0000-0000-000000000000}"/>
    <cellStyle name="常规" xfId="0" builtinId="0"/>
    <cellStyle name="常规 11 2"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10" xfId="18" xr:uid="{00000000-0005-0000-0000-000008000000}"/>
    <cellStyle name="常规 3 11" xfId="19" xr:uid="{00000000-0005-0000-0000-000009000000}"/>
    <cellStyle name="常规 3 12" xfId="20" xr:uid="{00000000-0005-0000-0000-00000A000000}"/>
    <cellStyle name="常规 3 2" xfId="3" xr:uid="{00000000-0005-0000-0000-00000B000000}"/>
    <cellStyle name="常规 3 2 2" xfId="21" xr:uid="{00000000-0005-0000-0000-00000C000000}"/>
    <cellStyle name="常规 3 3" xfId="22" xr:uid="{00000000-0005-0000-0000-00000D000000}"/>
    <cellStyle name="常规 3 4" xfId="23" xr:uid="{00000000-0005-0000-0000-00000E000000}"/>
    <cellStyle name="常规 3 5" xfId="24" xr:uid="{00000000-0005-0000-0000-00000F000000}"/>
    <cellStyle name="常规 3 6" xfId="25" xr:uid="{00000000-0005-0000-0000-000010000000}"/>
    <cellStyle name="常规 3 7" xfId="26" xr:uid="{00000000-0005-0000-0000-000011000000}"/>
    <cellStyle name="常规 3 8" xfId="27" xr:uid="{00000000-0005-0000-0000-000012000000}"/>
    <cellStyle name="常规 3 9" xfId="28" xr:uid="{00000000-0005-0000-0000-000013000000}"/>
    <cellStyle name="常规 4" xfId="4" xr:uid="{00000000-0005-0000-0000-000014000000}"/>
    <cellStyle name="常规 4 10" xfId="29" xr:uid="{00000000-0005-0000-0000-000015000000}"/>
    <cellStyle name="常规 4 11" xfId="30" xr:uid="{00000000-0005-0000-0000-000016000000}"/>
    <cellStyle name="常规 4 12" xfId="31" xr:uid="{00000000-0005-0000-0000-000017000000}"/>
    <cellStyle name="常规 4 2" xfId="32" xr:uid="{00000000-0005-0000-0000-000018000000}"/>
    <cellStyle name="常规 4 3" xfId="33" xr:uid="{00000000-0005-0000-0000-000019000000}"/>
    <cellStyle name="常规 4 4" xfId="34" xr:uid="{00000000-0005-0000-0000-00001A000000}"/>
    <cellStyle name="常规 4 5" xfId="35" xr:uid="{00000000-0005-0000-0000-00001B000000}"/>
    <cellStyle name="常规 4 6" xfId="36" xr:uid="{00000000-0005-0000-0000-00001C000000}"/>
    <cellStyle name="常规 4 7" xfId="37" xr:uid="{00000000-0005-0000-0000-00001D000000}"/>
    <cellStyle name="常规 4 8" xfId="38" xr:uid="{00000000-0005-0000-0000-00001E000000}"/>
    <cellStyle name="常规 4 9" xfId="39" xr:uid="{00000000-0005-0000-0000-00001F000000}"/>
    <cellStyle name="常规 5" xfId="5" xr:uid="{00000000-0005-0000-0000-000020000000}"/>
    <cellStyle name="常规 5 10" xfId="40" xr:uid="{00000000-0005-0000-0000-000021000000}"/>
    <cellStyle name="常规 5 11" xfId="41" xr:uid="{00000000-0005-0000-0000-000022000000}"/>
    <cellStyle name="常规 5 12" xfId="42" xr:uid="{00000000-0005-0000-0000-000023000000}"/>
    <cellStyle name="常规 5 2" xfId="43" xr:uid="{00000000-0005-0000-0000-000024000000}"/>
    <cellStyle name="常规 5 3" xfId="44" xr:uid="{00000000-0005-0000-0000-000025000000}"/>
    <cellStyle name="常规 5 4" xfId="45" xr:uid="{00000000-0005-0000-0000-000026000000}"/>
    <cellStyle name="常规 5 5" xfId="46" xr:uid="{00000000-0005-0000-0000-000027000000}"/>
    <cellStyle name="常规 5 6" xfId="47" xr:uid="{00000000-0005-0000-0000-000028000000}"/>
    <cellStyle name="常规 5 7" xfId="48" xr:uid="{00000000-0005-0000-0000-000029000000}"/>
    <cellStyle name="常规 5 8" xfId="49" xr:uid="{00000000-0005-0000-0000-00002A000000}"/>
    <cellStyle name="常规 5 9" xfId="50" xr:uid="{00000000-0005-0000-0000-00002B000000}"/>
    <cellStyle name="常规 6" xfId="6" xr:uid="{00000000-0005-0000-0000-00002C000000}"/>
    <cellStyle name="常规 6 2" xfId="9" xr:uid="{00000000-0005-0000-0000-00002D000000}"/>
    <cellStyle name="常规 6 2 2" xfId="16" xr:uid="{00000000-0005-0000-0000-00002E000000}"/>
    <cellStyle name="常规 6 2 3" xfId="13" xr:uid="{00000000-0005-0000-0000-00002F000000}"/>
    <cellStyle name="常规 7" xfId="7" xr:uid="{00000000-0005-0000-0000-000030000000}"/>
    <cellStyle name="常规 8" xfId="11" xr:uid="{00000000-0005-0000-0000-000031000000}"/>
    <cellStyle name="常规 9" xfId="12" xr:uid="{00000000-0005-0000-0000-000032000000}"/>
    <cellStyle name="超链接" xfId="51" builtinId="8"/>
  </cellStyles>
  <dxfs count="25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12" Type="http://schemas.openxmlformats.org/officeDocument/2006/relationships/image" Target="../media/image43.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drawing4.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0" Type="http://schemas.openxmlformats.org/officeDocument/2006/relationships/image" Target="../media/image53.png"/><Relationship Id="rId4" Type="http://schemas.openxmlformats.org/officeDocument/2006/relationships/image" Target="../media/image47.png"/><Relationship Id="rId9"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542924</xdr:colOff>
      <xdr:row>0</xdr:row>
      <xdr:rowOff>0</xdr:rowOff>
    </xdr:from>
    <xdr:to>
      <xdr:col>17</xdr:col>
      <xdr:colOff>484962</xdr:colOff>
      <xdr:row>11</xdr:row>
      <xdr:rowOff>61744</xdr:rowOff>
    </xdr:to>
    <xdr:pic>
      <xdr:nvPicPr>
        <xdr:cNvPr id="3" name="图片 2">
          <a:extLst>
            <a:ext uri="{FF2B5EF4-FFF2-40B4-BE49-F238E27FC236}">
              <a16:creationId xmlns:a16="http://schemas.microsoft.com/office/drawing/2014/main" id="{B2A9DB5A-3688-4216-B6E7-077561B309D8}"/>
            </a:ext>
          </a:extLst>
        </xdr:cNvPr>
        <xdr:cNvPicPr>
          <a:picLocks noChangeAspect="1"/>
        </xdr:cNvPicPr>
      </xdr:nvPicPr>
      <xdr:blipFill>
        <a:blip xmlns:r="http://schemas.openxmlformats.org/officeDocument/2006/relationships" r:embed="rId1"/>
        <a:stretch>
          <a:fillRect/>
        </a:stretch>
      </xdr:blipFill>
      <xdr:spPr>
        <a:xfrm>
          <a:off x="8020049" y="0"/>
          <a:ext cx="4675963" cy="2900194"/>
        </a:xfrm>
        <a:prstGeom prst="rect">
          <a:avLst/>
        </a:prstGeom>
      </xdr:spPr>
    </xdr:pic>
    <xdr:clientData/>
  </xdr:twoCellAnchor>
  <xdr:twoCellAnchor editAs="oneCell">
    <xdr:from>
      <xdr:col>0</xdr:col>
      <xdr:colOff>0</xdr:colOff>
      <xdr:row>14</xdr:row>
      <xdr:rowOff>92494</xdr:rowOff>
    </xdr:from>
    <xdr:to>
      <xdr:col>6</xdr:col>
      <xdr:colOff>838200</xdr:colOff>
      <xdr:row>35</xdr:row>
      <xdr:rowOff>28019</xdr:rowOff>
    </xdr:to>
    <xdr:pic>
      <xdr:nvPicPr>
        <xdr:cNvPr id="4" name="图片 3">
          <a:extLst>
            <a:ext uri="{FF2B5EF4-FFF2-40B4-BE49-F238E27FC236}">
              <a16:creationId xmlns:a16="http://schemas.microsoft.com/office/drawing/2014/main" id="{DABCB347-1405-4F4A-87F8-BD0B48CF8FB1}"/>
            </a:ext>
          </a:extLst>
        </xdr:cNvPr>
        <xdr:cNvPicPr>
          <a:picLocks noChangeAspect="1"/>
        </xdr:cNvPicPr>
      </xdr:nvPicPr>
      <xdr:blipFill>
        <a:blip xmlns:r="http://schemas.openxmlformats.org/officeDocument/2006/relationships" r:embed="rId2"/>
        <a:stretch>
          <a:fillRect/>
        </a:stretch>
      </xdr:blipFill>
      <xdr:spPr>
        <a:xfrm>
          <a:off x="0" y="3111919"/>
          <a:ext cx="6096000" cy="3736000"/>
        </a:xfrm>
        <a:prstGeom prst="rect">
          <a:avLst/>
        </a:prstGeom>
      </xdr:spPr>
    </xdr:pic>
    <xdr:clientData/>
  </xdr:twoCellAnchor>
  <xdr:twoCellAnchor editAs="oneCell">
    <xdr:from>
      <xdr:col>6</xdr:col>
      <xdr:colOff>1076325</xdr:colOff>
      <xdr:row>14</xdr:row>
      <xdr:rowOff>62012</xdr:rowOff>
    </xdr:from>
    <xdr:to>
      <xdr:col>16</xdr:col>
      <xdr:colOff>313583</xdr:colOff>
      <xdr:row>35</xdr:row>
      <xdr:rowOff>85211</xdr:rowOff>
    </xdr:to>
    <xdr:pic>
      <xdr:nvPicPr>
        <xdr:cNvPr id="5" name="图片 4">
          <a:extLst>
            <a:ext uri="{FF2B5EF4-FFF2-40B4-BE49-F238E27FC236}">
              <a16:creationId xmlns:a16="http://schemas.microsoft.com/office/drawing/2014/main" id="{88D63100-7793-43D3-8BCD-C42E7784FB77}"/>
            </a:ext>
          </a:extLst>
        </xdr:cNvPr>
        <xdr:cNvPicPr>
          <a:picLocks noChangeAspect="1"/>
        </xdr:cNvPicPr>
      </xdr:nvPicPr>
      <xdr:blipFill>
        <a:blip xmlns:r="http://schemas.openxmlformats.org/officeDocument/2006/relationships" r:embed="rId3"/>
        <a:stretch>
          <a:fillRect/>
        </a:stretch>
      </xdr:blipFill>
      <xdr:spPr>
        <a:xfrm>
          <a:off x="6334125" y="3081437"/>
          <a:ext cx="5514233" cy="3823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608425</xdr:colOff>
      <xdr:row>8</xdr:row>
      <xdr:rowOff>66486</xdr:rowOff>
    </xdr:to>
    <xdr:pic>
      <xdr:nvPicPr>
        <xdr:cNvPr id="12" name="图片 11">
          <a:extLst>
            <a:ext uri="{FF2B5EF4-FFF2-40B4-BE49-F238E27FC236}">
              <a16:creationId xmlns:a16="http://schemas.microsoft.com/office/drawing/2014/main" id="{1E73EE13-992F-4D74-AE45-3D5540BA06D6}"/>
            </a:ext>
          </a:extLst>
        </xdr:cNvPr>
        <xdr:cNvPicPr>
          <a:picLocks noChangeAspect="1"/>
        </xdr:cNvPicPr>
      </xdr:nvPicPr>
      <xdr:blipFill>
        <a:blip xmlns:r="http://schemas.openxmlformats.org/officeDocument/2006/relationships" r:embed="rId1"/>
        <a:stretch>
          <a:fillRect/>
        </a:stretch>
      </xdr:blipFill>
      <xdr:spPr>
        <a:xfrm>
          <a:off x="0" y="0"/>
          <a:ext cx="9400000" cy="1514286"/>
        </a:xfrm>
        <a:prstGeom prst="rect">
          <a:avLst/>
        </a:prstGeom>
      </xdr:spPr>
    </xdr:pic>
    <xdr:clientData/>
  </xdr:twoCellAnchor>
  <xdr:twoCellAnchor editAs="oneCell">
    <xdr:from>
      <xdr:col>0</xdr:col>
      <xdr:colOff>1</xdr:colOff>
      <xdr:row>9</xdr:row>
      <xdr:rowOff>123825</xdr:rowOff>
    </xdr:from>
    <xdr:to>
      <xdr:col>13</xdr:col>
      <xdr:colOff>657226</xdr:colOff>
      <xdr:row>17</xdr:row>
      <xdr:rowOff>85549</xdr:rowOff>
    </xdr:to>
    <xdr:pic>
      <xdr:nvPicPr>
        <xdr:cNvPr id="13" name="图片 12">
          <a:extLst>
            <a:ext uri="{FF2B5EF4-FFF2-40B4-BE49-F238E27FC236}">
              <a16:creationId xmlns:a16="http://schemas.microsoft.com/office/drawing/2014/main" id="{8112C5FA-3D3A-4DC1-BEE8-8E0BDF6EF2C7}"/>
            </a:ext>
          </a:extLst>
        </xdr:cNvPr>
        <xdr:cNvPicPr>
          <a:picLocks noChangeAspect="1"/>
        </xdr:cNvPicPr>
      </xdr:nvPicPr>
      <xdr:blipFill>
        <a:blip xmlns:r="http://schemas.openxmlformats.org/officeDocument/2006/relationships" r:embed="rId2"/>
        <a:stretch>
          <a:fillRect/>
        </a:stretch>
      </xdr:blipFill>
      <xdr:spPr>
        <a:xfrm>
          <a:off x="1" y="1752600"/>
          <a:ext cx="9448800" cy="1409524"/>
        </a:xfrm>
        <a:prstGeom prst="rect">
          <a:avLst/>
        </a:prstGeom>
      </xdr:spPr>
    </xdr:pic>
    <xdr:clientData/>
  </xdr:twoCellAnchor>
  <xdr:twoCellAnchor editAs="oneCell">
    <xdr:from>
      <xdr:col>0</xdr:col>
      <xdr:colOff>19050</xdr:colOff>
      <xdr:row>18</xdr:row>
      <xdr:rowOff>66675</xdr:rowOff>
    </xdr:from>
    <xdr:to>
      <xdr:col>13</xdr:col>
      <xdr:colOff>636999</xdr:colOff>
      <xdr:row>25</xdr:row>
      <xdr:rowOff>152231</xdr:rowOff>
    </xdr:to>
    <xdr:pic>
      <xdr:nvPicPr>
        <xdr:cNvPr id="14" name="图片 13">
          <a:extLst>
            <a:ext uri="{FF2B5EF4-FFF2-40B4-BE49-F238E27FC236}">
              <a16:creationId xmlns:a16="http://schemas.microsoft.com/office/drawing/2014/main" id="{E9F1C47A-00D5-4EF3-B57F-8E78381733B9}"/>
            </a:ext>
          </a:extLst>
        </xdr:cNvPr>
        <xdr:cNvPicPr>
          <a:picLocks noChangeAspect="1"/>
        </xdr:cNvPicPr>
      </xdr:nvPicPr>
      <xdr:blipFill>
        <a:blip xmlns:r="http://schemas.openxmlformats.org/officeDocument/2006/relationships" r:embed="rId3"/>
        <a:stretch>
          <a:fillRect/>
        </a:stretch>
      </xdr:blipFill>
      <xdr:spPr>
        <a:xfrm>
          <a:off x="19050" y="3324225"/>
          <a:ext cx="9409524" cy="1352381"/>
        </a:xfrm>
        <a:prstGeom prst="rect">
          <a:avLst/>
        </a:prstGeom>
      </xdr:spPr>
    </xdr:pic>
    <xdr:clientData/>
  </xdr:twoCellAnchor>
  <xdr:twoCellAnchor editAs="oneCell">
    <xdr:from>
      <xdr:col>0</xdr:col>
      <xdr:colOff>1</xdr:colOff>
      <xdr:row>25</xdr:row>
      <xdr:rowOff>0</xdr:rowOff>
    </xdr:from>
    <xdr:to>
      <xdr:col>14</xdr:col>
      <xdr:colOff>1</xdr:colOff>
      <xdr:row>32</xdr:row>
      <xdr:rowOff>180794</xdr:rowOff>
    </xdr:to>
    <xdr:pic>
      <xdr:nvPicPr>
        <xdr:cNvPr id="15" name="图片 14">
          <a:extLst>
            <a:ext uri="{FF2B5EF4-FFF2-40B4-BE49-F238E27FC236}">
              <a16:creationId xmlns:a16="http://schemas.microsoft.com/office/drawing/2014/main" id="{D8CEC9B8-D8FE-4770-99D3-AE8BC9EAE116}"/>
            </a:ext>
          </a:extLst>
        </xdr:cNvPr>
        <xdr:cNvPicPr>
          <a:picLocks noChangeAspect="1"/>
        </xdr:cNvPicPr>
      </xdr:nvPicPr>
      <xdr:blipFill>
        <a:blip xmlns:r="http://schemas.openxmlformats.org/officeDocument/2006/relationships" r:embed="rId4"/>
        <a:stretch>
          <a:fillRect/>
        </a:stretch>
      </xdr:blipFill>
      <xdr:spPr>
        <a:xfrm>
          <a:off x="1" y="4524375"/>
          <a:ext cx="9467850" cy="1447619"/>
        </a:xfrm>
        <a:prstGeom prst="rect">
          <a:avLst/>
        </a:prstGeom>
      </xdr:spPr>
    </xdr:pic>
    <xdr:clientData/>
  </xdr:twoCellAnchor>
  <xdr:twoCellAnchor editAs="oneCell">
    <xdr:from>
      <xdr:col>0</xdr:col>
      <xdr:colOff>0</xdr:colOff>
      <xdr:row>33</xdr:row>
      <xdr:rowOff>0</xdr:rowOff>
    </xdr:from>
    <xdr:to>
      <xdr:col>13</xdr:col>
      <xdr:colOff>647700</xdr:colOff>
      <xdr:row>41</xdr:row>
      <xdr:rowOff>9343</xdr:rowOff>
    </xdr:to>
    <xdr:pic>
      <xdr:nvPicPr>
        <xdr:cNvPr id="16" name="图片 15">
          <a:extLst>
            <a:ext uri="{FF2B5EF4-FFF2-40B4-BE49-F238E27FC236}">
              <a16:creationId xmlns:a16="http://schemas.microsoft.com/office/drawing/2014/main" id="{9CFBA493-3686-4920-8941-B98D1118F300}"/>
            </a:ext>
          </a:extLst>
        </xdr:cNvPr>
        <xdr:cNvPicPr>
          <a:picLocks noChangeAspect="1"/>
        </xdr:cNvPicPr>
      </xdr:nvPicPr>
      <xdr:blipFill>
        <a:blip xmlns:r="http://schemas.openxmlformats.org/officeDocument/2006/relationships" r:embed="rId5"/>
        <a:stretch>
          <a:fillRect/>
        </a:stretch>
      </xdr:blipFill>
      <xdr:spPr>
        <a:xfrm>
          <a:off x="0" y="5972175"/>
          <a:ext cx="9439275" cy="1457143"/>
        </a:xfrm>
        <a:prstGeom prst="rect">
          <a:avLst/>
        </a:prstGeom>
      </xdr:spPr>
    </xdr:pic>
    <xdr:clientData/>
  </xdr:twoCellAnchor>
  <xdr:twoCellAnchor editAs="oneCell">
    <xdr:from>
      <xdr:col>0</xdr:col>
      <xdr:colOff>0</xdr:colOff>
      <xdr:row>42</xdr:row>
      <xdr:rowOff>0</xdr:rowOff>
    </xdr:from>
    <xdr:to>
      <xdr:col>13</xdr:col>
      <xdr:colOff>647700</xdr:colOff>
      <xdr:row>50</xdr:row>
      <xdr:rowOff>9343</xdr:rowOff>
    </xdr:to>
    <xdr:pic>
      <xdr:nvPicPr>
        <xdr:cNvPr id="17" name="图片 16">
          <a:extLst>
            <a:ext uri="{FF2B5EF4-FFF2-40B4-BE49-F238E27FC236}">
              <a16:creationId xmlns:a16="http://schemas.microsoft.com/office/drawing/2014/main" id="{41AE3CAF-B23F-45DE-B353-FA9581EA1E58}"/>
            </a:ext>
          </a:extLst>
        </xdr:cNvPr>
        <xdr:cNvPicPr>
          <a:picLocks noChangeAspect="1"/>
        </xdr:cNvPicPr>
      </xdr:nvPicPr>
      <xdr:blipFill>
        <a:blip xmlns:r="http://schemas.openxmlformats.org/officeDocument/2006/relationships" r:embed="rId6"/>
        <a:stretch>
          <a:fillRect/>
        </a:stretch>
      </xdr:blipFill>
      <xdr:spPr>
        <a:xfrm>
          <a:off x="0" y="7600950"/>
          <a:ext cx="9439275" cy="1457143"/>
        </a:xfrm>
        <a:prstGeom prst="rect">
          <a:avLst/>
        </a:prstGeom>
      </xdr:spPr>
    </xdr:pic>
    <xdr:clientData/>
  </xdr:twoCellAnchor>
  <xdr:twoCellAnchor editAs="oneCell">
    <xdr:from>
      <xdr:col>0</xdr:col>
      <xdr:colOff>0</xdr:colOff>
      <xdr:row>50</xdr:row>
      <xdr:rowOff>0</xdr:rowOff>
    </xdr:from>
    <xdr:to>
      <xdr:col>13</xdr:col>
      <xdr:colOff>666750</xdr:colOff>
      <xdr:row>58</xdr:row>
      <xdr:rowOff>37914</xdr:rowOff>
    </xdr:to>
    <xdr:pic>
      <xdr:nvPicPr>
        <xdr:cNvPr id="18" name="图片 17">
          <a:extLst>
            <a:ext uri="{FF2B5EF4-FFF2-40B4-BE49-F238E27FC236}">
              <a16:creationId xmlns:a16="http://schemas.microsoft.com/office/drawing/2014/main" id="{40D3315C-6D09-4A03-9BFE-E21F79A24E31}"/>
            </a:ext>
          </a:extLst>
        </xdr:cNvPr>
        <xdr:cNvPicPr>
          <a:picLocks noChangeAspect="1"/>
        </xdr:cNvPicPr>
      </xdr:nvPicPr>
      <xdr:blipFill>
        <a:blip xmlns:r="http://schemas.openxmlformats.org/officeDocument/2006/relationships" r:embed="rId7"/>
        <a:stretch>
          <a:fillRect/>
        </a:stretch>
      </xdr:blipFill>
      <xdr:spPr>
        <a:xfrm>
          <a:off x="0" y="9048750"/>
          <a:ext cx="9458325" cy="1485714"/>
        </a:xfrm>
        <a:prstGeom prst="rect">
          <a:avLst/>
        </a:prstGeom>
      </xdr:spPr>
    </xdr:pic>
    <xdr:clientData/>
  </xdr:twoCellAnchor>
  <xdr:twoCellAnchor editAs="oneCell">
    <xdr:from>
      <xdr:col>0</xdr:col>
      <xdr:colOff>0</xdr:colOff>
      <xdr:row>58</xdr:row>
      <xdr:rowOff>0</xdr:rowOff>
    </xdr:from>
    <xdr:to>
      <xdr:col>13</xdr:col>
      <xdr:colOff>627473</xdr:colOff>
      <xdr:row>66</xdr:row>
      <xdr:rowOff>114105</xdr:rowOff>
    </xdr:to>
    <xdr:pic>
      <xdr:nvPicPr>
        <xdr:cNvPr id="19" name="图片 18">
          <a:extLst>
            <a:ext uri="{FF2B5EF4-FFF2-40B4-BE49-F238E27FC236}">
              <a16:creationId xmlns:a16="http://schemas.microsoft.com/office/drawing/2014/main" id="{FF65C7CD-903E-4AFD-9FAA-4A06CFB9A744}"/>
            </a:ext>
          </a:extLst>
        </xdr:cNvPr>
        <xdr:cNvPicPr>
          <a:picLocks noChangeAspect="1"/>
        </xdr:cNvPicPr>
      </xdr:nvPicPr>
      <xdr:blipFill>
        <a:blip xmlns:r="http://schemas.openxmlformats.org/officeDocument/2006/relationships" r:embed="rId8"/>
        <a:stretch>
          <a:fillRect/>
        </a:stretch>
      </xdr:blipFill>
      <xdr:spPr>
        <a:xfrm>
          <a:off x="0" y="10496550"/>
          <a:ext cx="9419048" cy="1561905"/>
        </a:xfrm>
        <a:prstGeom prst="rect">
          <a:avLst/>
        </a:prstGeom>
      </xdr:spPr>
    </xdr:pic>
    <xdr:clientData/>
  </xdr:twoCellAnchor>
  <xdr:twoCellAnchor editAs="oneCell">
    <xdr:from>
      <xdr:col>0</xdr:col>
      <xdr:colOff>0</xdr:colOff>
      <xdr:row>67</xdr:row>
      <xdr:rowOff>0</xdr:rowOff>
    </xdr:from>
    <xdr:to>
      <xdr:col>13</xdr:col>
      <xdr:colOff>638175</xdr:colOff>
      <xdr:row>75</xdr:row>
      <xdr:rowOff>133152</xdr:rowOff>
    </xdr:to>
    <xdr:pic>
      <xdr:nvPicPr>
        <xdr:cNvPr id="20" name="图片 19">
          <a:extLst>
            <a:ext uri="{FF2B5EF4-FFF2-40B4-BE49-F238E27FC236}">
              <a16:creationId xmlns:a16="http://schemas.microsoft.com/office/drawing/2014/main" id="{085266C3-EC81-49B4-AEED-C990E3DD862D}"/>
            </a:ext>
          </a:extLst>
        </xdr:cNvPr>
        <xdr:cNvPicPr>
          <a:picLocks noChangeAspect="1"/>
        </xdr:cNvPicPr>
      </xdr:nvPicPr>
      <xdr:blipFill>
        <a:blip xmlns:r="http://schemas.openxmlformats.org/officeDocument/2006/relationships" r:embed="rId9"/>
        <a:stretch>
          <a:fillRect/>
        </a:stretch>
      </xdr:blipFill>
      <xdr:spPr>
        <a:xfrm>
          <a:off x="0" y="12125325"/>
          <a:ext cx="9429750" cy="1580952"/>
        </a:xfrm>
        <a:prstGeom prst="rect">
          <a:avLst/>
        </a:prstGeom>
      </xdr:spPr>
    </xdr:pic>
    <xdr:clientData/>
  </xdr:twoCellAnchor>
  <xdr:twoCellAnchor editAs="oneCell">
    <xdr:from>
      <xdr:col>0</xdr:col>
      <xdr:colOff>0</xdr:colOff>
      <xdr:row>76</xdr:row>
      <xdr:rowOff>85725</xdr:rowOff>
    </xdr:from>
    <xdr:to>
      <xdr:col>13</xdr:col>
      <xdr:colOff>590550</xdr:colOff>
      <xdr:row>85</xdr:row>
      <xdr:rowOff>75998</xdr:rowOff>
    </xdr:to>
    <xdr:pic>
      <xdr:nvPicPr>
        <xdr:cNvPr id="21" name="图片 20">
          <a:extLst>
            <a:ext uri="{FF2B5EF4-FFF2-40B4-BE49-F238E27FC236}">
              <a16:creationId xmlns:a16="http://schemas.microsoft.com/office/drawing/2014/main" id="{26892F99-DAED-4188-8836-405242211CF2}"/>
            </a:ext>
          </a:extLst>
        </xdr:cNvPr>
        <xdr:cNvPicPr>
          <a:picLocks noChangeAspect="1"/>
        </xdr:cNvPicPr>
      </xdr:nvPicPr>
      <xdr:blipFill>
        <a:blip xmlns:r="http://schemas.openxmlformats.org/officeDocument/2006/relationships" r:embed="rId10"/>
        <a:stretch>
          <a:fillRect/>
        </a:stretch>
      </xdr:blipFill>
      <xdr:spPr>
        <a:xfrm>
          <a:off x="0" y="13839825"/>
          <a:ext cx="9382125" cy="1619048"/>
        </a:xfrm>
        <a:prstGeom prst="rect">
          <a:avLst/>
        </a:prstGeom>
      </xdr:spPr>
    </xdr:pic>
    <xdr:clientData/>
  </xdr:twoCellAnchor>
  <xdr:twoCellAnchor editAs="oneCell">
    <xdr:from>
      <xdr:col>0</xdr:col>
      <xdr:colOff>0</xdr:colOff>
      <xdr:row>86</xdr:row>
      <xdr:rowOff>0</xdr:rowOff>
    </xdr:from>
    <xdr:to>
      <xdr:col>13</xdr:col>
      <xdr:colOff>561975</xdr:colOff>
      <xdr:row>94</xdr:row>
      <xdr:rowOff>85533</xdr:rowOff>
    </xdr:to>
    <xdr:pic>
      <xdr:nvPicPr>
        <xdr:cNvPr id="22" name="图片 21">
          <a:extLst>
            <a:ext uri="{FF2B5EF4-FFF2-40B4-BE49-F238E27FC236}">
              <a16:creationId xmlns:a16="http://schemas.microsoft.com/office/drawing/2014/main" id="{7B01EDD0-4E26-4F91-A586-C55B9BF285AF}"/>
            </a:ext>
          </a:extLst>
        </xdr:cNvPr>
        <xdr:cNvPicPr>
          <a:picLocks noChangeAspect="1"/>
        </xdr:cNvPicPr>
      </xdr:nvPicPr>
      <xdr:blipFill>
        <a:blip xmlns:r="http://schemas.openxmlformats.org/officeDocument/2006/relationships" r:embed="rId11"/>
        <a:stretch>
          <a:fillRect/>
        </a:stretch>
      </xdr:blipFill>
      <xdr:spPr>
        <a:xfrm>
          <a:off x="0" y="15563850"/>
          <a:ext cx="9353550" cy="1533333"/>
        </a:xfrm>
        <a:prstGeom prst="rect">
          <a:avLst/>
        </a:prstGeom>
      </xdr:spPr>
    </xdr:pic>
    <xdr:clientData/>
  </xdr:twoCellAnchor>
  <xdr:twoCellAnchor editAs="oneCell">
    <xdr:from>
      <xdr:col>0</xdr:col>
      <xdr:colOff>0</xdr:colOff>
      <xdr:row>95</xdr:row>
      <xdr:rowOff>0</xdr:rowOff>
    </xdr:from>
    <xdr:to>
      <xdr:col>13</xdr:col>
      <xdr:colOff>476250</xdr:colOff>
      <xdr:row>103</xdr:row>
      <xdr:rowOff>142676</xdr:rowOff>
    </xdr:to>
    <xdr:pic>
      <xdr:nvPicPr>
        <xdr:cNvPr id="23" name="图片 22">
          <a:extLst>
            <a:ext uri="{FF2B5EF4-FFF2-40B4-BE49-F238E27FC236}">
              <a16:creationId xmlns:a16="http://schemas.microsoft.com/office/drawing/2014/main" id="{3CE19CA8-D003-46F3-880E-43E6AD54B7CD}"/>
            </a:ext>
          </a:extLst>
        </xdr:cNvPr>
        <xdr:cNvPicPr>
          <a:picLocks noChangeAspect="1"/>
        </xdr:cNvPicPr>
      </xdr:nvPicPr>
      <xdr:blipFill>
        <a:blip xmlns:r="http://schemas.openxmlformats.org/officeDocument/2006/relationships" r:embed="rId12"/>
        <a:stretch>
          <a:fillRect/>
        </a:stretch>
      </xdr:blipFill>
      <xdr:spPr>
        <a:xfrm>
          <a:off x="0" y="17192625"/>
          <a:ext cx="9267825" cy="1590476"/>
        </a:xfrm>
        <a:prstGeom prst="rect">
          <a:avLst/>
        </a:prstGeom>
      </xdr:spPr>
    </xdr:pic>
    <xdr:clientData/>
  </xdr:twoCellAnchor>
  <xdr:twoCellAnchor editAs="oneCell">
    <xdr:from>
      <xdr:col>0</xdr:col>
      <xdr:colOff>0</xdr:colOff>
      <xdr:row>104</xdr:row>
      <xdr:rowOff>0</xdr:rowOff>
    </xdr:from>
    <xdr:to>
      <xdr:col>13</xdr:col>
      <xdr:colOff>570330</xdr:colOff>
      <xdr:row>113</xdr:row>
      <xdr:rowOff>180749</xdr:rowOff>
    </xdr:to>
    <xdr:pic>
      <xdr:nvPicPr>
        <xdr:cNvPr id="24" name="图片 23">
          <a:extLst>
            <a:ext uri="{FF2B5EF4-FFF2-40B4-BE49-F238E27FC236}">
              <a16:creationId xmlns:a16="http://schemas.microsoft.com/office/drawing/2014/main" id="{8E458072-5983-43D9-A74C-7239F3E1C772}"/>
            </a:ext>
          </a:extLst>
        </xdr:cNvPr>
        <xdr:cNvPicPr>
          <a:picLocks noChangeAspect="1"/>
        </xdr:cNvPicPr>
      </xdr:nvPicPr>
      <xdr:blipFill>
        <a:blip xmlns:r="http://schemas.openxmlformats.org/officeDocument/2006/relationships" r:embed="rId13"/>
        <a:stretch>
          <a:fillRect/>
        </a:stretch>
      </xdr:blipFill>
      <xdr:spPr>
        <a:xfrm>
          <a:off x="0" y="18821400"/>
          <a:ext cx="9361905" cy="1809524"/>
        </a:xfrm>
        <a:prstGeom prst="rect">
          <a:avLst/>
        </a:prstGeom>
      </xdr:spPr>
    </xdr:pic>
    <xdr:clientData/>
  </xdr:twoCellAnchor>
  <xdr:twoCellAnchor editAs="oneCell">
    <xdr:from>
      <xdr:col>0</xdr:col>
      <xdr:colOff>0</xdr:colOff>
      <xdr:row>114</xdr:row>
      <xdr:rowOff>0</xdr:rowOff>
    </xdr:from>
    <xdr:to>
      <xdr:col>13</xdr:col>
      <xdr:colOff>541758</xdr:colOff>
      <xdr:row>124</xdr:row>
      <xdr:rowOff>104536</xdr:rowOff>
    </xdr:to>
    <xdr:pic>
      <xdr:nvPicPr>
        <xdr:cNvPr id="25" name="图片 24">
          <a:extLst>
            <a:ext uri="{FF2B5EF4-FFF2-40B4-BE49-F238E27FC236}">
              <a16:creationId xmlns:a16="http://schemas.microsoft.com/office/drawing/2014/main" id="{A512B2A5-AD5B-451A-B101-FF7FEF81AF0B}"/>
            </a:ext>
          </a:extLst>
        </xdr:cNvPr>
        <xdr:cNvPicPr>
          <a:picLocks noChangeAspect="1"/>
        </xdr:cNvPicPr>
      </xdr:nvPicPr>
      <xdr:blipFill>
        <a:blip xmlns:r="http://schemas.openxmlformats.org/officeDocument/2006/relationships" r:embed="rId14"/>
        <a:stretch>
          <a:fillRect/>
        </a:stretch>
      </xdr:blipFill>
      <xdr:spPr>
        <a:xfrm>
          <a:off x="0" y="20631150"/>
          <a:ext cx="9333333" cy="1914286"/>
        </a:xfrm>
        <a:prstGeom prst="rect">
          <a:avLst/>
        </a:prstGeom>
      </xdr:spPr>
    </xdr:pic>
    <xdr:clientData/>
  </xdr:twoCellAnchor>
  <xdr:twoCellAnchor editAs="oneCell">
    <xdr:from>
      <xdr:col>0</xdr:col>
      <xdr:colOff>0</xdr:colOff>
      <xdr:row>125</xdr:row>
      <xdr:rowOff>0</xdr:rowOff>
    </xdr:from>
    <xdr:to>
      <xdr:col>13</xdr:col>
      <xdr:colOff>360806</xdr:colOff>
      <xdr:row>134</xdr:row>
      <xdr:rowOff>180749</xdr:rowOff>
    </xdr:to>
    <xdr:pic>
      <xdr:nvPicPr>
        <xdr:cNvPr id="26" name="图片 25">
          <a:extLst>
            <a:ext uri="{FF2B5EF4-FFF2-40B4-BE49-F238E27FC236}">
              <a16:creationId xmlns:a16="http://schemas.microsoft.com/office/drawing/2014/main" id="{45F8BDE0-00C5-4594-B034-DE9A4B0A8B45}"/>
            </a:ext>
          </a:extLst>
        </xdr:cNvPr>
        <xdr:cNvPicPr>
          <a:picLocks noChangeAspect="1"/>
        </xdr:cNvPicPr>
      </xdr:nvPicPr>
      <xdr:blipFill>
        <a:blip xmlns:r="http://schemas.openxmlformats.org/officeDocument/2006/relationships" r:embed="rId15"/>
        <a:stretch>
          <a:fillRect/>
        </a:stretch>
      </xdr:blipFill>
      <xdr:spPr>
        <a:xfrm>
          <a:off x="0" y="22621875"/>
          <a:ext cx="9152381" cy="1809524"/>
        </a:xfrm>
        <a:prstGeom prst="rect">
          <a:avLst/>
        </a:prstGeom>
      </xdr:spPr>
    </xdr:pic>
    <xdr:clientData/>
  </xdr:twoCellAnchor>
  <xdr:twoCellAnchor editAs="oneCell">
    <xdr:from>
      <xdr:col>0</xdr:col>
      <xdr:colOff>0</xdr:colOff>
      <xdr:row>135</xdr:row>
      <xdr:rowOff>0</xdr:rowOff>
    </xdr:from>
    <xdr:to>
      <xdr:col>13</xdr:col>
      <xdr:colOff>456044</xdr:colOff>
      <xdr:row>144</xdr:row>
      <xdr:rowOff>152177</xdr:rowOff>
    </xdr:to>
    <xdr:pic>
      <xdr:nvPicPr>
        <xdr:cNvPr id="27" name="图片 26">
          <a:extLst>
            <a:ext uri="{FF2B5EF4-FFF2-40B4-BE49-F238E27FC236}">
              <a16:creationId xmlns:a16="http://schemas.microsoft.com/office/drawing/2014/main" id="{33F9CDF2-9092-4E50-88BB-2D5E56C5CBF1}"/>
            </a:ext>
          </a:extLst>
        </xdr:cNvPr>
        <xdr:cNvPicPr>
          <a:picLocks noChangeAspect="1"/>
        </xdr:cNvPicPr>
      </xdr:nvPicPr>
      <xdr:blipFill>
        <a:blip xmlns:r="http://schemas.openxmlformats.org/officeDocument/2006/relationships" r:embed="rId16"/>
        <a:stretch>
          <a:fillRect/>
        </a:stretch>
      </xdr:blipFill>
      <xdr:spPr>
        <a:xfrm>
          <a:off x="0" y="24431625"/>
          <a:ext cx="9247619" cy="1780952"/>
        </a:xfrm>
        <a:prstGeom prst="rect">
          <a:avLst/>
        </a:prstGeom>
      </xdr:spPr>
    </xdr:pic>
    <xdr:clientData/>
  </xdr:twoCellAnchor>
  <xdr:twoCellAnchor editAs="oneCell">
    <xdr:from>
      <xdr:col>0</xdr:col>
      <xdr:colOff>0</xdr:colOff>
      <xdr:row>145</xdr:row>
      <xdr:rowOff>0</xdr:rowOff>
    </xdr:from>
    <xdr:to>
      <xdr:col>13</xdr:col>
      <xdr:colOff>513187</xdr:colOff>
      <xdr:row>154</xdr:row>
      <xdr:rowOff>152177</xdr:rowOff>
    </xdr:to>
    <xdr:pic>
      <xdr:nvPicPr>
        <xdr:cNvPr id="28" name="图片 27">
          <a:extLst>
            <a:ext uri="{FF2B5EF4-FFF2-40B4-BE49-F238E27FC236}">
              <a16:creationId xmlns:a16="http://schemas.microsoft.com/office/drawing/2014/main" id="{619BCA3D-356E-4946-B309-BBE9EDBFBB13}"/>
            </a:ext>
          </a:extLst>
        </xdr:cNvPr>
        <xdr:cNvPicPr>
          <a:picLocks noChangeAspect="1"/>
        </xdr:cNvPicPr>
      </xdr:nvPicPr>
      <xdr:blipFill>
        <a:blip xmlns:r="http://schemas.openxmlformats.org/officeDocument/2006/relationships" r:embed="rId17"/>
        <a:stretch>
          <a:fillRect/>
        </a:stretch>
      </xdr:blipFill>
      <xdr:spPr>
        <a:xfrm>
          <a:off x="0" y="26241375"/>
          <a:ext cx="9304762" cy="1780952"/>
        </a:xfrm>
        <a:prstGeom prst="rect">
          <a:avLst/>
        </a:prstGeom>
      </xdr:spPr>
    </xdr:pic>
    <xdr:clientData/>
  </xdr:twoCellAnchor>
  <xdr:twoCellAnchor editAs="oneCell">
    <xdr:from>
      <xdr:col>0</xdr:col>
      <xdr:colOff>0</xdr:colOff>
      <xdr:row>155</xdr:row>
      <xdr:rowOff>0</xdr:rowOff>
    </xdr:from>
    <xdr:to>
      <xdr:col>13</xdr:col>
      <xdr:colOff>551282</xdr:colOff>
      <xdr:row>164</xdr:row>
      <xdr:rowOff>152177</xdr:rowOff>
    </xdr:to>
    <xdr:pic>
      <xdr:nvPicPr>
        <xdr:cNvPr id="29" name="图片 28">
          <a:extLst>
            <a:ext uri="{FF2B5EF4-FFF2-40B4-BE49-F238E27FC236}">
              <a16:creationId xmlns:a16="http://schemas.microsoft.com/office/drawing/2014/main" id="{8F388794-C3CA-4873-95F6-AADA556DA815}"/>
            </a:ext>
          </a:extLst>
        </xdr:cNvPr>
        <xdr:cNvPicPr>
          <a:picLocks noChangeAspect="1"/>
        </xdr:cNvPicPr>
      </xdr:nvPicPr>
      <xdr:blipFill>
        <a:blip xmlns:r="http://schemas.openxmlformats.org/officeDocument/2006/relationships" r:embed="rId18"/>
        <a:stretch>
          <a:fillRect/>
        </a:stretch>
      </xdr:blipFill>
      <xdr:spPr>
        <a:xfrm>
          <a:off x="0" y="28051125"/>
          <a:ext cx="9342857" cy="1780952"/>
        </a:xfrm>
        <a:prstGeom prst="rect">
          <a:avLst/>
        </a:prstGeom>
      </xdr:spPr>
    </xdr:pic>
    <xdr:clientData/>
  </xdr:twoCellAnchor>
  <xdr:twoCellAnchor editAs="oneCell">
    <xdr:from>
      <xdr:col>0</xdr:col>
      <xdr:colOff>0</xdr:colOff>
      <xdr:row>165</xdr:row>
      <xdr:rowOff>0</xdr:rowOff>
    </xdr:from>
    <xdr:to>
      <xdr:col>13</xdr:col>
      <xdr:colOff>598901</xdr:colOff>
      <xdr:row>174</xdr:row>
      <xdr:rowOff>142654</xdr:rowOff>
    </xdr:to>
    <xdr:pic>
      <xdr:nvPicPr>
        <xdr:cNvPr id="30" name="图片 29">
          <a:extLst>
            <a:ext uri="{FF2B5EF4-FFF2-40B4-BE49-F238E27FC236}">
              <a16:creationId xmlns:a16="http://schemas.microsoft.com/office/drawing/2014/main" id="{6BEAA0E4-D49C-4964-BD47-3EA4D9155A8B}"/>
            </a:ext>
          </a:extLst>
        </xdr:cNvPr>
        <xdr:cNvPicPr>
          <a:picLocks noChangeAspect="1"/>
        </xdr:cNvPicPr>
      </xdr:nvPicPr>
      <xdr:blipFill>
        <a:blip xmlns:r="http://schemas.openxmlformats.org/officeDocument/2006/relationships" r:embed="rId19"/>
        <a:stretch>
          <a:fillRect/>
        </a:stretch>
      </xdr:blipFill>
      <xdr:spPr>
        <a:xfrm>
          <a:off x="0" y="29860875"/>
          <a:ext cx="9390476" cy="1771429"/>
        </a:xfrm>
        <a:prstGeom prst="rect">
          <a:avLst/>
        </a:prstGeom>
      </xdr:spPr>
    </xdr:pic>
    <xdr:clientData/>
  </xdr:twoCellAnchor>
  <xdr:twoCellAnchor editAs="oneCell">
    <xdr:from>
      <xdr:col>14</xdr:col>
      <xdr:colOff>0</xdr:colOff>
      <xdr:row>1</xdr:row>
      <xdr:rowOff>0</xdr:rowOff>
    </xdr:from>
    <xdr:to>
      <xdr:col>28</xdr:col>
      <xdr:colOff>283665</xdr:colOff>
      <xdr:row>9</xdr:row>
      <xdr:rowOff>134883</xdr:rowOff>
    </xdr:to>
    <xdr:pic>
      <xdr:nvPicPr>
        <xdr:cNvPr id="32" name="图片 31">
          <a:extLst>
            <a:ext uri="{FF2B5EF4-FFF2-40B4-BE49-F238E27FC236}">
              <a16:creationId xmlns:a16="http://schemas.microsoft.com/office/drawing/2014/main" id="{942B35DB-328A-4CD5-813B-E0023CF78C3D}"/>
            </a:ext>
          </a:extLst>
        </xdr:cNvPr>
        <xdr:cNvPicPr>
          <a:picLocks noChangeAspect="1"/>
        </xdr:cNvPicPr>
      </xdr:nvPicPr>
      <xdr:blipFill>
        <a:blip xmlns:r="http://schemas.openxmlformats.org/officeDocument/2006/relationships" r:embed="rId20"/>
        <a:stretch>
          <a:fillRect/>
        </a:stretch>
      </xdr:blipFill>
      <xdr:spPr>
        <a:xfrm>
          <a:off x="9455727" y="173182"/>
          <a:ext cx="9739393" cy="1520337"/>
        </a:xfrm>
        <a:prstGeom prst="rect">
          <a:avLst/>
        </a:prstGeom>
      </xdr:spPr>
    </xdr:pic>
    <xdr:clientData/>
  </xdr:twoCellAnchor>
  <xdr:twoCellAnchor editAs="oneCell">
    <xdr:from>
      <xdr:col>14</xdr:col>
      <xdr:colOff>38100</xdr:colOff>
      <xdr:row>9</xdr:row>
      <xdr:rowOff>116032</xdr:rowOff>
    </xdr:from>
    <xdr:to>
      <xdr:col>28</xdr:col>
      <xdr:colOff>331289</xdr:colOff>
      <xdr:row>18</xdr:row>
      <xdr:rowOff>114098</xdr:rowOff>
    </xdr:to>
    <xdr:pic>
      <xdr:nvPicPr>
        <xdr:cNvPr id="33" name="图片 32">
          <a:extLst>
            <a:ext uri="{FF2B5EF4-FFF2-40B4-BE49-F238E27FC236}">
              <a16:creationId xmlns:a16="http://schemas.microsoft.com/office/drawing/2014/main" id="{9CAB4BBD-9DDE-4693-AE41-AB53FCBA6E49}"/>
            </a:ext>
          </a:extLst>
        </xdr:cNvPr>
        <xdr:cNvPicPr>
          <a:picLocks noChangeAspect="1"/>
        </xdr:cNvPicPr>
      </xdr:nvPicPr>
      <xdr:blipFill>
        <a:blip xmlns:r="http://schemas.openxmlformats.org/officeDocument/2006/relationships" r:embed="rId21"/>
        <a:stretch>
          <a:fillRect/>
        </a:stretch>
      </xdr:blipFill>
      <xdr:spPr>
        <a:xfrm>
          <a:off x="9493827" y="1674668"/>
          <a:ext cx="9748917" cy="1556703"/>
        </a:xfrm>
        <a:prstGeom prst="rect">
          <a:avLst/>
        </a:prstGeom>
      </xdr:spPr>
    </xdr:pic>
    <xdr:clientData/>
  </xdr:twoCellAnchor>
  <xdr:twoCellAnchor editAs="oneCell">
    <xdr:from>
      <xdr:col>14</xdr:col>
      <xdr:colOff>75334</xdr:colOff>
      <xdr:row>19</xdr:row>
      <xdr:rowOff>116031</xdr:rowOff>
    </xdr:from>
    <xdr:to>
      <xdr:col>28</xdr:col>
      <xdr:colOff>46444</xdr:colOff>
      <xdr:row>28</xdr:row>
      <xdr:rowOff>28383</xdr:rowOff>
    </xdr:to>
    <xdr:pic>
      <xdr:nvPicPr>
        <xdr:cNvPr id="34" name="图片 33">
          <a:extLst>
            <a:ext uri="{FF2B5EF4-FFF2-40B4-BE49-F238E27FC236}">
              <a16:creationId xmlns:a16="http://schemas.microsoft.com/office/drawing/2014/main" id="{A16CF471-A3B8-4138-9C67-B08F58FFFDE9}"/>
            </a:ext>
          </a:extLst>
        </xdr:cNvPr>
        <xdr:cNvPicPr>
          <a:picLocks noChangeAspect="1"/>
        </xdr:cNvPicPr>
      </xdr:nvPicPr>
      <xdr:blipFill>
        <a:blip xmlns:r="http://schemas.openxmlformats.org/officeDocument/2006/relationships" r:embed="rId22"/>
        <a:stretch>
          <a:fillRect/>
        </a:stretch>
      </xdr:blipFill>
      <xdr:spPr>
        <a:xfrm>
          <a:off x="9531061" y="3406486"/>
          <a:ext cx="9426838" cy="1470988"/>
        </a:xfrm>
        <a:prstGeom prst="rect">
          <a:avLst/>
        </a:prstGeom>
      </xdr:spPr>
    </xdr:pic>
    <xdr:clientData/>
  </xdr:twoCellAnchor>
  <xdr:twoCellAnchor editAs="oneCell">
    <xdr:from>
      <xdr:col>14</xdr:col>
      <xdr:colOff>75334</xdr:colOff>
      <xdr:row>29</xdr:row>
      <xdr:rowOff>116032</xdr:rowOff>
    </xdr:from>
    <xdr:to>
      <xdr:col>28</xdr:col>
      <xdr:colOff>302722</xdr:colOff>
      <xdr:row>38</xdr:row>
      <xdr:rowOff>95050</xdr:rowOff>
    </xdr:to>
    <xdr:pic>
      <xdr:nvPicPr>
        <xdr:cNvPr id="35" name="图片 34">
          <a:extLst>
            <a:ext uri="{FF2B5EF4-FFF2-40B4-BE49-F238E27FC236}">
              <a16:creationId xmlns:a16="http://schemas.microsoft.com/office/drawing/2014/main" id="{06F3EA58-5196-45BA-BF9B-16A4E274EE9B}"/>
            </a:ext>
          </a:extLst>
        </xdr:cNvPr>
        <xdr:cNvPicPr>
          <a:picLocks noChangeAspect="1"/>
        </xdr:cNvPicPr>
      </xdr:nvPicPr>
      <xdr:blipFill>
        <a:blip xmlns:r="http://schemas.openxmlformats.org/officeDocument/2006/relationships" r:embed="rId23"/>
        <a:stretch>
          <a:fillRect/>
        </a:stretch>
      </xdr:blipFill>
      <xdr:spPr>
        <a:xfrm>
          <a:off x="9531061" y="5138305"/>
          <a:ext cx="9683116" cy="1537654"/>
        </a:xfrm>
        <a:prstGeom prst="rect">
          <a:avLst/>
        </a:prstGeom>
      </xdr:spPr>
    </xdr:pic>
    <xdr:clientData/>
  </xdr:twoCellAnchor>
  <xdr:twoCellAnchor editAs="oneCell">
    <xdr:from>
      <xdr:col>14</xdr:col>
      <xdr:colOff>75334</xdr:colOff>
      <xdr:row>39</xdr:row>
      <xdr:rowOff>116032</xdr:rowOff>
    </xdr:from>
    <xdr:to>
      <xdr:col>27</xdr:col>
      <xdr:colOff>636140</xdr:colOff>
      <xdr:row>47</xdr:row>
      <xdr:rowOff>144422</xdr:rowOff>
    </xdr:to>
    <xdr:pic>
      <xdr:nvPicPr>
        <xdr:cNvPr id="36" name="图片 35">
          <a:extLst>
            <a:ext uri="{FF2B5EF4-FFF2-40B4-BE49-F238E27FC236}">
              <a16:creationId xmlns:a16="http://schemas.microsoft.com/office/drawing/2014/main" id="{AB2FD3E0-C052-4449-8EF4-34C554396D08}"/>
            </a:ext>
          </a:extLst>
        </xdr:cNvPr>
        <xdr:cNvPicPr>
          <a:picLocks noChangeAspect="1"/>
        </xdr:cNvPicPr>
      </xdr:nvPicPr>
      <xdr:blipFill>
        <a:blip xmlns:r="http://schemas.openxmlformats.org/officeDocument/2006/relationships" r:embed="rId24"/>
        <a:stretch>
          <a:fillRect/>
        </a:stretch>
      </xdr:blipFill>
      <xdr:spPr>
        <a:xfrm>
          <a:off x="9531061" y="6870123"/>
          <a:ext cx="9341124" cy="1413844"/>
        </a:xfrm>
        <a:prstGeom prst="rect">
          <a:avLst/>
        </a:prstGeom>
      </xdr:spPr>
    </xdr:pic>
    <xdr:clientData/>
  </xdr:twoCellAnchor>
  <xdr:twoCellAnchor editAs="oneCell">
    <xdr:from>
      <xdr:col>14</xdr:col>
      <xdr:colOff>75334</xdr:colOff>
      <xdr:row>47</xdr:row>
      <xdr:rowOff>116032</xdr:rowOff>
    </xdr:from>
    <xdr:to>
      <xdr:col>27</xdr:col>
      <xdr:colOff>588521</xdr:colOff>
      <xdr:row>56</xdr:row>
      <xdr:rowOff>95050</xdr:rowOff>
    </xdr:to>
    <xdr:pic>
      <xdr:nvPicPr>
        <xdr:cNvPr id="37" name="图片 36">
          <a:extLst>
            <a:ext uri="{FF2B5EF4-FFF2-40B4-BE49-F238E27FC236}">
              <a16:creationId xmlns:a16="http://schemas.microsoft.com/office/drawing/2014/main" id="{E03B2080-B772-4940-9BA9-74D9AAE91144}"/>
            </a:ext>
          </a:extLst>
        </xdr:cNvPr>
        <xdr:cNvPicPr>
          <a:picLocks noChangeAspect="1"/>
        </xdr:cNvPicPr>
      </xdr:nvPicPr>
      <xdr:blipFill>
        <a:blip xmlns:r="http://schemas.openxmlformats.org/officeDocument/2006/relationships" r:embed="rId25"/>
        <a:stretch>
          <a:fillRect/>
        </a:stretch>
      </xdr:blipFill>
      <xdr:spPr>
        <a:xfrm>
          <a:off x="9531061" y="8255577"/>
          <a:ext cx="9293505" cy="1537655"/>
        </a:xfrm>
        <a:prstGeom prst="rect">
          <a:avLst/>
        </a:prstGeom>
      </xdr:spPr>
    </xdr:pic>
    <xdr:clientData/>
  </xdr:twoCellAnchor>
  <xdr:twoCellAnchor editAs="oneCell">
    <xdr:from>
      <xdr:col>14</xdr:col>
      <xdr:colOff>75334</xdr:colOff>
      <xdr:row>56</xdr:row>
      <xdr:rowOff>116032</xdr:rowOff>
    </xdr:from>
    <xdr:to>
      <xdr:col>28</xdr:col>
      <xdr:colOff>264627</xdr:colOff>
      <xdr:row>65</xdr:row>
      <xdr:rowOff>9336</xdr:rowOff>
    </xdr:to>
    <xdr:pic>
      <xdr:nvPicPr>
        <xdr:cNvPr id="38" name="图片 37">
          <a:extLst>
            <a:ext uri="{FF2B5EF4-FFF2-40B4-BE49-F238E27FC236}">
              <a16:creationId xmlns:a16="http://schemas.microsoft.com/office/drawing/2014/main" id="{C1C2F53E-6DFA-490E-B1EE-D3273C19F8ED}"/>
            </a:ext>
          </a:extLst>
        </xdr:cNvPr>
        <xdr:cNvPicPr>
          <a:picLocks noChangeAspect="1"/>
        </xdr:cNvPicPr>
      </xdr:nvPicPr>
      <xdr:blipFill>
        <a:blip xmlns:r="http://schemas.openxmlformats.org/officeDocument/2006/relationships" r:embed="rId26"/>
        <a:stretch>
          <a:fillRect/>
        </a:stretch>
      </xdr:blipFill>
      <xdr:spPr>
        <a:xfrm>
          <a:off x="9531061" y="9814214"/>
          <a:ext cx="9645021" cy="1451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13</xdr:col>
      <xdr:colOff>208356</xdr:colOff>
      <xdr:row>20</xdr:row>
      <xdr:rowOff>28345</xdr:rowOff>
    </xdr:to>
    <xdr:pic>
      <xdr:nvPicPr>
        <xdr:cNvPr id="2" name="图片 1">
          <a:extLst>
            <a:ext uri="{FF2B5EF4-FFF2-40B4-BE49-F238E27FC236}">
              <a16:creationId xmlns:a16="http://schemas.microsoft.com/office/drawing/2014/main" id="{A3AF9E6A-0D7D-4D7E-AF4A-472A9CB7F9B0}"/>
            </a:ext>
          </a:extLst>
        </xdr:cNvPr>
        <xdr:cNvPicPr>
          <a:picLocks noChangeAspect="1"/>
        </xdr:cNvPicPr>
      </xdr:nvPicPr>
      <xdr:blipFill>
        <a:blip xmlns:r="http://schemas.openxmlformats.org/officeDocument/2006/relationships" r:embed="rId1"/>
        <a:stretch>
          <a:fillRect/>
        </a:stretch>
      </xdr:blipFill>
      <xdr:spPr>
        <a:xfrm>
          <a:off x="0" y="0"/>
          <a:ext cx="9552381" cy="1838095"/>
        </a:xfrm>
        <a:prstGeom prst="rect">
          <a:avLst/>
        </a:prstGeom>
      </xdr:spPr>
    </xdr:pic>
    <xdr:clientData/>
  </xdr:twoCellAnchor>
  <xdr:twoCellAnchor editAs="oneCell">
    <xdr:from>
      <xdr:col>0</xdr:col>
      <xdr:colOff>0</xdr:colOff>
      <xdr:row>20</xdr:row>
      <xdr:rowOff>0</xdr:rowOff>
    </xdr:from>
    <xdr:to>
      <xdr:col>13</xdr:col>
      <xdr:colOff>55975</xdr:colOff>
      <xdr:row>30</xdr:row>
      <xdr:rowOff>9298</xdr:rowOff>
    </xdr:to>
    <xdr:pic>
      <xdr:nvPicPr>
        <xdr:cNvPr id="3" name="图片 2">
          <a:extLst>
            <a:ext uri="{FF2B5EF4-FFF2-40B4-BE49-F238E27FC236}">
              <a16:creationId xmlns:a16="http://schemas.microsoft.com/office/drawing/2014/main" id="{93C4D051-9CAC-49D0-8DF3-4ABCDEEB663F}"/>
            </a:ext>
          </a:extLst>
        </xdr:cNvPr>
        <xdr:cNvPicPr>
          <a:picLocks noChangeAspect="1"/>
        </xdr:cNvPicPr>
      </xdr:nvPicPr>
      <xdr:blipFill>
        <a:blip xmlns:r="http://schemas.openxmlformats.org/officeDocument/2006/relationships" r:embed="rId2"/>
        <a:stretch>
          <a:fillRect/>
        </a:stretch>
      </xdr:blipFill>
      <xdr:spPr>
        <a:xfrm>
          <a:off x="0" y="1809750"/>
          <a:ext cx="9400000" cy="1819048"/>
        </a:xfrm>
        <a:prstGeom prst="rect">
          <a:avLst/>
        </a:prstGeom>
      </xdr:spPr>
    </xdr:pic>
    <xdr:clientData/>
  </xdr:twoCellAnchor>
  <xdr:twoCellAnchor editAs="oneCell">
    <xdr:from>
      <xdr:col>0</xdr:col>
      <xdr:colOff>0</xdr:colOff>
      <xdr:row>30</xdr:row>
      <xdr:rowOff>0</xdr:rowOff>
    </xdr:from>
    <xdr:to>
      <xdr:col>13</xdr:col>
      <xdr:colOff>17880</xdr:colOff>
      <xdr:row>39</xdr:row>
      <xdr:rowOff>123606</xdr:rowOff>
    </xdr:to>
    <xdr:pic>
      <xdr:nvPicPr>
        <xdr:cNvPr id="4" name="图片 3">
          <a:extLst>
            <a:ext uri="{FF2B5EF4-FFF2-40B4-BE49-F238E27FC236}">
              <a16:creationId xmlns:a16="http://schemas.microsoft.com/office/drawing/2014/main" id="{7F895D4F-4869-4036-AC60-C673BBB24C26}"/>
            </a:ext>
          </a:extLst>
        </xdr:cNvPr>
        <xdr:cNvPicPr>
          <a:picLocks noChangeAspect="1"/>
        </xdr:cNvPicPr>
      </xdr:nvPicPr>
      <xdr:blipFill>
        <a:blip xmlns:r="http://schemas.openxmlformats.org/officeDocument/2006/relationships" r:embed="rId3"/>
        <a:stretch>
          <a:fillRect/>
        </a:stretch>
      </xdr:blipFill>
      <xdr:spPr>
        <a:xfrm>
          <a:off x="0" y="3619500"/>
          <a:ext cx="9361905" cy="1752381"/>
        </a:xfrm>
        <a:prstGeom prst="rect">
          <a:avLst/>
        </a:prstGeom>
      </xdr:spPr>
    </xdr:pic>
    <xdr:clientData/>
  </xdr:twoCellAnchor>
  <xdr:twoCellAnchor editAs="oneCell">
    <xdr:from>
      <xdr:col>0</xdr:col>
      <xdr:colOff>0</xdr:colOff>
      <xdr:row>40</xdr:row>
      <xdr:rowOff>0</xdr:rowOff>
    </xdr:from>
    <xdr:to>
      <xdr:col>12</xdr:col>
      <xdr:colOff>560821</xdr:colOff>
      <xdr:row>49</xdr:row>
      <xdr:rowOff>152177</xdr:rowOff>
    </xdr:to>
    <xdr:pic>
      <xdr:nvPicPr>
        <xdr:cNvPr id="5" name="图片 4">
          <a:extLst>
            <a:ext uri="{FF2B5EF4-FFF2-40B4-BE49-F238E27FC236}">
              <a16:creationId xmlns:a16="http://schemas.microsoft.com/office/drawing/2014/main" id="{95DB8D3B-ACDE-407A-9112-CACDFF055BA4}"/>
            </a:ext>
          </a:extLst>
        </xdr:cNvPr>
        <xdr:cNvPicPr>
          <a:picLocks noChangeAspect="1"/>
        </xdr:cNvPicPr>
      </xdr:nvPicPr>
      <xdr:blipFill>
        <a:blip xmlns:r="http://schemas.openxmlformats.org/officeDocument/2006/relationships" r:embed="rId4"/>
        <a:stretch>
          <a:fillRect/>
        </a:stretch>
      </xdr:blipFill>
      <xdr:spPr>
        <a:xfrm>
          <a:off x="0" y="5429250"/>
          <a:ext cx="9228571" cy="1780952"/>
        </a:xfrm>
        <a:prstGeom prst="rect">
          <a:avLst/>
        </a:prstGeom>
      </xdr:spPr>
    </xdr:pic>
    <xdr:clientData/>
  </xdr:twoCellAnchor>
  <xdr:twoCellAnchor editAs="oneCell">
    <xdr:from>
      <xdr:col>0</xdr:col>
      <xdr:colOff>0</xdr:colOff>
      <xdr:row>50</xdr:row>
      <xdr:rowOff>0</xdr:rowOff>
    </xdr:from>
    <xdr:to>
      <xdr:col>13</xdr:col>
      <xdr:colOff>17880</xdr:colOff>
      <xdr:row>60</xdr:row>
      <xdr:rowOff>9298</xdr:rowOff>
    </xdr:to>
    <xdr:pic>
      <xdr:nvPicPr>
        <xdr:cNvPr id="6" name="图片 5">
          <a:extLst>
            <a:ext uri="{FF2B5EF4-FFF2-40B4-BE49-F238E27FC236}">
              <a16:creationId xmlns:a16="http://schemas.microsoft.com/office/drawing/2014/main" id="{7C82147D-C0E4-4C1B-9C03-7ACEFE5A1470}"/>
            </a:ext>
          </a:extLst>
        </xdr:cNvPr>
        <xdr:cNvPicPr>
          <a:picLocks noChangeAspect="1"/>
        </xdr:cNvPicPr>
      </xdr:nvPicPr>
      <xdr:blipFill>
        <a:blip xmlns:r="http://schemas.openxmlformats.org/officeDocument/2006/relationships" r:embed="rId5"/>
        <a:stretch>
          <a:fillRect/>
        </a:stretch>
      </xdr:blipFill>
      <xdr:spPr>
        <a:xfrm>
          <a:off x="0" y="7239000"/>
          <a:ext cx="9361905" cy="1819048"/>
        </a:xfrm>
        <a:prstGeom prst="rect">
          <a:avLst/>
        </a:prstGeom>
      </xdr:spPr>
    </xdr:pic>
    <xdr:clientData/>
  </xdr:twoCellAnchor>
  <xdr:twoCellAnchor editAs="oneCell">
    <xdr:from>
      <xdr:col>0</xdr:col>
      <xdr:colOff>0</xdr:colOff>
      <xdr:row>61</xdr:row>
      <xdr:rowOff>0</xdr:rowOff>
    </xdr:from>
    <xdr:to>
      <xdr:col>13</xdr:col>
      <xdr:colOff>208356</xdr:colOff>
      <xdr:row>69</xdr:row>
      <xdr:rowOff>9343</xdr:rowOff>
    </xdr:to>
    <xdr:pic>
      <xdr:nvPicPr>
        <xdr:cNvPr id="7" name="图片 6">
          <a:extLst>
            <a:ext uri="{FF2B5EF4-FFF2-40B4-BE49-F238E27FC236}">
              <a16:creationId xmlns:a16="http://schemas.microsoft.com/office/drawing/2014/main" id="{AFAD198E-2609-4DA7-9247-CD34E142BCC3}"/>
            </a:ext>
          </a:extLst>
        </xdr:cNvPr>
        <xdr:cNvPicPr>
          <a:picLocks noChangeAspect="1"/>
        </xdr:cNvPicPr>
      </xdr:nvPicPr>
      <xdr:blipFill>
        <a:blip xmlns:r="http://schemas.openxmlformats.org/officeDocument/2006/relationships" r:embed="rId6"/>
        <a:stretch>
          <a:fillRect/>
        </a:stretch>
      </xdr:blipFill>
      <xdr:spPr>
        <a:xfrm>
          <a:off x="0" y="9229725"/>
          <a:ext cx="9552381" cy="1457143"/>
        </a:xfrm>
        <a:prstGeom prst="rect">
          <a:avLst/>
        </a:prstGeom>
      </xdr:spPr>
    </xdr:pic>
    <xdr:clientData/>
  </xdr:twoCellAnchor>
  <xdr:twoCellAnchor editAs="oneCell">
    <xdr:from>
      <xdr:col>0</xdr:col>
      <xdr:colOff>0</xdr:colOff>
      <xdr:row>69</xdr:row>
      <xdr:rowOff>0</xdr:rowOff>
    </xdr:from>
    <xdr:to>
      <xdr:col>13</xdr:col>
      <xdr:colOff>132165</xdr:colOff>
      <xdr:row>86</xdr:row>
      <xdr:rowOff>66282</xdr:rowOff>
    </xdr:to>
    <xdr:pic>
      <xdr:nvPicPr>
        <xdr:cNvPr id="8" name="图片 7">
          <a:extLst>
            <a:ext uri="{FF2B5EF4-FFF2-40B4-BE49-F238E27FC236}">
              <a16:creationId xmlns:a16="http://schemas.microsoft.com/office/drawing/2014/main" id="{88BC3C9F-DA7A-42D7-8279-7AE023155C68}"/>
            </a:ext>
          </a:extLst>
        </xdr:cNvPr>
        <xdr:cNvPicPr>
          <a:picLocks noChangeAspect="1"/>
        </xdr:cNvPicPr>
      </xdr:nvPicPr>
      <xdr:blipFill>
        <a:blip xmlns:r="http://schemas.openxmlformats.org/officeDocument/2006/relationships" r:embed="rId7"/>
        <a:stretch>
          <a:fillRect/>
        </a:stretch>
      </xdr:blipFill>
      <xdr:spPr>
        <a:xfrm>
          <a:off x="0" y="10677525"/>
          <a:ext cx="9476190" cy="3142857"/>
        </a:xfrm>
        <a:prstGeom prst="rect">
          <a:avLst/>
        </a:prstGeom>
      </xdr:spPr>
    </xdr:pic>
    <xdr:clientData/>
  </xdr:twoCellAnchor>
  <xdr:twoCellAnchor editAs="oneCell">
    <xdr:from>
      <xdr:col>14</xdr:col>
      <xdr:colOff>371475</xdr:colOff>
      <xdr:row>0</xdr:row>
      <xdr:rowOff>0</xdr:rowOff>
    </xdr:from>
    <xdr:to>
      <xdr:col>23</xdr:col>
      <xdr:colOff>161190</xdr:colOff>
      <xdr:row>27</xdr:row>
      <xdr:rowOff>161294</xdr:rowOff>
    </xdr:to>
    <xdr:pic>
      <xdr:nvPicPr>
        <xdr:cNvPr id="10" name="图片 9">
          <a:extLst>
            <a:ext uri="{FF2B5EF4-FFF2-40B4-BE49-F238E27FC236}">
              <a16:creationId xmlns:a16="http://schemas.microsoft.com/office/drawing/2014/main" id="{7C373365-D33D-4F24-A12F-4DCECDB1D9E4}"/>
            </a:ext>
          </a:extLst>
        </xdr:cNvPr>
        <xdr:cNvPicPr>
          <a:picLocks noChangeAspect="1"/>
        </xdr:cNvPicPr>
      </xdr:nvPicPr>
      <xdr:blipFill>
        <a:blip xmlns:r="http://schemas.openxmlformats.org/officeDocument/2006/relationships" r:embed="rId8"/>
        <a:stretch>
          <a:fillRect/>
        </a:stretch>
      </xdr:blipFill>
      <xdr:spPr>
        <a:xfrm>
          <a:off x="9439275" y="0"/>
          <a:ext cx="5876190" cy="5047619"/>
        </a:xfrm>
        <a:prstGeom prst="rect">
          <a:avLst/>
        </a:prstGeom>
      </xdr:spPr>
    </xdr:pic>
    <xdr:clientData/>
  </xdr:twoCellAnchor>
  <xdr:twoCellAnchor editAs="oneCell">
    <xdr:from>
      <xdr:col>14</xdr:col>
      <xdr:colOff>333375</xdr:colOff>
      <xdr:row>28</xdr:row>
      <xdr:rowOff>171450</xdr:rowOff>
    </xdr:from>
    <xdr:to>
      <xdr:col>23</xdr:col>
      <xdr:colOff>370709</xdr:colOff>
      <xdr:row>58</xdr:row>
      <xdr:rowOff>113629</xdr:rowOff>
    </xdr:to>
    <xdr:pic>
      <xdr:nvPicPr>
        <xdr:cNvPr id="11" name="图片 10">
          <a:extLst>
            <a:ext uri="{FF2B5EF4-FFF2-40B4-BE49-F238E27FC236}">
              <a16:creationId xmlns:a16="http://schemas.microsoft.com/office/drawing/2014/main" id="{146CADC3-A3CD-4C42-901F-284809C0FDBF}"/>
            </a:ext>
          </a:extLst>
        </xdr:cNvPr>
        <xdr:cNvPicPr>
          <a:picLocks noChangeAspect="1"/>
        </xdr:cNvPicPr>
      </xdr:nvPicPr>
      <xdr:blipFill>
        <a:blip xmlns:r="http://schemas.openxmlformats.org/officeDocument/2006/relationships" r:embed="rId9"/>
        <a:stretch>
          <a:fillRect/>
        </a:stretch>
      </xdr:blipFill>
      <xdr:spPr>
        <a:xfrm>
          <a:off x="9401175" y="5238750"/>
          <a:ext cx="6123809" cy="5371429"/>
        </a:xfrm>
        <a:prstGeom prst="rect">
          <a:avLst/>
        </a:prstGeom>
      </xdr:spPr>
    </xdr:pic>
    <xdr:clientData/>
  </xdr:twoCellAnchor>
  <xdr:twoCellAnchor editAs="oneCell">
    <xdr:from>
      <xdr:col>12</xdr:col>
      <xdr:colOff>457200</xdr:colOff>
      <xdr:row>59</xdr:row>
      <xdr:rowOff>95250</xdr:rowOff>
    </xdr:from>
    <xdr:to>
      <xdr:col>21</xdr:col>
      <xdr:colOff>294534</xdr:colOff>
      <xdr:row>85</xdr:row>
      <xdr:rowOff>75614</xdr:rowOff>
    </xdr:to>
    <xdr:pic>
      <xdr:nvPicPr>
        <xdr:cNvPr id="12" name="图片 11">
          <a:extLst>
            <a:ext uri="{FF2B5EF4-FFF2-40B4-BE49-F238E27FC236}">
              <a16:creationId xmlns:a16="http://schemas.microsoft.com/office/drawing/2014/main" id="{BEE3EF93-BFBD-4BFA-8017-2C962E17F76B}"/>
            </a:ext>
          </a:extLst>
        </xdr:cNvPr>
        <xdr:cNvPicPr>
          <a:picLocks noChangeAspect="1"/>
        </xdr:cNvPicPr>
      </xdr:nvPicPr>
      <xdr:blipFill>
        <a:blip xmlns:r="http://schemas.openxmlformats.org/officeDocument/2006/relationships" r:embed="rId10"/>
        <a:stretch>
          <a:fillRect/>
        </a:stretch>
      </xdr:blipFill>
      <xdr:spPr>
        <a:xfrm>
          <a:off x="8172450" y="10772775"/>
          <a:ext cx="5923809" cy="4685714"/>
        </a:xfrm>
        <a:prstGeom prst="rect">
          <a:avLst/>
        </a:prstGeom>
      </xdr:spPr>
    </xdr:pic>
    <xdr:clientData/>
  </xdr:twoCellAnchor>
  <xdr:twoCellAnchor editAs="oneCell">
    <xdr:from>
      <xdr:col>9</xdr:col>
      <xdr:colOff>9525</xdr:colOff>
      <xdr:row>0</xdr:row>
      <xdr:rowOff>0</xdr:rowOff>
    </xdr:from>
    <xdr:to>
      <xdr:col>18</xdr:col>
      <xdr:colOff>332574</xdr:colOff>
      <xdr:row>27</xdr:row>
      <xdr:rowOff>151770</xdr:rowOff>
    </xdr:to>
    <xdr:pic>
      <xdr:nvPicPr>
        <xdr:cNvPr id="13" name="图片 12">
          <a:extLst>
            <a:ext uri="{FF2B5EF4-FFF2-40B4-BE49-F238E27FC236}">
              <a16:creationId xmlns:a16="http://schemas.microsoft.com/office/drawing/2014/main" id="{A27DA6A5-4027-467F-A5BB-B85646E2BA51}"/>
            </a:ext>
          </a:extLst>
        </xdr:cNvPr>
        <xdr:cNvPicPr>
          <a:picLocks noChangeAspect="1"/>
        </xdr:cNvPicPr>
      </xdr:nvPicPr>
      <xdr:blipFill>
        <a:blip xmlns:r="http://schemas.openxmlformats.org/officeDocument/2006/relationships" r:embed="rId11"/>
        <a:stretch>
          <a:fillRect/>
        </a:stretch>
      </xdr:blipFill>
      <xdr:spPr>
        <a:xfrm>
          <a:off x="6648450" y="0"/>
          <a:ext cx="6409524" cy="5038095"/>
        </a:xfrm>
        <a:prstGeom prst="rect">
          <a:avLst/>
        </a:prstGeom>
      </xdr:spPr>
    </xdr:pic>
    <xdr:clientData/>
  </xdr:twoCellAnchor>
  <xdr:twoCellAnchor editAs="oneCell">
    <xdr:from>
      <xdr:col>0</xdr:col>
      <xdr:colOff>0</xdr:colOff>
      <xdr:row>6</xdr:row>
      <xdr:rowOff>66675</xdr:rowOff>
    </xdr:from>
    <xdr:to>
      <xdr:col>9</xdr:col>
      <xdr:colOff>256313</xdr:colOff>
      <xdr:row>29</xdr:row>
      <xdr:rowOff>37583</xdr:rowOff>
    </xdr:to>
    <xdr:pic>
      <xdr:nvPicPr>
        <xdr:cNvPr id="14" name="图片 13">
          <a:extLst>
            <a:ext uri="{FF2B5EF4-FFF2-40B4-BE49-F238E27FC236}">
              <a16:creationId xmlns:a16="http://schemas.microsoft.com/office/drawing/2014/main" id="{FA054106-372A-4369-BCE9-073DABC5341D}"/>
            </a:ext>
          </a:extLst>
        </xdr:cNvPr>
        <xdr:cNvPicPr>
          <a:picLocks noChangeAspect="1"/>
        </xdr:cNvPicPr>
      </xdr:nvPicPr>
      <xdr:blipFill>
        <a:blip xmlns:r="http://schemas.openxmlformats.org/officeDocument/2006/relationships" r:embed="rId12"/>
        <a:stretch>
          <a:fillRect/>
        </a:stretch>
      </xdr:blipFill>
      <xdr:spPr>
        <a:xfrm>
          <a:off x="0" y="1152525"/>
          <a:ext cx="6895238" cy="41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618277</xdr:colOff>
      <xdr:row>7</xdr:row>
      <xdr:rowOff>123660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6790477" cy="1323810"/>
        </a:xfrm>
        <a:prstGeom prst="rect">
          <a:avLst/>
        </a:prstGeom>
      </xdr:spPr>
    </xdr:pic>
    <xdr:clientData/>
  </xdr:twoCellAnchor>
  <xdr:twoCellAnchor editAs="oneCell">
    <xdr:from>
      <xdr:col>0</xdr:col>
      <xdr:colOff>0</xdr:colOff>
      <xdr:row>8</xdr:row>
      <xdr:rowOff>0</xdr:rowOff>
    </xdr:from>
    <xdr:to>
      <xdr:col>13</xdr:col>
      <xdr:colOff>103648</xdr:colOff>
      <xdr:row>33</xdr:row>
      <xdr:rowOff>151846</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1371600"/>
          <a:ext cx="9019048" cy="4438096"/>
        </a:xfrm>
        <a:prstGeom prst="rect">
          <a:avLst/>
        </a:prstGeom>
      </xdr:spPr>
    </xdr:pic>
    <xdr:clientData/>
  </xdr:twoCellAnchor>
  <xdr:twoCellAnchor editAs="oneCell">
    <xdr:from>
      <xdr:col>0</xdr:col>
      <xdr:colOff>0</xdr:colOff>
      <xdr:row>34</xdr:row>
      <xdr:rowOff>0</xdr:rowOff>
    </xdr:from>
    <xdr:to>
      <xdr:col>9</xdr:col>
      <xdr:colOff>323039</xdr:colOff>
      <xdr:row>41</xdr:row>
      <xdr:rowOff>18898</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5829300"/>
          <a:ext cx="6495239" cy="1219048"/>
        </a:xfrm>
        <a:prstGeom prst="rect">
          <a:avLst/>
        </a:prstGeom>
      </xdr:spPr>
    </xdr:pic>
    <xdr:clientData/>
  </xdr:twoCellAnchor>
  <xdr:twoCellAnchor editAs="oneCell">
    <xdr:from>
      <xdr:col>0</xdr:col>
      <xdr:colOff>0</xdr:colOff>
      <xdr:row>41</xdr:row>
      <xdr:rowOff>0</xdr:rowOff>
    </xdr:from>
    <xdr:to>
      <xdr:col>9</xdr:col>
      <xdr:colOff>627800</xdr:colOff>
      <xdr:row>71</xdr:row>
      <xdr:rowOff>37453</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7029450"/>
          <a:ext cx="6800000" cy="5180953"/>
        </a:xfrm>
        <a:prstGeom prst="rect">
          <a:avLst/>
        </a:prstGeom>
      </xdr:spPr>
    </xdr:pic>
    <xdr:clientData/>
  </xdr:twoCellAnchor>
  <xdr:twoCellAnchor editAs="oneCell">
    <xdr:from>
      <xdr:col>0</xdr:col>
      <xdr:colOff>0</xdr:colOff>
      <xdr:row>72</xdr:row>
      <xdr:rowOff>0</xdr:rowOff>
    </xdr:from>
    <xdr:to>
      <xdr:col>10</xdr:col>
      <xdr:colOff>103905</xdr:colOff>
      <xdr:row>80</xdr:row>
      <xdr:rowOff>76019</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0" y="12344400"/>
          <a:ext cx="6961905" cy="1447619"/>
        </a:xfrm>
        <a:prstGeom prst="rect">
          <a:avLst/>
        </a:prstGeom>
      </xdr:spPr>
    </xdr:pic>
    <xdr:clientData/>
  </xdr:twoCellAnchor>
  <xdr:twoCellAnchor editAs="oneCell">
    <xdr:from>
      <xdr:col>0</xdr:col>
      <xdr:colOff>0</xdr:colOff>
      <xdr:row>81</xdr:row>
      <xdr:rowOff>0</xdr:rowOff>
    </xdr:from>
    <xdr:to>
      <xdr:col>12</xdr:col>
      <xdr:colOff>637067</xdr:colOff>
      <xdr:row>109</xdr:row>
      <xdr:rowOff>85115</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0" y="13887450"/>
          <a:ext cx="8866667" cy="4885715"/>
        </a:xfrm>
        <a:prstGeom prst="rect">
          <a:avLst/>
        </a:prstGeom>
      </xdr:spPr>
    </xdr:pic>
    <xdr:clientData/>
  </xdr:twoCellAnchor>
  <xdr:twoCellAnchor editAs="oneCell">
    <xdr:from>
      <xdr:col>0</xdr:col>
      <xdr:colOff>0</xdr:colOff>
      <xdr:row>110</xdr:row>
      <xdr:rowOff>0</xdr:rowOff>
    </xdr:from>
    <xdr:to>
      <xdr:col>8</xdr:col>
      <xdr:colOff>608839</xdr:colOff>
      <xdr:row>117</xdr:row>
      <xdr:rowOff>104612</xdr:rowOff>
    </xdr:to>
    <xdr:pic>
      <xdr:nvPicPr>
        <xdr:cNvPr id="8" name="图片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0" y="18859500"/>
          <a:ext cx="6095239" cy="1304762"/>
        </a:xfrm>
        <a:prstGeom prst="rect">
          <a:avLst/>
        </a:prstGeom>
      </xdr:spPr>
    </xdr:pic>
    <xdr:clientData/>
  </xdr:twoCellAnchor>
  <xdr:twoCellAnchor editAs="oneCell">
    <xdr:from>
      <xdr:col>0</xdr:col>
      <xdr:colOff>0</xdr:colOff>
      <xdr:row>118</xdr:row>
      <xdr:rowOff>0</xdr:rowOff>
    </xdr:from>
    <xdr:to>
      <xdr:col>9</xdr:col>
      <xdr:colOff>580181</xdr:colOff>
      <xdr:row>144</xdr:row>
      <xdr:rowOff>28015</xdr:rowOff>
    </xdr:to>
    <xdr:pic>
      <xdr:nvPicPr>
        <xdr:cNvPr id="9" name="图片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8"/>
        <a:stretch>
          <a:fillRect/>
        </a:stretch>
      </xdr:blipFill>
      <xdr:spPr>
        <a:xfrm>
          <a:off x="0" y="20231100"/>
          <a:ext cx="6752381" cy="4485715"/>
        </a:xfrm>
        <a:prstGeom prst="rect">
          <a:avLst/>
        </a:prstGeom>
      </xdr:spPr>
    </xdr:pic>
    <xdr:clientData/>
  </xdr:twoCellAnchor>
  <xdr:twoCellAnchor editAs="oneCell">
    <xdr:from>
      <xdr:col>0</xdr:col>
      <xdr:colOff>0</xdr:colOff>
      <xdr:row>145</xdr:row>
      <xdr:rowOff>0</xdr:rowOff>
    </xdr:from>
    <xdr:to>
      <xdr:col>10</xdr:col>
      <xdr:colOff>132477</xdr:colOff>
      <xdr:row>153</xdr:row>
      <xdr:rowOff>18876</xdr:rowOff>
    </xdr:to>
    <xdr:pic>
      <xdr:nvPicPr>
        <xdr:cNvPr id="10" name="图片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9"/>
        <a:stretch>
          <a:fillRect/>
        </a:stretch>
      </xdr:blipFill>
      <xdr:spPr>
        <a:xfrm>
          <a:off x="0" y="24860250"/>
          <a:ext cx="6990477" cy="1390476"/>
        </a:xfrm>
        <a:prstGeom prst="rect">
          <a:avLst/>
        </a:prstGeom>
      </xdr:spPr>
    </xdr:pic>
    <xdr:clientData/>
  </xdr:twoCellAnchor>
  <xdr:twoCellAnchor editAs="oneCell">
    <xdr:from>
      <xdr:col>0</xdr:col>
      <xdr:colOff>0</xdr:colOff>
      <xdr:row>153</xdr:row>
      <xdr:rowOff>0</xdr:rowOff>
    </xdr:from>
    <xdr:to>
      <xdr:col>13</xdr:col>
      <xdr:colOff>198886</xdr:colOff>
      <xdr:row>178</xdr:row>
      <xdr:rowOff>142322</xdr:rowOff>
    </xdr:to>
    <xdr:pic>
      <xdr:nvPicPr>
        <xdr:cNvPr id="11" name="图片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10"/>
        <a:stretch>
          <a:fillRect/>
        </a:stretch>
      </xdr:blipFill>
      <xdr:spPr>
        <a:xfrm>
          <a:off x="0" y="26231850"/>
          <a:ext cx="9114286" cy="4428572"/>
        </a:xfrm>
        <a:prstGeom prst="rect">
          <a:avLst/>
        </a:prstGeom>
      </xdr:spPr>
    </xdr:pic>
    <xdr:clientData/>
  </xdr:twoCellAnchor>
  <xdr:twoCellAnchor editAs="oneCell">
    <xdr:from>
      <xdr:col>0</xdr:col>
      <xdr:colOff>0</xdr:colOff>
      <xdr:row>179</xdr:row>
      <xdr:rowOff>0</xdr:rowOff>
    </xdr:from>
    <xdr:to>
      <xdr:col>9</xdr:col>
      <xdr:colOff>189705</xdr:colOff>
      <xdr:row>185</xdr:row>
      <xdr:rowOff>104633</xdr:rowOff>
    </xdr:to>
    <xdr:pic>
      <xdr:nvPicPr>
        <xdr:cNvPr id="12" name="图片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11"/>
        <a:stretch>
          <a:fillRect/>
        </a:stretch>
      </xdr:blipFill>
      <xdr:spPr>
        <a:xfrm>
          <a:off x="0" y="30689550"/>
          <a:ext cx="6361905" cy="1133333"/>
        </a:xfrm>
        <a:prstGeom prst="rect">
          <a:avLst/>
        </a:prstGeom>
      </xdr:spPr>
    </xdr:pic>
    <xdr:clientData/>
  </xdr:twoCellAnchor>
  <xdr:twoCellAnchor editAs="oneCell">
    <xdr:from>
      <xdr:col>0</xdr:col>
      <xdr:colOff>0</xdr:colOff>
      <xdr:row>186</xdr:row>
      <xdr:rowOff>0</xdr:rowOff>
    </xdr:from>
    <xdr:to>
      <xdr:col>8</xdr:col>
      <xdr:colOff>608839</xdr:colOff>
      <xdr:row>210</xdr:row>
      <xdr:rowOff>170915</xdr:rowOff>
    </xdr:to>
    <xdr:pic>
      <xdr:nvPicPr>
        <xdr:cNvPr id="13" name="图片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12"/>
        <a:stretch>
          <a:fillRect/>
        </a:stretch>
      </xdr:blipFill>
      <xdr:spPr>
        <a:xfrm>
          <a:off x="0" y="31889700"/>
          <a:ext cx="6095239"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5.7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6.5" thickTop="1">
      <c r="A2" s="1360" t="s">
        <v>1187</v>
      </c>
      <c r="B2" s="1361" t="str">
        <f>'预评函-封皮'!B37:I37</f>
        <v>北京市房地产市场价值预评估</v>
      </c>
    </row>
    <row r="3" spans="1:2" s="1365" customFormat="1">
      <c r="A3" s="1363" t="s">
        <v>1188</v>
      </c>
      <c r="B3" s="1364" t="str">
        <f>'预评函-封皮'!B40</f>
        <v>中行</v>
      </c>
    </row>
    <row r="4" spans="1:2" s="1365" customFormat="1">
      <c r="A4" s="1363" t="s">
        <v>1189</v>
      </c>
      <c r="B4" s="1364" t="str">
        <f ca="1">'预评函-封皮'!B46</f>
        <v>陈颖（注册号：0)、叶凌（注册号：0)</v>
      </c>
    </row>
    <row r="5" spans="1:2" s="1359" customFormat="1" ht="16.5" thickBot="1">
      <c r="A5" s="1366" t="s">
        <v>1190</v>
      </c>
      <c r="B5" s="1367" t="str">
        <f>'预评函-封皮'!B49</f>
        <v>康正预评字号</v>
      </c>
    </row>
    <row r="6" spans="1:2" s="1362" customFormat="1" ht="16.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估价对象为北京市房地产，为所有。根据《国有土地使用证》[]，估价对象（分摊）出让国有建设用地使用权面积为0平方米，建筑面积为445.5平方米。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估价对象为北京市房地产,属开发建设的办公项目，该项目尚在开发建设中。根据《国有土地使用证》[]，估价对象（分摊）出让国有建设用地使用权面积为0平方米，规划建筑面积为445.5平方米。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2023年2月2日（评估专业人员实地查勘之日）</v>
      </c>
    </row>
    <row r="13" spans="1:2" s="1365" customFormat="1">
      <c r="A13" s="1363" t="s">
        <v>1194</v>
      </c>
      <c r="B13" s="1364" t="str">
        <f>'预评函-1'!A18</f>
        <v>本次估价的“房地产价值”是指在正常市场情况下，在价值时点2023年2月2日，估价对象规划用途为，土地取得方式为出让，出让国有建设用地使用权剩余土地使用年限为29.89，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通热、燃气）、红线内场地平整条件下，剩余土地使用年限为29.89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6.5" thickBot="1">
      <c r="A18" s="1366" t="s">
        <v>1199</v>
      </c>
      <c r="B18" s="1367" t="str">
        <f>'预评函-1'!A24</f>
        <v>本次评估采用的主估价方法为收益法和比较法。</v>
      </c>
    </row>
    <row r="19" spans="1:2" s="1362" customFormat="1" ht="16.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445.5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6.5" thickBot="1">
      <c r="A57" s="1366" t="s">
        <v>1264</v>
      </c>
      <c r="B57" s="1367" t="str">
        <f>'预评函-3'!A6</f>
        <v/>
      </c>
    </row>
    <row r="58" spans="1:2" s="1362" customFormat="1" ht="16.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6.5" thickBot="1">
      <c r="A69" s="1366" t="s">
        <v>1226</v>
      </c>
      <c r="B69" s="1368">
        <f>'预评函-4'!C31</f>
        <v>42551</v>
      </c>
    </row>
    <row r="70" spans="1:2" ht="16.5" thickTop="1">
      <c r="A70" s="1369" t="s">
        <v>1227</v>
      </c>
      <c r="B70" s="1370" t="str">
        <f>'预评函-4'!A4</f>
        <v>陈颖</v>
      </c>
    </row>
    <row r="71" spans="1:2">
      <c r="A71" s="1363" t="s">
        <v>1228</v>
      </c>
      <c r="B71" s="1364">
        <f ca="1">'预评函-4'!B4</f>
        <v>0</v>
      </c>
    </row>
    <row r="72" spans="1:2">
      <c r="A72" s="1363" t="s">
        <v>1229</v>
      </c>
      <c r="B72" s="1372" t="str">
        <f>'预评函-4'!A5</f>
        <v>叶凌</v>
      </c>
    </row>
    <row r="73" spans="1:2" s="1359" customFormat="1" ht="16.5" thickBot="1">
      <c r="A73" s="1366" t="s">
        <v>1230</v>
      </c>
      <c r="B73" s="1367">
        <f ca="1">'预评函-4'!B5</f>
        <v>0</v>
      </c>
    </row>
    <row r="74" spans="1:2" ht="16.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6" sqref="F16"/>
    </sheetView>
  </sheetViews>
  <sheetFormatPr defaultColWidth="9" defaultRowHeight="14.25"/>
  <cols>
    <col min="1" max="1" width="13.5" style="1743" customWidth="1"/>
    <col min="2" max="2" width="23.125" style="1694" customWidth="1"/>
    <col min="3" max="3" width="13" style="1738" customWidth="1"/>
    <col min="4" max="4" width="5.62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8.5">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3036</v>
      </c>
      <c r="C17" s="1734"/>
    </row>
    <row r="18" spans="1:3">
      <c r="A18" s="1733" t="s">
        <v>1732</v>
      </c>
      <c r="B18" s="1733" t="s">
        <v>3255</v>
      </c>
      <c r="C18" s="1734"/>
    </row>
    <row r="19" spans="1:3">
      <c r="A19" s="1733" t="s">
        <v>1733</v>
      </c>
      <c r="B19" s="1733" t="s">
        <v>3254</v>
      </c>
      <c r="C19" s="1734"/>
    </row>
    <row r="20" spans="1:3">
      <c r="A20" s="1733" t="s">
        <v>1734</v>
      </c>
      <c r="B20" s="1733" t="s">
        <v>3253</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26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741" t="s">
        <v>832</v>
      </c>
      <c r="C54" s="1738" t="s">
        <v>1248</v>
      </c>
    </row>
    <row r="55" spans="1:4">
      <c r="A55" s="3262"/>
      <c r="B55" s="1741" t="s">
        <v>833</v>
      </c>
      <c r="C55" s="1738" t="s">
        <v>1249</v>
      </c>
    </row>
    <row r="56" spans="1:4">
      <c r="A56" s="3262"/>
      <c r="B56" s="1741" t="s">
        <v>834</v>
      </c>
      <c r="C56" s="1738" t="s">
        <v>1253</v>
      </c>
    </row>
    <row r="57" spans="1:4">
      <c r="A57" s="326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SheetLayoutView="110" workbookViewId="0">
      <selection activeCell="E19" sqref="E1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625" style="1933" customWidth="1"/>
    <col min="8" max="8" width="10" style="1933" customWidth="1"/>
    <col min="9" max="9" width="11.12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271" t="str">
        <f>IF(B10="北京市","北京市",C10)&amp;F10&amp;IF(结果表!G1="在建","出让国有建设用地使用权及在建建筑物",IF(结果表!G1="土地","出让国有建设用地使用权",))&amp;B9&amp;"预评估"</f>
        <v>北京市房地产市场价值预评估</v>
      </c>
      <c r="C1" s="3272"/>
      <c r="D1" s="3272"/>
      <c r="E1" s="3272"/>
      <c r="F1" s="3272"/>
      <c r="G1" s="3272"/>
      <c r="H1" s="3272"/>
      <c r="I1" s="3273"/>
      <c r="J1" s="2697"/>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3" t="s">
        <v>2914</v>
      </c>
      <c r="B2" s="2597"/>
      <c r="C2" s="2598"/>
      <c r="D2" s="2899"/>
      <c r="E2" s="2889"/>
      <c r="F2" s="2889"/>
      <c r="G2" s="2890"/>
      <c r="H2" s="2890"/>
      <c r="I2" s="2890"/>
      <c r="J2" s="2697"/>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3188">
        <v>44959</v>
      </c>
      <c r="C3" s="2599" t="s">
        <v>2916</v>
      </c>
      <c r="D3" s="3188">
        <f>B3</f>
        <v>44959</v>
      </c>
      <c r="E3" s="2890"/>
      <c r="F3" s="2890"/>
      <c r="G3" s="2890"/>
      <c r="H3" s="2890"/>
      <c r="I3" s="2890"/>
      <c r="J3" s="2697"/>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0" t="s">
        <v>3186</v>
      </c>
      <c r="C4" s="2601">
        <f ca="1">SUMIF(注册房地产估价师,B4,估价师及机构信息!B3:B24)</f>
        <v>0</v>
      </c>
      <c r="D4" s="2600" t="s">
        <v>3249</v>
      </c>
      <c r="E4" s="2602">
        <f ca="1">SUMIF(注册房地产估价师,D4,估价师及机构信息!B3:B24)</f>
        <v>0</v>
      </c>
      <c r="F4" s="2600"/>
      <c r="G4" s="2602">
        <f>SUMIF(注册房地产估价师,F4,估价师及机构信息!B3:B24)</f>
        <v>0</v>
      </c>
      <c r="H4" s="2600"/>
      <c r="I4" s="2602">
        <f>SUMIF(注册房地产估价师,H4,估价师及机构信息!B3:B24)</f>
        <v>0</v>
      </c>
      <c r="J4" s="2665"/>
      <c r="K4" s="2603" t="str">
        <f ca="1">CONCATENATE(B4,"（注册号：",C4,")、",D4,"（注册号：",E4,")")</f>
        <v>陈颖（注册号：0)、叶凌（注册号：0)</v>
      </c>
      <c r="L4" s="2595"/>
      <c r="M4" s="2595"/>
      <c r="N4" s="2596"/>
      <c r="O4" s="1763"/>
      <c r="P4" s="2596"/>
      <c r="Q4" s="2596"/>
      <c r="R4" s="2596"/>
      <c r="S4" s="1870"/>
      <c r="T4" s="1933"/>
      <c r="U4" s="1933"/>
      <c r="V4" s="1933"/>
      <c r="W4" s="1933"/>
      <c r="X4" s="1933"/>
      <c r="Y4" s="1933"/>
      <c r="Z4" s="1933"/>
      <c r="AA4" s="1933"/>
      <c r="AB4" s="1933"/>
    </row>
    <row r="5" spans="1:28" ht="13.5" thickTop="1">
      <c r="A5" s="2604" t="s">
        <v>2918</v>
      </c>
      <c r="B5" s="3119" t="s">
        <v>3268</v>
      </c>
      <c r="C5" s="2605"/>
      <c r="D5" s="2606"/>
      <c r="E5" s="2891"/>
      <c r="F5" s="2891"/>
      <c r="G5" s="2891"/>
      <c r="H5" s="2891"/>
      <c r="I5" s="2891"/>
      <c r="J5" s="2665"/>
      <c r="K5" s="2603"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3187</v>
      </c>
      <c r="C8" s="2614"/>
      <c r="D8" s="3274" t="s">
        <v>2922</v>
      </c>
      <c r="E8" s="2615"/>
      <c r="F8" s="2616"/>
      <c r="G8" s="2890"/>
      <c r="H8" s="2890"/>
      <c r="I8" s="2890"/>
      <c r="J8" s="2665"/>
      <c r="K8" s="2840"/>
      <c r="L8" s="2839"/>
      <c r="M8" s="2839"/>
      <c r="N8" s="2665"/>
      <c r="O8" s="2676"/>
      <c r="P8" s="2665"/>
      <c r="Q8" s="2665"/>
      <c r="R8" s="2665"/>
    </row>
    <row r="9" spans="1:28" ht="13.5" thickBot="1">
      <c r="A9" s="2617" t="s">
        <v>2923</v>
      </c>
      <c r="B9" s="2618" t="s">
        <v>3188</v>
      </c>
      <c r="C9" s="2619"/>
      <c r="D9" s="3275"/>
      <c r="E9" s="2618"/>
      <c r="F9" s="2620"/>
      <c r="G9" s="2892"/>
      <c r="H9" s="2892"/>
      <c r="I9" s="2892"/>
      <c r="J9" s="2665"/>
      <c r="K9" s="2842"/>
      <c r="L9" s="2839"/>
      <c r="M9" s="2839"/>
      <c r="N9" s="2665"/>
      <c r="O9" s="2676"/>
      <c r="P9" s="2665"/>
      <c r="Q9" s="2665"/>
      <c r="R9" s="2665"/>
    </row>
    <row r="10" spans="1:28" ht="13.5" thickTop="1">
      <c r="A10" s="2621" t="s">
        <v>2924</v>
      </c>
      <c r="B10" s="2622" t="s">
        <v>3189</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3190</v>
      </c>
      <c r="C11" s="2627"/>
      <c r="D11" s="2628"/>
      <c r="E11" s="2596"/>
      <c r="F11" s="2596"/>
      <c r="G11" s="2596"/>
      <c r="H11" s="2596"/>
      <c r="I11" s="2596"/>
      <c r="J11" s="2665"/>
      <c r="K11" s="2842"/>
      <c r="L11" s="2839"/>
      <c r="M11" s="2839"/>
      <c r="N11" s="2665"/>
      <c r="O11" s="2676"/>
      <c r="P11" s="2665"/>
      <c r="Q11" s="2665"/>
      <c r="R11" s="2665"/>
    </row>
    <row r="12" spans="1:28">
      <c r="A12" s="2629" t="s">
        <v>2927</v>
      </c>
      <c r="B12" s="2626" t="s">
        <v>3300</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v>55870</v>
      </c>
      <c r="F13" s="965">
        <v>59522</v>
      </c>
      <c r="G13" s="965"/>
      <c r="H13" s="965"/>
      <c r="I13" s="965"/>
      <c r="J13" s="2665"/>
      <c r="K13" s="2842"/>
      <c r="L13" s="2839"/>
      <c r="M13" s="2839"/>
      <c r="N13" s="2665"/>
      <c r="O13" s="2676"/>
      <c r="P13" s="2665"/>
      <c r="Q13" s="2665"/>
      <c r="R13" s="2665"/>
    </row>
    <row r="14" spans="1:28">
      <c r="A14" s="1241"/>
      <c r="B14" s="2631"/>
      <c r="C14" s="2632" t="s">
        <v>2936</v>
      </c>
      <c r="D14" s="2633"/>
      <c r="E14" s="2633">
        <v>40</v>
      </c>
      <c r="F14" s="2633">
        <v>50</v>
      </c>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f>IF(B12="出让",IF(E13="","",ROUNDDOWN(MIN((E13-$D$3)/365,E14),2)),E14)</f>
        <v>29.89</v>
      </c>
      <c r="F15" s="2636">
        <f>IF(B12="出让",IF(F13="","",ROUNDDOWN(MIN((F13-$D$3)/365,F14),2)),F14)</f>
        <v>39.89</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281"/>
      <c r="C16" s="3282"/>
      <c r="D16" s="3283"/>
      <c r="E16" s="2639" t="s">
        <v>2939</v>
      </c>
      <c r="F16" s="3284">
        <f>E15</f>
        <v>29.89</v>
      </c>
      <c r="G16" s="3285"/>
      <c r="H16" s="3285"/>
      <c r="I16" s="3286"/>
      <c r="J16" s="2665"/>
      <c r="K16" s="2844"/>
      <c r="L16" s="2677"/>
      <c r="M16" s="2677"/>
      <c r="N16" s="2735"/>
      <c r="O16" s="2677"/>
      <c r="P16" s="2735"/>
      <c r="Q16" s="2665"/>
      <c r="R16" s="2665"/>
    </row>
    <row r="17" spans="1:28">
      <c r="A17" s="319" t="s">
        <v>2940</v>
      </c>
      <c r="B17" s="308" t="s">
        <v>2941</v>
      </c>
      <c r="C17" s="11">
        <f>'数据-汇总表'!E3</f>
        <v>445.5</v>
      </c>
      <c r="D17" s="2547" t="s">
        <v>2942</v>
      </c>
      <c r="E17" s="3287" t="s">
        <v>3198</v>
      </c>
      <c r="F17" s="3288"/>
      <c r="G17" s="3288"/>
      <c r="H17" s="3288"/>
      <c r="I17" s="3289"/>
      <c r="J17" s="2665"/>
      <c r="K17" s="2845"/>
      <c r="L17" s="2677"/>
      <c r="M17" s="2677"/>
      <c r="N17" s="2735"/>
      <c r="O17" s="2677"/>
      <c r="P17" s="2735"/>
      <c r="Q17" s="2665"/>
      <c r="R17" s="2665"/>
      <c r="S17" s="2665"/>
      <c r="T17" s="2665"/>
      <c r="U17" s="2665"/>
      <c r="V17" s="2665"/>
    </row>
    <row r="18" spans="1:28" ht="24.75" thickBot="1">
      <c r="A18" s="2640" t="s">
        <v>2943</v>
      </c>
      <c r="B18" s="1250" t="s">
        <v>2944</v>
      </c>
      <c r="C18" s="2641">
        <f>'数据-汇总表'!D3</f>
        <v>0</v>
      </c>
      <c r="D18" s="1252" t="s">
        <v>2945</v>
      </c>
      <c r="E18" s="3290" t="s">
        <v>2946</v>
      </c>
      <c r="F18" s="3291"/>
      <c r="G18" s="3291"/>
      <c r="H18" s="3291"/>
      <c r="I18" s="3292"/>
      <c r="J18" s="2665"/>
      <c r="K18" s="2845"/>
      <c r="L18" s="2677"/>
      <c r="M18" s="2677"/>
      <c r="N18" s="2735"/>
      <c r="O18" s="2677"/>
      <c r="P18" s="2735"/>
      <c r="Q18" s="2665"/>
      <c r="R18" s="2665"/>
      <c r="S18" s="2665"/>
      <c r="T18" s="2665"/>
      <c r="U18" s="2665"/>
      <c r="V18" s="2665"/>
    </row>
    <row r="19" spans="1:28" ht="37.5" thickTop="1" thickBot="1">
      <c r="A19" s="333" t="s">
        <v>1741</v>
      </c>
      <c r="B19" s="313" t="s">
        <v>2947</v>
      </c>
      <c r="C19" s="1750" t="s">
        <v>3269</v>
      </c>
      <c r="D19" s="1751" t="s">
        <v>2948</v>
      </c>
      <c r="E19" s="1752" t="s">
        <v>3269</v>
      </c>
      <c r="F19" s="1753" t="str">
        <f>IF(AND(C19="是",E19="否"),"是否提供他项权证或相关说明","")</f>
        <v/>
      </c>
      <c r="G19" s="1754"/>
      <c r="H19" s="2891"/>
      <c r="I19" s="2891"/>
      <c r="J19" s="2665"/>
      <c r="K19" s="2842"/>
      <c r="L19" s="2839"/>
      <c r="M19" s="2839"/>
      <c r="N19" s="2735"/>
      <c r="O19" s="2677"/>
      <c r="P19" s="2735"/>
      <c r="Q19" s="2665"/>
      <c r="R19" s="2665"/>
      <c r="S19" s="2665"/>
      <c r="T19" s="2665"/>
      <c r="U19" s="2665"/>
      <c r="V19" s="2665"/>
    </row>
    <row r="20" spans="1:28">
      <c r="A20" s="2859" t="s">
        <v>2949</v>
      </c>
      <c r="B20" s="3277" t="s">
        <v>2950</v>
      </c>
      <c r="C20" s="3278"/>
      <c r="D20" s="3279" t="s">
        <v>2951</v>
      </c>
      <c r="E20" s="3280"/>
      <c r="F20" s="2874" t="s">
        <v>1742</v>
      </c>
      <c r="G20" s="2891"/>
      <c r="H20" s="2891"/>
      <c r="I20" s="2891"/>
      <c r="J20" s="2665"/>
      <c r="K20" s="3276" t="s">
        <v>2952</v>
      </c>
      <c r="L20" s="693"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595"/>
      <c r="N20" s="2638"/>
      <c r="O20" s="2637"/>
      <c r="P20" s="2638"/>
      <c r="Q20" s="2596"/>
      <c r="R20" s="2596"/>
      <c r="S20" s="2596"/>
      <c r="T20" s="2596"/>
      <c r="U20" s="2596"/>
      <c r="V20" s="2596"/>
      <c r="W20" s="1933"/>
      <c r="X20" s="1933"/>
      <c r="Y20" s="1933"/>
      <c r="Z20" s="1933"/>
      <c r="AA20" s="1933"/>
      <c r="AB20" s="1933"/>
    </row>
    <row r="21" spans="1:28" ht="24.75" thickBot="1">
      <c r="A21" s="2859"/>
      <c r="B21" s="2860" t="s">
        <v>2953</v>
      </c>
      <c r="C21" s="2861" t="s">
        <v>3244</v>
      </c>
      <c r="D21" s="1755" t="s">
        <v>2954</v>
      </c>
      <c r="E21" s="2862" t="s">
        <v>1743</v>
      </c>
      <c r="F21" s="2875"/>
      <c r="G21" s="2891"/>
      <c r="H21" s="2891"/>
      <c r="I21" s="2891"/>
      <c r="J21" s="2665"/>
      <c r="K21" s="327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38"/>
      <c r="O21" s="2637"/>
      <c r="P21" s="2638"/>
      <c r="Q21" s="2596"/>
      <c r="R21" s="2596"/>
      <c r="S21" s="2596"/>
      <c r="T21" s="2596"/>
      <c r="U21" s="2596"/>
      <c r="V21" s="2596"/>
      <c r="W21" s="1933"/>
      <c r="X21" s="1933"/>
      <c r="Y21" s="1933"/>
      <c r="Z21" s="1933"/>
      <c r="AA21" s="1933"/>
      <c r="AB21" s="1933"/>
    </row>
    <row r="22" spans="1:28" ht="13.5" thickBot="1">
      <c r="A22" s="2859"/>
      <c r="B22" s="2863"/>
      <c r="C22" s="2861"/>
      <c r="D22" s="2890"/>
      <c r="E22" s="2890"/>
      <c r="F22" s="2890"/>
      <c r="G22" s="2891"/>
      <c r="H22" s="2891"/>
      <c r="I22" s="2891"/>
      <c r="J22" s="2665"/>
      <c r="K22" s="327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4" t="s">
        <v>2955</v>
      </c>
      <c r="B23" s="2728" t="s">
        <v>2956</v>
      </c>
      <c r="C23" s="2865"/>
      <c r="D23" s="2866" t="s">
        <v>2956</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1744</v>
      </c>
      <c r="C24" s="2868"/>
      <c r="D24" s="2864" t="s">
        <v>1744</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1745</v>
      </c>
      <c r="C25" s="2868"/>
      <c r="D25" s="2864" t="s">
        <v>1745</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1746</v>
      </c>
      <c r="C26" s="2872"/>
      <c r="D26" s="2870" t="s">
        <v>1746</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64" t="s">
        <v>2957</v>
      </c>
      <c r="B27" s="326" t="s">
        <v>2958</v>
      </c>
      <c r="C27" s="2642" t="s">
        <v>3270</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264"/>
      <c r="B28" s="308" t="s">
        <v>2959</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64"/>
      <c r="B29" s="308" t="s">
        <v>2960</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65"/>
      <c r="B30" s="308" t="s">
        <v>2961</v>
      </c>
      <c r="C30" s="3266"/>
      <c r="D30" s="3267"/>
      <c r="E30" s="2891"/>
      <c r="F30" s="2891"/>
      <c r="G30" s="2891"/>
      <c r="H30" s="2891"/>
      <c r="I30" s="2891"/>
      <c r="J30" s="2665"/>
      <c r="K30" s="2842"/>
      <c r="L30" s="2839"/>
      <c r="M30" s="2839"/>
      <c r="N30" s="2665"/>
      <c r="O30" s="2676"/>
      <c r="P30" s="2665"/>
      <c r="Q30" s="2665"/>
      <c r="R30" s="2665"/>
      <c r="S30" s="2665"/>
      <c r="T30" s="2665"/>
      <c r="U30" s="2665"/>
      <c r="V30" s="2665"/>
    </row>
    <row r="31" spans="1:28">
      <c r="A31" s="3268" t="s">
        <v>2962</v>
      </c>
      <c r="B31" s="2648" t="s">
        <v>3191</v>
      </c>
      <c r="C31" s="2548" t="str">
        <f>IF(B31="现房","成新及维护状况正常否",IF(B31="在建","工程状态是否正常",IF(B31="土地","是否闲置","-")))</f>
        <v>成新及维护状况正常否</v>
      </c>
      <c r="D31" s="1559"/>
      <c r="E31" s="2649"/>
      <c r="F31" s="2891"/>
      <c r="G31" s="2891"/>
      <c r="H31" s="2891"/>
      <c r="I31" s="2891"/>
      <c r="J31" s="2665"/>
      <c r="K31" s="2841"/>
      <c r="L31" s="2839"/>
      <c r="M31" s="2839"/>
      <c r="N31" s="2665"/>
      <c r="O31" s="2676"/>
      <c r="P31" s="2665"/>
      <c r="Q31" s="2665"/>
      <c r="R31" s="2665"/>
      <c r="S31" s="2665"/>
      <c r="T31" s="2665"/>
      <c r="U31" s="2665"/>
      <c r="V31" s="2665"/>
    </row>
    <row r="32" spans="1:28">
      <c r="A32" s="3269"/>
      <c r="B32" s="2648"/>
      <c r="C32" s="2548" t="str">
        <f>IF(B32="现房","成新及维护状况是否正常",IF(B32="在建","工程状态是否正常",IF(B32="土地","是否闲置","-")))</f>
        <v>-</v>
      </c>
      <c r="D32" s="1559"/>
      <c r="E32" s="2649"/>
      <c r="F32" s="2891"/>
      <c r="G32" s="2891"/>
      <c r="H32" s="2891"/>
      <c r="I32" s="2891"/>
      <c r="J32" s="2665"/>
      <c r="K32" s="2842"/>
      <c r="L32" s="2839"/>
      <c r="M32" s="2839"/>
      <c r="N32" s="2665"/>
      <c r="O32" s="2676"/>
      <c r="P32" s="2665"/>
      <c r="Q32" s="2665"/>
      <c r="R32" s="2665"/>
      <c r="S32" s="2665"/>
      <c r="T32" s="2665"/>
      <c r="U32" s="2665"/>
      <c r="V32" s="2665"/>
    </row>
    <row r="33" spans="1:30">
      <c r="A33" s="3269"/>
      <c r="B33" s="2651"/>
      <c r="C33" s="1777" t="str">
        <f>IF(B33="现房","成新及维护状况是否正常",IF(B33="在建","工程状态是否正常",IF(B33="土地","是否闲置","-")))</f>
        <v>-</v>
      </c>
      <c r="D33" s="1551"/>
      <c r="E33" s="2652"/>
      <c r="F33" s="2891"/>
      <c r="G33" s="2891"/>
      <c r="H33" s="2891"/>
      <c r="I33" s="2891"/>
      <c r="J33" s="2665"/>
      <c r="K33" s="2842"/>
      <c r="L33" s="2839"/>
      <c r="M33" s="2839"/>
      <c r="N33" s="2665"/>
      <c r="O33" s="2676"/>
      <c r="P33" s="2665"/>
      <c r="Q33" s="2665"/>
      <c r="R33" s="2665"/>
      <c r="S33" s="2665"/>
      <c r="T33" s="2665"/>
      <c r="U33" s="2665"/>
      <c r="V33" s="2665"/>
    </row>
    <row r="34" spans="1:30">
      <c r="A34" s="308" t="s">
        <v>2963</v>
      </c>
      <c r="B34" s="2216" t="s">
        <v>3192</v>
      </c>
      <c r="C34" s="2216" t="s">
        <v>3193</v>
      </c>
      <c r="D34" s="2216" t="s">
        <v>3194</v>
      </c>
      <c r="E34" s="2216" t="s">
        <v>3195</v>
      </c>
      <c r="F34" s="2216" t="s">
        <v>3196</v>
      </c>
      <c r="G34" s="2216" t="s">
        <v>3369</v>
      </c>
      <c r="H34" s="2216" t="s">
        <v>3370</v>
      </c>
      <c r="I34" s="2891"/>
      <c r="J34" s="2665"/>
      <c r="K34" s="2653">
        <f>COUNTIF(B34:H34,"——")</f>
        <v>0</v>
      </c>
      <c r="L34" s="329" t="s">
        <v>2964</v>
      </c>
      <c r="M34" s="329" t="s">
        <v>2965</v>
      </c>
      <c r="N34" s="329" t="s">
        <v>2966</v>
      </c>
      <c r="O34" s="329" t="s">
        <v>2967</v>
      </c>
      <c r="P34" s="329" t="s">
        <v>2968</v>
      </c>
      <c r="Q34" s="329" t="s">
        <v>2969</v>
      </c>
      <c r="R34" s="329" t="s">
        <v>2970</v>
      </c>
      <c r="S34" s="3263" t="s">
        <v>2971</v>
      </c>
      <c r="T34" s="2654" t="str">
        <f>NUMBERSTRING(7-K34,1)&amp;"通"</f>
        <v>七通</v>
      </c>
      <c r="U34" s="2665"/>
      <c r="V34" s="2665"/>
    </row>
    <row r="35" spans="1:30">
      <c r="A35" s="2655"/>
      <c r="B35" s="3270" t="s">
        <v>2972</v>
      </c>
      <c r="C35" s="3270"/>
      <c r="D35" s="3270"/>
      <c r="E35" s="3270"/>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263"/>
      <c r="T35" s="335" t="str">
        <f>IF(T34="一通",L35,IF(T34="二通",M35,IF(T34="三通",N35,IF(T34="四通",O35,IF(T34="五通",P35,IF(T34="六通",Q35,R35))))))</f>
        <v>通路、通电、通讯、通上水、通下水、通热、燃气</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2973</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2974</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6"/>
      <c r="B40" s="2596"/>
      <c r="C40" s="2596"/>
      <c r="D40" s="2596"/>
      <c r="E40" s="2596"/>
      <c r="F40" s="2596"/>
      <c r="G40" s="2596"/>
      <c r="H40" s="2596"/>
      <c r="I40" s="1765"/>
      <c r="J40" s="2735"/>
      <c r="K40" s="2841"/>
      <c r="L40" s="2677"/>
      <c r="M40" s="2677"/>
      <c r="N40" s="2735"/>
      <c r="O40" s="2677"/>
      <c r="P40" s="2665"/>
      <c r="Q40" s="2665"/>
      <c r="R40" s="2665"/>
      <c r="S40" s="2665"/>
      <c r="T40" s="2665"/>
      <c r="U40" s="2665"/>
      <c r="V40" s="2665"/>
    </row>
    <row r="41" spans="1:30">
      <c r="A41" s="2662" t="s">
        <v>2976</v>
      </c>
      <c r="B41" s="1945"/>
      <c r="C41" s="1559"/>
      <c r="D41" s="2596"/>
      <c r="E41" s="2596"/>
      <c r="F41" s="2596"/>
      <c r="G41" s="2596"/>
      <c r="H41" s="2596"/>
      <c r="I41" s="1763"/>
      <c r="J41" s="2665"/>
      <c r="K41" s="2842"/>
      <c r="L41" s="2839"/>
      <c r="M41" s="2839"/>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31" customFormat="1">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c r="A51" s="1757"/>
      <c r="B51" s="1757"/>
      <c r="C51" s="1182"/>
      <c r="D51" s="1182"/>
      <c r="E51" s="1182"/>
      <c r="F51" s="1182"/>
      <c r="G51" s="1182"/>
      <c r="H51" s="1182"/>
      <c r="I51" s="1182"/>
      <c r="J51" s="2663"/>
      <c r="K51" s="2664"/>
      <c r="L51" s="2664"/>
      <c r="M51" s="1182"/>
      <c r="N51" s="1182"/>
      <c r="O51" s="1182"/>
      <c r="P51" s="1182"/>
      <c r="Q51" s="1182"/>
      <c r="R51" s="1182"/>
    </row>
    <row r="52" spans="1:22" s="1931" customFormat="1">
      <c r="A52" s="1757"/>
      <c r="B52" s="1757"/>
      <c r="C52" s="1757"/>
      <c r="D52" s="1757"/>
      <c r="E52" s="1757"/>
      <c r="F52" s="1182"/>
      <c r="G52" s="1757"/>
      <c r="H52" s="1757"/>
      <c r="I52" s="1757"/>
      <c r="J52" s="2666"/>
      <c r="K52" s="2664"/>
      <c r="L52" s="2664"/>
      <c r="M52" s="2664"/>
      <c r="N52" s="1757"/>
      <c r="O52" s="1757"/>
      <c r="P52" s="1757"/>
      <c r="Q52" s="1757"/>
      <c r="R52" s="1757"/>
    </row>
    <row r="53" spans="1:22" s="1931" customFormat="1">
      <c r="A53" s="1757"/>
      <c r="B53" s="1757"/>
      <c r="C53" s="1757"/>
      <c r="D53" s="1757"/>
      <c r="E53" s="1757"/>
      <c r="F53" s="1182"/>
      <c r="G53" s="1757"/>
      <c r="H53" s="1757"/>
      <c r="I53" s="1757"/>
      <c r="J53" s="2666"/>
      <c r="K53" s="2664"/>
      <c r="L53" s="2664"/>
      <c r="M53" s="2664"/>
      <c r="N53" s="1757"/>
      <c r="O53" s="1757"/>
      <c r="P53" s="1757"/>
      <c r="Q53" s="1757"/>
      <c r="R53" s="1757"/>
    </row>
    <row r="54" spans="1:22" s="1931" customFormat="1">
      <c r="A54" s="1757"/>
      <c r="B54" s="1757"/>
      <c r="C54" s="1757"/>
      <c r="D54" s="1757"/>
      <c r="E54" s="1757"/>
      <c r="F54" s="1182"/>
      <c r="G54" s="1757"/>
      <c r="H54" s="1757"/>
      <c r="I54" s="1757"/>
      <c r="J54" s="2666"/>
      <c r="K54" s="2664"/>
      <c r="L54" s="2664"/>
      <c r="M54" s="2664"/>
      <c r="N54" s="1757"/>
      <c r="O54" s="1757"/>
      <c r="P54" s="1757"/>
      <c r="Q54" s="1757"/>
      <c r="R54" s="1757"/>
    </row>
    <row r="55" spans="1:22" s="1931" customFormat="1">
      <c r="A55" s="1757"/>
      <c r="B55" s="1757"/>
      <c r="C55" s="1757"/>
      <c r="D55" s="1757"/>
      <c r="E55" s="1757"/>
      <c r="F55" s="1182"/>
      <c r="G55" s="1757"/>
      <c r="H55" s="1757"/>
      <c r="I55" s="1757"/>
      <c r="J55" s="2666"/>
      <c r="K55" s="2664"/>
      <c r="L55" s="2664"/>
      <c r="M55" s="2664"/>
      <c r="N55" s="1757"/>
      <c r="O55" s="1757"/>
      <c r="P55" s="1757"/>
      <c r="Q55" s="1757"/>
      <c r="R55" s="1757"/>
    </row>
    <row r="56" spans="1:22" s="1931" customFormat="1">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625" style="1760" customWidth="1"/>
    <col min="17" max="17" width="9.375" style="1760" customWidth="1"/>
    <col min="18" max="18" width="9.125" style="1760" customWidth="1"/>
    <col min="19" max="19" width="10.875" style="1760" customWidth="1"/>
    <col min="20" max="21" width="10.625" style="1760" customWidth="1"/>
    <col min="22" max="22" width="10.875" style="1760" customWidth="1"/>
    <col min="23" max="27" width="10.625" style="1760" customWidth="1"/>
    <col min="28" max="28" width="10.875" style="1760" customWidth="1"/>
    <col min="29" max="29" width="11" style="1760" bestFit="1" customWidth="1"/>
    <col min="30" max="30" width="10" style="1760" bestFit="1" customWidth="1"/>
    <col min="31" max="31" width="9.625" style="1760" customWidth="1"/>
    <col min="32" max="46" width="9.5" style="1760" customWidth="1"/>
    <col min="47" max="47" width="18.125" style="1760" customWidth="1"/>
    <col min="48" max="50" width="9.62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1747</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1748</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1749</v>
      </c>
      <c r="B2" s="11" t="s">
        <v>1750</v>
      </c>
      <c r="C2" s="11" t="s">
        <v>1751</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1752</v>
      </c>
      <c r="AZ2" s="1180" t="s">
        <v>1753</v>
      </c>
      <c r="BA2" s="11" t="s">
        <v>1754</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445.5</v>
      </c>
      <c r="C3" s="1767" t="s">
        <v>1755</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445.5</v>
      </c>
      <c r="H5" s="16">
        <f t="shared" ref="H5:AT5" si="0">SUM(H13:H656)</f>
        <v>445.5</v>
      </c>
      <c r="I5" s="16">
        <f t="shared" si="0"/>
        <v>445.5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445.5</v>
      </c>
      <c r="BA5" s="18">
        <f t="shared" si="1"/>
        <v>445.5</v>
      </c>
      <c r="BB5" s="18">
        <f t="shared" si="1"/>
        <v>445.5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1757</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3200</v>
      </c>
      <c r="J9" s="918"/>
      <c r="K9" s="1790"/>
      <c r="L9" s="918"/>
      <c r="M9" s="1790"/>
      <c r="N9" s="918"/>
      <c r="O9" s="1790"/>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c r="L10" s="918"/>
      <c r="M10" s="1796"/>
      <c r="N10" s="918"/>
      <c r="O10" s="1796"/>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f>K9</f>
        <v>0</v>
      </c>
      <c r="BD10" s="29">
        <f>M9</f>
        <v>0</v>
      </c>
      <c r="BE10" s="29">
        <f>O9</f>
        <v>0</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3199</v>
      </c>
      <c r="E13" s="16">
        <f>IF($C$3="是",ROUND($A$3*G13/$B$3,2),ROUND($A$3*(G13-AT13)/$B$3,2))</f>
        <v>0</v>
      </c>
      <c r="F13" s="32"/>
      <c r="G13" s="33">
        <f>H13+AC13+AT13</f>
        <v>445.5</v>
      </c>
      <c r="H13" s="20">
        <f>SUMIF(I$12:AB$12,"总值",I13:AB13)</f>
        <v>445.5</v>
      </c>
      <c r="I13" s="1813">
        <v>445.5</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445.5</v>
      </c>
      <c r="BA13" s="16">
        <f>SUM(BB13:BK13)</f>
        <v>445.5</v>
      </c>
      <c r="BB13" s="16">
        <f>IF($D13="是",I13-J13,0)</f>
        <v>445.5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3.5" customHeight="1">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4.2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c r="A1" s="3293" t="s">
        <v>0</v>
      </c>
      <c r="B1" s="3293" t="s">
        <v>4</v>
      </c>
      <c r="C1" s="3293" t="s">
        <v>5</v>
      </c>
      <c r="D1" s="3294" t="s">
        <v>53</v>
      </c>
      <c r="E1" s="3294" t="s">
        <v>54</v>
      </c>
      <c r="F1" s="3294"/>
      <c r="G1" s="3294"/>
      <c r="H1" s="3294"/>
      <c r="I1" s="3294"/>
      <c r="J1" s="3294"/>
      <c r="K1" s="3294"/>
      <c r="L1" s="3294"/>
      <c r="M1" s="3294"/>
    </row>
    <row r="2" spans="1:13" ht="27" customHeight="1">
      <c r="A2" s="3293"/>
      <c r="B2" s="3293"/>
      <c r="C2" s="3293"/>
      <c r="D2" s="3294"/>
      <c r="E2" s="3294" t="s">
        <v>37</v>
      </c>
      <c r="F2" s="3294" t="s">
        <v>38</v>
      </c>
      <c r="G2" s="3294"/>
      <c r="H2" s="3294"/>
      <c r="I2" s="3294"/>
      <c r="J2" s="3294" t="s">
        <v>39</v>
      </c>
      <c r="K2" s="3294"/>
      <c r="L2" s="3294"/>
      <c r="M2" s="3294"/>
    </row>
    <row r="3" spans="1:13" ht="28.5">
      <c r="A3" s="3293"/>
      <c r="B3" s="3293"/>
      <c r="C3" s="3293"/>
      <c r="D3" s="3294"/>
      <c r="E3" s="32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4" t="s">
        <v>55</v>
      </c>
      <c r="B9" s="3294"/>
      <c r="C9" s="32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0" zoomScaleSheetLayoutView="80" workbookViewId="0">
      <selection activeCell="C14" sqref="C14"/>
    </sheetView>
  </sheetViews>
  <sheetFormatPr defaultColWidth="9.125" defaultRowHeight="14.25"/>
  <cols>
    <col min="1" max="1" width="12.125" style="1825" customWidth="1"/>
    <col min="2" max="2" width="10.1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5.125" style="2876" customWidth="1"/>
    <col min="11" max="16" width="10" style="1825" customWidth="1"/>
    <col min="17" max="17" width="2.625" style="1825" customWidth="1"/>
    <col min="18" max="18" width="9.375" style="1825" bestFit="1" customWidth="1"/>
    <col min="19" max="19" width="10.5" style="1825" bestFit="1" customWidth="1"/>
    <col min="20" max="16384" width="9.1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304" t="s">
        <v>1816</v>
      </c>
      <c r="B2" s="3304"/>
      <c r="C2" s="3304"/>
      <c r="D2" s="904" t="s">
        <v>1792</v>
      </c>
      <c r="E2" s="1826" t="s">
        <v>1793</v>
      </c>
      <c r="F2" s="2886"/>
      <c r="G2" s="2877"/>
      <c r="H2" s="2878"/>
      <c r="I2" s="2550" t="s">
        <v>1817</v>
      </c>
      <c r="J2" s="2886"/>
      <c r="K2" s="2886"/>
      <c r="L2" s="2886"/>
      <c r="M2" s="2886"/>
      <c r="N2" s="2888"/>
      <c r="O2" s="2886"/>
      <c r="P2" s="2886"/>
    </row>
    <row r="3" spans="1:16" ht="15.75" thickBot="1">
      <c r="A3" s="3305" t="s">
        <v>1790</v>
      </c>
      <c r="B3" s="3305"/>
      <c r="C3" s="3305"/>
      <c r="D3" s="46">
        <f>'数据-基础表'!AY6</f>
        <v>0</v>
      </c>
      <c r="E3" s="46">
        <f>'数据-基础表'!AZ5</f>
        <v>445.5</v>
      </c>
      <c r="F3" s="2886"/>
      <c r="G3" s="1307"/>
      <c r="H3" s="1157" t="s">
        <v>1791</v>
      </c>
      <c r="I3" s="964" t="e">
        <f>ROUND('数据-基础表'!B3/'数据-基础表'!A3,2)</f>
        <v>#DIV/0!</v>
      </c>
      <c r="J3" s="2886"/>
      <c r="K3" s="2886"/>
      <c r="L3" s="2886"/>
      <c r="M3" s="2886"/>
      <c r="N3" s="2888"/>
      <c r="O3" s="2886"/>
      <c r="P3" s="2886"/>
    </row>
    <row r="4" spans="1:16" ht="15">
      <c r="A4" s="3306"/>
      <c r="B4" s="3307"/>
      <c r="C4" s="3308"/>
      <c r="D4" s="1828" t="s">
        <v>1792</v>
      </c>
      <c r="E4" s="1829" t="s">
        <v>1793</v>
      </c>
      <c r="F4" s="2886"/>
      <c r="G4" s="2879" t="s">
        <v>1818</v>
      </c>
      <c r="H4" s="1157" t="s">
        <v>1798</v>
      </c>
      <c r="I4" s="964" t="e">
        <f>ROUND(SUMIF('数据-基础表'!I9:AS9,"地上",'数据-基础表'!I5:AS5)/'数据-基础表'!A3,2)</f>
        <v>#DIV/0!</v>
      </c>
      <c r="J4" s="3209"/>
      <c r="K4" s="3210"/>
      <c r="L4" s="3209"/>
      <c r="M4" s="2886"/>
      <c r="N4" s="2888"/>
      <c r="O4" s="2886"/>
      <c r="P4" s="2886"/>
    </row>
    <row r="5" spans="1:16">
      <c r="A5" s="47" t="s">
        <v>1794</v>
      </c>
      <c r="B5" s="3309" t="s">
        <v>1795</v>
      </c>
      <c r="C5" s="3309"/>
      <c r="D5" s="48">
        <f>ROUND($D$3*E5/$E$3,2)</f>
        <v>0</v>
      </c>
      <c r="E5" s="49">
        <f>SUMIF('数据-基础表'!$11:$11,"住宅",'数据-基础表'!$5:$5)</f>
        <v>0</v>
      </c>
      <c r="F5" s="2886"/>
      <c r="G5" s="1307"/>
      <c r="H5" s="1157" t="s">
        <v>1791</v>
      </c>
      <c r="I5" s="964" t="e">
        <f>ROUND(E31/D31,2)</f>
        <v>#DIV/0!</v>
      </c>
      <c r="J5" s="3209"/>
      <c r="K5" s="3209"/>
      <c r="L5" s="3209"/>
      <c r="M5" s="2886"/>
      <c r="N5" s="2886"/>
      <c r="O5" s="2886"/>
      <c r="P5" s="2886"/>
    </row>
    <row r="6" spans="1:16" ht="15" thickBot="1">
      <c r="A6" s="1831"/>
      <c r="B6" s="3309" t="s">
        <v>1796</v>
      </c>
      <c r="C6" s="3309"/>
      <c r="D6" s="48">
        <f>ROUND($D$3*E6/$E$3,2)</f>
        <v>0</v>
      </c>
      <c r="E6" s="49">
        <f>E3-E5</f>
        <v>445.5</v>
      </c>
      <c r="F6" s="2886"/>
      <c r="G6" s="2880" t="s">
        <v>1797</v>
      </c>
      <c r="H6" s="1308" t="s">
        <v>1798</v>
      </c>
      <c r="I6" s="2881" t="e">
        <f>ROUND(F31/D31,2)</f>
        <v>#DIV/0!</v>
      </c>
      <c r="J6" s="3209"/>
      <c r="K6" s="3209"/>
      <c r="L6" s="3209"/>
      <c r="M6" s="2886"/>
      <c r="N6" s="2886"/>
      <c r="O6" s="2886"/>
      <c r="P6" s="2886"/>
    </row>
    <row r="7" spans="1:16" ht="15.75" thickBot="1">
      <c r="A7" s="3301"/>
      <c r="B7" s="3302"/>
      <c r="C7" s="3303"/>
      <c r="D7" s="1828" t="s">
        <v>1792</v>
      </c>
      <c r="E7" s="1832" t="s">
        <v>1799</v>
      </c>
      <c r="F7" s="2886"/>
      <c r="G7" s="2882" t="s">
        <v>1800</v>
      </c>
      <c r="H7" s="2883"/>
      <c r="I7" s="2884" t="e">
        <f>I6</f>
        <v>#DIV/0!</v>
      </c>
      <c r="J7" s="3209"/>
      <c r="K7" s="3209"/>
      <c r="L7" s="3209"/>
      <c r="M7" s="2886"/>
      <c r="N7" s="2886"/>
      <c r="O7" s="2886"/>
      <c r="P7" s="2886"/>
    </row>
    <row r="8" spans="1:16">
      <c r="A8" s="47" t="s">
        <v>1801</v>
      </c>
      <c r="B8" s="50" t="s">
        <v>1802</v>
      </c>
      <c r="C8" s="48" t="s">
        <v>1803</v>
      </c>
      <c r="D8" s="48">
        <f t="shared" ref="D8:D15" si="0">ROUND($D$3*E8/$E$3,2)</f>
        <v>0</v>
      </c>
      <c r="E8" s="51">
        <f>SUMIF('数据-基础表'!BB10:BK10,"地上",'数据-基础表'!BB5:BK5)</f>
        <v>445.5</v>
      </c>
      <c r="F8" s="2886"/>
      <c r="G8" s="2887"/>
      <c r="H8" s="2887"/>
      <c r="I8" s="2886"/>
      <c r="J8" s="3209"/>
      <c r="K8" s="3209"/>
      <c r="L8" s="3209"/>
      <c r="M8" s="2886"/>
      <c r="N8" s="2886"/>
      <c r="O8" s="2886"/>
      <c r="P8" s="2886"/>
    </row>
    <row r="9" spans="1:16">
      <c r="A9" s="1833"/>
      <c r="B9" s="1834"/>
      <c r="C9" s="48" t="s">
        <v>1804</v>
      </c>
      <c r="D9" s="48">
        <f t="shared" si="0"/>
        <v>0</v>
      </c>
      <c r="E9" s="52">
        <v>0</v>
      </c>
      <c r="F9" s="2886"/>
      <c r="G9" s="2887"/>
      <c r="H9" s="2887"/>
      <c r="I9" s="2886"/>
      <c r="J9" s="3210"/>
      <c r="K9" s="3209"/>
      <c r="L9" s="3209"/>
      <c r="M9" s="2886"/>
      <c r="N9" s="2886"/>
      <c r="O9" s="2886"/>
      <c r="P9" s="2886"/>
    </row>
    <row r="10" spans="1:16">
      <c r="A10" s="1833"/>
      <c r="B10" s="1834"/>
      <c r="C10" s="48" t="s">
        <v>1813</v>
      </c>
      <c r="D10" s="48">
        <f t="shared" si="0"/>
        <v>0</v>
      </c>
      <c r="E10" s="51">
        <f>SUMPRODUCT(('数据-基础表'!BB10:BK10="地下")*('数据-基础表'!BB11:BK11="商业")*('数据-基础表'!BB5:BK5))</f>
        <v>0</v>
      </c>
      <c r="F10" s="2886"/>
      <c r="G10" s="2887"/>
      <c r="H10" s="2887"/>
      <c r="I10" s="2886"/>
      <c r="J10" s="3209"/>
      <c r="K10" s="3209"/>
      <c r="L10" s="3209"/>
      <c r="M10" s="2886"/>
      <c r="N10" s="2886"/>
      <c r="O10" s="2886"/>
      <c r="P10" s="2886"/>
    </row>
    <row r="11" spans="1:16">
      <c r="A11" s="1833"/>
      <c r="B11" s="1834"/>
      <c r="C11" s="48" t="s">
        <v>1805</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3"/>
      <c r="B12" s="1834"/>
      <c r="C12" s="48" t="s">
        <v>1806</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3"/>
      <c r="B13" s="1834"/>
      <c r="C13" s="48" t="s">
        <v>1807</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3"/>
      <c r="B14" s="1834"/>
      <c r="C14" s="48" t="s">
        <v>1819</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3"/>
      <c r="B15" s="1834"/>
      <c r="C15" s="48" t="s">
        <v>1814</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1"/>
      <c r="B16" s="1834"/>
      <c r="C16" s="50" t="s">
        <v>1808</v>
      </c>
      <c r="D16" s="50">
        <f>SUM(D8:D15)</f>
        <v>0</v>
      </c>
      <c r="E16" s="53">
        <f>SUM(E8:E15)</f>
        <v>445.5</v>
      </c>
      <c r="F16" s="2886"/>
      <c r="G16" s="2887"/>
      <c r="H16" s="1835" t="s">
        <v>1820</v>
      </c>
      <c r="I16" s="1836"/>
      <c r="J16" s="1301"/>
      <c r="K16" s="3298" t="s">
        <v>1820</v>
      </c>
      <c r="L16" s="3299"/>
      <c r="M16" s="3299"/>
      <c r="N16" s="3299"/>
      <c r="O16" s="3299"/>
      <c r="P16" s="3300"/>
    </row>
    <row r="17" spans="1:19" ht="15">
      <c r="A17" s="1837" t="s">
        <v>1821</v>
      </c>
      <c r="B17" s="1838" t="s">
        <v>1822</v>
      </c>
      <c r="C17" s="1839" t="s">
        <v>1823</v>
      </c>
      <c r="D17" s="1840" t="s">
        <v>1811</v>
      </c>
      <c r="E17" s="1841" t="s">
        <v>1812</v>
      </c>
      <c r="F17" s="1842"/>
      <c r="G17" s="1843"/>
      <c r="H17" s="1844" t="s">
        <v>1824</v>
      </c>
      <c r="I17" s="1845" t="s">
        <v>1809</v>
      </c>
      <c r="J17" s="1301"/>
      <c r="K17" s="3295" t="s">
        <v>1825</v>
      </c>
      <c r="L17" s="3296"/>
      <c r="M17" s="3297"/>
      <c r="N17" s="3295" t="s">
        <v>1826</v>
      </c>
      <c r="O17" s="3296"/>
      <c r="P17" s="3297"/>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120" t="s">
        <v>3313</v>
      </c>
      <c r="D19" s="48">
        <f>ROUND($D$3*E19/$E$3,2)</f>
        <v>0</v>
      </c>
      <c r="E19" s="56">
        <f t="shared" ref="E19:E26" si="1">SUM(F19:G19)</f>
        <v>445.5</v>
      </c>
      <c r="F19" s="3026">
        <f>'数据-基础表'!I5</f>
        <v>445.5</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445.5</v>
      </c>
    </row>
    <row r="20" spans="1:19">
      <c r="A20" s="1858"/>
      <c r="B20" s="50" t="s">
        <v>1838</v>
      </c>
      <c r="C20" s="1855"/>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1838</v>
      </c>
      <c r="C21" s="1855"/>
      <c r="D21" s="48">
        <f t="shared" si="6"/>
        <v>0</v>
      </c>
      <c r="E21" s="56">
        <f t="shared" si="1"/>
        <v>0</v>
      </c>
      <c r="F21" s="3026"/>
      <c r="G21" s="3027"/>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1838</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1838</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1838</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1838</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1838</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1839</v>
      </c>
      <c r="D27" s="1302">
        <f>SUM(D19:D26)</f>
        <v>0</v>
      </c>
      <c r="E27" s="1303">
        <f>IF(SUM(E19:E26)='数据-基础表'!BA5,SUM(E19:E26),IF(F27="地上面积有误","面积有误","地下面积有误"))</f>
        <v>445.5</v>
      </c>
      <c r="F27" s="1302">
        <f>IF(SUM(F19:F26)=E8,SUM(F19:F26),"地上面积有误")</f>
        <v>445.5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445.5</v>
      </c>
    </row>
    <row r="28" spans="1:19">
      <c r="A28" s="1858"/>
      <c r="B28" s="50" t="s">
        <v>1840</v>
      </c>
      <c r="C28" s="1169" t="s">
        <v>1841</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8"/>
      <c r="B29" s="50" t="s">
        <v>1840</v>
      </c>
      <c r="C29" s="1862" t="s">
        <v>1842</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8"/>
      <c r="B30" s="50"/>
      <c r="C30" s="1863" t="s">
        <v>1839</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4"/>
      <c r="B31" s="1865"/>
      <c r="C31" s="944" t="s">
        <v>1843</v>
      </c>
      <c r="D31" s="685">
        <f>D27+D30</f>
        <v>0</v>
      </c>
      <c r="E31" s="685">
        <f>E27+E30</f>
        <v>445.5</v>
      </c>
      <c r="F31" s="686">
        <f>F27+F30</f>
        <v>445.5</v>
      </c>
      <c r="G31" s="687">
        <f>G27+G30</f>
        <v>0</v>
      </c>
      <c r="H31" s="2886"/>
      <c r="I31" s="2886"/>
      <c r="J31" s="2886"/>
      <c r="K31" s="2886"/>
      <c r="L31" s="2886"/>
      <c r="M31" s="2886"/>
      <c r="N31" s="2886"/>
      <c r="O31" s="2886"/>
      <c r="P31" s="2886"/>
    </row>
    <row r="32" spans="1:19">
      <c r="A32" s="1830"/>
      <c r="B32" s="1830" t="s">
        <v>1844</v>
      </c>
      <c r="C32" s="1830"/>
      <c r="D32" s="1830"/>
      <c r="E32" s="1184">
        <f>SUMIF(C19:C26,"*住宅*",E19:E26)</f>
        <v>0</v>
      </c>
      <c r="F32" s="1830"/>
      <c r="G32" s="1830"/>
      <c r="H32" s="2886"/>
      <c r="I32" s="2886"/>
      <c r="J32" s="2886"/>
      <c r="K32" s="2886"/>
      <c r="L32" s="2886"/>
      <c r="M32" s="2886"/>
      <c r="N32" s="2886"/>
      <c r="O32" s="2886"/>
      <c r="P32" s="2886"/>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V6" activePane="bottomRight" state="frozen"/>
      <selection activeCell="C50" sqref="C50"/>
      <selection pane="topRight" activeCell="C50" sqref="C50"/>
      <selection pane="bottomLeft" activeCell="C50" sqref="C50"/>
      <selection pane="bottomRight" activeCell="AE20" sqref="AE20"/>
    </sheetView>
  </sheetViews>
  <sheetFormatPr defaultColWidth="13.625" defaultRowHeight="12.75"/>
  <cols>
    <col min="1" max="1" width="20.875" style="1933" customWidth="1"/>
    <col min="2" max="2" width="12" style="1870" customWidth="1"/>
    <col min="3" max="3" width="12.62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625" style="1870" customWidth="1"/>
    <col min="31" max="31" width="8" style="1870" customWidth="1"/>
    <col min="32" max="33" width="7.125" style="1870" customWidth="1"/>
    <col min="34" max="34" width="13.5" style="1870" customWidth="1"/>
    <col min="35" max="39" width="8" style="1870" customWidth="1"/>
    <col min="40" max="40" width="13.625" style="1869"/>
    <col min="41" max="41" width="11.625" style="1869" customWidth="1"/>
    <col min="42" max="42" width="9.625" style="1869" customWidth="1"/>
    <col min="43" max="67" width="13.625" style="1869"/>
    <col min="68" max="16384" width="13.62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6" customFormat="1" ht="15.75" thickBot="1">
      <c r="A2" s="1871" t="s">
        <v>1846</v>
      </c>
      <c r="B2" s="1176">
        <f>项目基本情况!D3</f>
        <v>44959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2"/>
      <c r="AO2" s="2902"/>
      <c r="AP2" s="2902"/>
      <c r="AQ2" s="2902"/>
      <c r="AR2" s="2902"/>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2"/>
      <c r="AO3" s="2902"/>
      <c r="AP3" s="2902"/>
      <c r="AQ3" s="2902"/>
      <c r="AR3" s="2902"/>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85"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2"/>
      <c r="AO4" s="2902"/>
      <c r="AP4" s="2902"/>
      <c r="AQ4" s="2902"/>
      <c r="AR4" s="2902"/>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0.5">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3201</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55870</v>
      </c>
      <c r="F6" s="68">
        <f>SUMIF(项目基本情况!D$12:I$12,C6,项目基本情况!D$15:I$15)</f>
        <v>29.89</v>
      </c>
      <c r="G6" s="69">
        <f>IF(ISERROR(ROUND(POWER(1+H6,D6-F6)*(POWER(1+H6,F6)-1)/(POWER(1+H6,D6)-1),3)),0,ROUND(POWER(1+H6,D6-F6)*(POWER(1+H6,F6)-1)/(POWER(1+H6,D6)-1),3))</f>
        <v>0</v>
      </c>
      <c r="H6" s="741"/>
      <c r="I6" s="741"/>
      <c r="J6" s="70"/>
      <c r="K6" s="1161">
        <f>SUMIF('数据-汇总表'!C$19:C$33,A6,'数据-汇总表'!E$19:E$33)</f>
        <v>445.5</v>
      </c>
      <c r="L6" s="742"/>
      <c r="M6" s="71">
        <f t="shared" ref="M6:M14" si="0">ROUND(K6*L6/10000,0)</f>
        <v>0</v>
      </c>
      <c r="N6" s="740"/>
      <c r="O6" s="71" t="str">
        <f>IF($N$5="成新度","——",ROUND(M6*N6,0))</f>
        <v>——</v>
      </c>
      <c r="P6" s="72" t="str">
        <f>IF($N$5="成新度","——",M6-O6)</f>
        <v>——</v>
      </c>
      <c r="Q6" s="743"/>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f>'数据-汇总表'!F19</f>
        <v>445.5</v>
      </c>
      <c r="AI6" s="81">
        <v>1</v>
      </c>
      <c r="AJ6" s="82"/>
      <c r="AK6" s="83"/>
      <c r="AL6" s="84"/>
      <c r="AM6" s="85"/>
      <c r="AN6" s="1903"/>
      <c r="AO6" s="55" t="e">
        <f ca="1">SUMIF(INDIRECT("'"&amp;AN6&amp;"'"&amp;"!A:A"),"总价",INDIRECT("'"&amp;AN6&amp;"'"&amp;"!B:B"))</f>
        <v>#REF!</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0"/>
      <c r="AO14" s="2902"/>
      <c r="AP14" s="2902"/>
      <c r="AQ14" s="2902"/>
      <c r="AR14" s="2902"/>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0"/>
      <c r="AO15" s="2902"/>
      <c r="AP15" s="2902"/>
      <c r="AQ15" s="2902"/>
      <c r="AR15" s="2902"/>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t="e">
        <f>ROUND(SUMPRODUCT(G6:G13,K6:K13)/SUMPRODUCT((G6:G13&gt;0)*(K6:K13)),3)</f>
        <v>#DIV/0!</v>
      </c>
      <c r="H16" s="95" t="e">
        <f>ROUND(SUMPRODUCT(H6:H13,K6:K13)/SUMPRODUCT((H6:H13&gt;0)*(K6:K13)),3)</f>
        <v>#DIV/0!</v>
      </c>
      <c r="I16" s="96"/>
      <c r="J16" s="96"/>
      <c r="K16" s="97">
        <f>SUM(K6:K15)</f>
        <v>445.5</v>
      </c>
      <c r="L16" s="98">
        <f>ROUND(M16*10000/SUM(K6:K14),0)</f>
        <v>0</v>
      </c>
      <c r="M16" s="98">
        <f>SUM(M6:M14)</f>
        <v>0</v>
      </c>
      <c r="N16" s="99" t="e">
        <f>ROUND(SUMPRODUCT(M6:M14,N6:N14)/M16,3)</f>
        <v>#DIV/0!</v>
      </c>
      <c r="O16" s="98">
        <f>SUM(O6:O14)</f>
        <v>0</v>
      </c>
      <c r="P16" s="98">
        <f>SUM(P6:P14)</f>
        <v>0</v>
      </c>
      <c r="Q16" s="100" t="e">
        <f>ROUND(SUMPRODUCT(Q6:Q13,K6:K13)/SUMPRODUCT((Q6:Q13&gt;0)*(K6:K13)),2)</f>
        <v>#DIV/0!</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1895</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10" t="s">
        <v>1896</v>
      </c>
      <c r="B19" s="108">
        <v>0</v>
      </c>
      <c r="C19" s="3030" t="s">
        <v>3049</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1" t="s">
        <v>1897</v>
      </c>
      <c r="B20" s="109">
        <v>2</v>
      </c>
      <c r="C20" s="3031" t="s">
        <v>3047</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2" t="s">
        <v>1898</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1" t="s">
        <v>1899</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2" t="s">
        <v>1900</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3" t="s">
        <v>1901</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4"/>
      <c r="B25" s="1875"/>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1" t="s">
        <v>1902</v>
      </c>
      <c r="B26" s="1914" t="s">
        <v>1903</v>
      </c>
      <c r="C26" s="2906" t="s">
        <v>1904</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6" customFormat="1" ht="27.75">
      <c r="A27" s="1915" t="s">
        <v>1905</v>
      </c>
      <c r="B27" s="112">
        <v>160</v>
      </c>
      <c r="C27" s="3032" t="s">
        <v>3051</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v>200</v>
      </c>
      <c r="C29" s="3033" t="s">
        <v>3037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0.03</v>
      </c>
      <c r="C33" s="3034" t="s">
        <v>3038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0.1</v>
      </c>
      <c r="C34" s="3034" t="s">
        <v>3039</v>
      </c>
      <c r="D34" s="2913" t="s">
        <v>3048</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34" t="s">
        <v>3040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34" t="s">
        <v>3041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9" t="s">
        <v>1915</v>
      </c>
      <c r="B37" s="120">
        <v>0.02</v>
      </c>
      <c r="C37" s="3034" t="s">
        <v>3042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7" t="s">
        <v>1916</v>
      </c>
      <c r="B38" s="118">
        <v>0.02</v>
      </c>
      <c r="C38" s="3034" t="s">
        <v>3042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20" t="s">
        <v>1917</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0" t="s">
        <v>1918</v>
      </c>
      <c r="B40" s="1210">
        <f ca="1">存贷款利率!G1</f>
        <v>4.7500000000000001E-2</v>
      </c>
      <c r="C40" s="3034" t="s">
        <v>3043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5"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1"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1"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2" t="s">
        <v>1922</v>
      </c>
      <c r="B44" s="124">
        <v>7.0000000000000007E-2</v>
      </c>
      <c r="C44" s="3034" t="s">
        <v>3052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2" t="s">
        <v>1923</v>
      </c>
      <c r="B45" s="122">
        <v>0.03</v>
      </c>
      <c r="C45" s="3033" t="s">
        <v>3044</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2" t="s">
        <v>1924</v>
      </c>
      <c r="B46" s="122">
        <v>0.02</v>
      </c>
      <c r="C46" s="3033" t="s">
        <v>3045</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3" t="s">
        <v>1925</v>
      </c>
      <c r="B47" s="125"/>
      <c r="C47" s="3036" t="s">
        <v>3053</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4" t="s">
        <v>1926</v>
      </c>
      <c r="B48" s="126">
        <v>0.03</v>
      </c>
      <c r="C48" s="3033" t="s">
        <v>3044</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0" t="s">
        <v>1927</v>
      </c>
      <c r="B49" s="122">
        <v>5.0000000000000001E-4</v>
      </c>
      <c r="C49" s="3033" t="s">
        <v>3046</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5"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8"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5" t="s">
        <v>1930</v>
      </c>
      <c r="B52" s="129">
        <f>SUMIF(A54:A63,B53,B54:B63)</f>
        <v>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7" t="s">
        <v>1931</v>
      </c>
      <c r="B53" s="1926" t="s">
        <v>137</v>
      </c>
      <c r="C53" s="2888" t="s">
        <v>1932</v>
      </c>
      <c r="D53" s="3035" t="s">
        <v>3050</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7" t="s">
        <v>1933</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7" t="s">
        <v>1934</v>
      </c>
      <c r="B55" s="80">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7" t="s">
        <v>1935</v>
      </c>
      <c r="B56" s="80">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7" t="s">
        <v>1936</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7"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7"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7"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7"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7"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8"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74" customWidth="1"/>
    <col min="2" max="2" width="24.5" style="1759" customWidth="1"/>
    <col min="3" max="3" width="24.5" style="2736" customWidth="1"/>
    <col min="4" max="4" width="2.625" style="2736" customWidth="1"/>
    <col min="5" max="5" width="5.875" style="2736" customWidth="1"/>
    <col min="6" max="6" width="27" style="1759"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7"/>
    <col min="30" max="16384" width="9" style="1874"/>
  </cols>
  <sheetData>
    <row r="1" spans="1:29" s="2683" customFormat="1" ht="18.75" thickBot="1">
      <c r="A1" s="3310" t="s">
        <v>3029</v>
      </c>
      <c r="B1" s="3311"/>
      <c r="C1" s="3311"/>
      <c r="D1" s="3311"/>
      <c r="E1" s="3311"/>
      <c r="F1" s="3311"/>
      <c r="G1" s="331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3024</v>
      </c>
      <c r="D2" s="2687"/>
      <c r="E2" s="2684"/>
      <c r="F2" s="2688"/>
      <c r="G2" s="2686" t="s">
        <v>3025</v>
      </c>
      <c r="H2" s="907"/>
      <c r="I2" s="907"/>
      <c r="J2" s="907"/>
      <c r="K2" s="907"/>
      <c r="L2" s="907"/>
      <c r="M2" s="907"/>
      <c r="N2" s="907"/>
      <c r="O2" s="907"/>
      <c r="P2" s="907"/>
      <c r="Q2" s="907"/>
      <c r="R2" s="907"/>
    </row>
    <row r="3" spans="1:29" ht="48">
      <c r="A3" s="2667" t="s">
        <v>3026</v>
      </c>
      <c r="B3" s="2689" t="s">
        <v>2995</v>
      </c>
      <c r="C3" s="2690" t="s">
        <v>3027</v>
      </c>
      <c r="D3" s="2691"/>
      <c r="E3" s="2668" t="s">
        <v>3026</v>
      </c>
      <c r="F3" s="2692" t="s">
        <v>2996</v>
      </c>
      <c r="G3" s="2693" t="s">
        <v>3028</v>
      </c>
      <c r="H3" s="907"/>
      <c r="I3" s="907"/>
      <c r="J3" s="907"/>
      <c r="K3" s="907"/>
      <c r="L3" s="907"/>
      <c r="M3" s="907"/>
      <c r="N3" s="907"/>
      <c r="O3" s="907"/>
      <c r="P3" s="907"/>
      <c r="Q3" s="907"/>
      <c r="R3" s="907"/>
    </row>
    <row r="4" spans="1:29" ht="36.75">
      <c r="A4" s="2668"/>
      <c r="B4" s="329" t="s">
        <v>2997</v>
      </c>
      <c r="C4" s="2694" t="s">
        <v>2998</v>
      </c>
      <c r="D4" s="2691"/>
      <c r="E4" s="2695"/>
      <c r="F4" s="1559" t="s">
        <v>2999</v>
      </c>
      <c r="G4" s="2696" t="s">
        <v>3000</v>
      </c>
      <c r="H4" s="907"/>
      <c r="I4" s="907"/>
      <c r="J4" s="907"/>
      <c r="K4" s="907"/>
      <c r="L4" s="907"/>
      <c r="M4" s="907"/>
      <c r="N4" s="907"/>
      <c r="O4" s="907"/>
      <c r="P4" s="907"/>
      <c r="Q4" s="907"/>
      <c r="R4" s="907"/>
    </row>
    <row r="5" spans="1:29" ht="36.75">
      <c r="A5" s="2668"/>
      <c r="B5" s="329" t="s">
        <v>3001</v>
      </c>
      <c r="C5" s="3621" t="s">
        <v>3002</v>
      </c>
      <c r="D5" s="2691"/>
      <c r="E5" s="2695"/>
      <c r="F5" s="329" t="s">
        <v>3003</v>
      </c>
      <c r="G5" s="2696" t="s">
        <v>3004</v>
      </c>
      <c r="H5" s="907"/>
      <c r="I5" s="907"/>
      <c r="J5" s="907"/>
      <c r="K5" s="907"/>
      <c r="L5" s="907"/>
      <c r="M5" s="907"/>
      <c r="N5" s="907"/>
      <c r="O5" s="907"/>
      <c r="P5" s="907"/>
      <c r="Q5" s="907"/>
      <c r="R5" s="907"/>
    </row>
    <row r="6" spans="1:29" ht="71.25" customHeight="1">
      <c r="A6" s="2668"/>
      <c r="B6" s="329" t="s">
        <v>3005</v>
      </c>
      <c r="C6" s="3622" t="s">
        <v>3351</v>
      </c>
      <c r="D6" s="2691"/>
      <c r="E6" s="2695"/>
      <c r="F6" s="329" t="s">
        <v>3006</v>
      </c>
      <c r="G6" s="2696" t="s">
        <v>3007</v>
      </c>
      <c r="H6" s="907"/>
      <c r="I6" s="907"/>
      <c r="J6" s="907"/>
      <c r="K6" s="907"/>
      <c r="L6" s="907"/>
      <c r="M6" s="907"/>
      <c r="N6" s="907"/>
      <c r="O6" s="907"/>
      <c r="P6" s="907"/>
      <c r="Q6" s="907"/>
      <c r="R6" s="907"/>
    </row>
    <row r="7" spans="1:29" ht="24.75" thickBot="1">
      <c r="A7" s="2668"/>
      <c r="B7" s="329" t="s">
        <v>3003</v>
      </c>
      <c r="C7" s="2696" t="s">
        <v>3004</v>
      </c>
      <c r="D7" s="2697"/>
      <c r="E7" s="2698"/>
      <c r="F7" s="2699" t="s">
        <v>3008</v>
      </c>
      <c r="G7" s="2700" t="s">
        <v>3009</v>
      </c>
      <c r="H7" s="907"/>
      <c r="I7" s="907"/>
      <c r="J7" s="907"/>
      <c r="K7" s="907"/>
      <c r="L7" s="907"/>
      <c r="M7" s="907"/>
      <c r="N7" s="907"/>
      <c r="O7" s="907"/>
      <c r="P7" s="907"/>
      <c r="Q7" s="907"/>
      <c r="R7" s="907"/>
    </row>
    <row r="8" spans="1:29">
      <c r="A8" s="2668"/>
      <c r="B8" s="329" t="s">
        <v>3006</v>
      </c>
      <c r="C8" s="2696" t="s">
        <v>3007</v>
      </c>
      <c r="D8" s="2697"/>
      <c r="E8" s="2697"/>
      <c r="F8" s="2701"/>
      <c r="G8" s="2701"/>
      <c r="H8" s="907"/>
      <c r="I8" s="907"/>
      <c r="J8" s="907"/>
      <c r="K8" s="907"/>
      <c r="L8" s="907"/>
      <c r="M8" s="907"/>
      <c r="N8" s="907"/>
      <c r="O8" s="907"/>
      <c r="P8" s="907"/>
      <c r="Q8" s="907"/>
      <c r="R8" s="907"/>
    </row>
    <row r="9" spans="1:29" ht="24">
      <c r="A9" s="2668"/>
      <c r="B9" s="329" t="s">
        <v>3010</v>
      </c>
      <c r="C9" s="2694" t="s">
        <v>3011</v>
      </c>
      <c r="D9" s="2691"/>
      <c r="E9" s="2697"/>
      <c r="F9" s="2701"/>
      <c r="G9" s="2701"/>
      <c r="H9" s="907"/>
      <c r="I9" s="907"/>
      <c r="J9" s="907"/>
      <c r="K9" s="907"/>
      <c r="L9" s="907"/>
      <c r="M9" s="907"/>
      <c r="N9" s="907"/>
      <c r="O9" s="907"/>
      <c r="P9" s="907"/>
      <c r="Q9" s="907"/>
      <c r="R9" s="907"/>
    </row>
    <row r="10" spans="1:29" s="2707" customFormat="1" ht="15" thickBot="1">
      <c r="A10" s="2669"/>
      <c r="B10" s="2702" t="s">
        <v>3012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3030</v>
      </c>
      <c r="B13" s="2710"/>
      <c r="C13" s="2710"/>
      <c r="D13" s="2708"/>
      <c r="E13" s="2710"/>
      <c r="F13" s="2710"/>
      <c r="G13" s="2710"/>
    </row>
    <row r="14" spans="1:29" ht="15" thickBot="1">
      <c r="A14" s="2720"/>
      <c r="B14" s="2720"/>
      <c r="C14" s="2721" t="s">
        <v>3013</v>
      </c>
      <c r="D14" s="2691"/>
      <c r="E14" s="2722"/>
      <c r="F14" s="2722"/>
      <c r="G14" s="2686" t="s">
        <v>3014</v>
      </c>
    </row>
    <row r="15" spans="1:29" ht="51">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8.25">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8.25">
      <c r="A17" s="2672"/>
      <c r="B17" s="2726" t="s">
        <v>3001</v>
      </c>
      <c r="C17" s="2727" t="str">
        <f>C5</f>
        <v>估价对象位于XX商圈，周边办公楼项目较多，入驻率高，办公集聚程度较好</v>
      </c>
      <c r="D17" s="2697"/>
      <c r="E17" s="2673"/>
      <c r="F17" s="2728" t="s">
        <v>3018</v>
      </c>
      <c r="G17" s="2730"/>
    </row>
    <row r="18" spans="1:18" ht="38.25">
      <c r="A18" s="2672"/>
      <c r="B18" s="2728" t="s">
        <v>3005</v>
      </c>
      <c r="C18" s="2729" t="str">
        <f>C6</f>
        <v>好-估价对象临近城市主干道—安定路，临近地铁10号线（安贞门站）有18路、108路、124路、380路、387路等10余条公交线路</v>
      </c>
      <c r="D18" s="2697"/>
      <c r="E18" s="2673"/>
      <c r="F18" s="2728" t="s">
        <v>3008</v>
      </c>
      <c r="G18" s="2729" t="str">
        <f>G7</f>
        <v>该园区内是否有污染型企业，绿化情况，卫生条件，整体环境状况判断</v>
      </c>
    </row>
    <row r="19" spans="1:18" ht="25.5">
      <c r="A19" s="2672"/>
      <c r="B19" s="2728" t="s">
        <v>3019</v>
      </c>
      <c r="C19" s="2730"/>
      <c r="D19" s="2691"/>
      <c r="E19" s="2673"/>
      <c r="F19" s="329" t="s">
        <v>3003</v>
      </c>
      <c r="G19" s="2729" t="str">
        <f>G5</f>
        <v>估价对象所在区域公共配套设施齐备情况</v>
      </c>
    </row>
    <row r="20" spans="1:18" ht="25.5">
      <c r="A20" s="2672"/>
      <c r="B20" s="2728" t="s">
        <v>3020</v>
      </c>
      <c r="C20" s="2727" t="str">
        <f>C9</f>
        <v>区域自然环境：；人文环境；综合评价环境状况一般</v>
      </c>
      <c r="D20" s="2697"/>
      <c r="E20" s="2673"/>
      <c r="F20" s="329" t="s">
        <v>3006</v>
      </c>
      <c r="G20" s="2729" t="str">
        <f>G6</f>
        <v>估价对象所在区域基础设施水平</v>
      </c>
    </row>
    <row r="21" spans="1:18" ht="25.5">
      <c r="A21" s="2672"/>
      <c r="B21" s="329" t="s">
        <v>3003</v>
      </c>
      <c r="C21" s="2729" t="str">
        <f>C7</f>
        <v>估价对象所在区域公共配套设施齐备情况</v>
      </c>
      <c r="D21" s="2691"/>
      <c r="E21" s="2673"/>
      <c r="F21" s="2728" t="s">
        <v>3021</v>
      </c>
      <c r="G21" s="2731"/>
    </row>
    <row r="22" spans="1:18" ht="13.5" customHeight="1">
      <c r="A22" s="2672"/>
      <c r="B22" s="329" t="s">
        <v>3006</v>
      </c>
      <c r="C22" s="2729" t="str">
        <f>C8</f>
        <v>估价对象所在区域基础设施水平</v>
      </c>
      <c r="D22" s="2691"/>
      <c r="E22" s="2673"/>
      <c r="F22" s="2728" t="s">
        <v>3012</v>
      </c>
      <c r="G22" s="2730"/>
    </row>
    <row r="23" spans="1:18" s="907" customFormat="1" ht="15" thickBot="1">
      <c r="A23" s="2672"/>
      <c r="B23" s="2728" t="s">
        <v>3021</v>
      </c>
      <c r="C23" s="2731"/>
      <c r="D23" s="1929"/>
      <c r="E23" s="2674"/>
      <c r="F23" s="2732" t="s">
        <v>3022</v>
      </c>
      <c r="G23" s="2733"/>
      <c r="H23" s="2717"/>
      <c r="I23" s="2718"/>
      <c r="J23" s="2717"/>
      <c r="K23" s="2717"/>
      <c r="L23" s="2718"/>
      <c r="M23" s="2717"/>
      <c r="N23" s="2717"/>
      <c r="O23" s="2718"/>
      <c r="P23" s="2717"/>
      <c r="Q23" s="2717"/>
      <c r="R23" s="2719"/>
    </row>
    <row r="24" spans="1:18" s="907" customFormat="1" ht="15" thickBot="1">
      <c r="A24" s="2675"/>
      <c r="B24" s="2732" t="s">
        <v>3023</v>
      </c>
      <c r="C24" s="2734">
        <f>C10</f>
        <v>0</v>
      </c>
      <c r="D24" s="1929"/>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90" zoomScaleSheetLayoutView="90" zoomScalePageLayoutView="80" workbookViewId="0">
      <selection activeCell="C4" sqref="C4"/>
    </sheetView>
  </sheetViews>
  <sheetFormatPr defaultColWidth="12.625" defaultRowHeight="21.75" customHeight="1"/>
  <cols>
    <col min="1" max="2" width="12.625" style="1941"/>
    <col min="3" max="3" width="15.125" style="1941" customWidth="1"/>
    <col min="4" max="4" width="17.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t="s">
        <v>27</v>
      </c>
      <c r="D1" s="1935"/>
      <c r="E1" s="1935"/>
      <c r="F1" s="1937" t="s">
        <v>1949</v>
      </c>
      <c r="G1" s="1748" t="s">
        <v>3191</v>
      </c>
      <c r="H1" s="1938" t="str">
        <f>IF(G1="现房","——","估价对象范围")</f>
        <v>——</v>
      </c>
      <c r="I1" s="1939" t="s">
        <v>3202</v>
      </c>
    </row>
    <row r="2" spans="1:12" ht="21.75" customHeight="1" thickBot="1">
      <c r="A2" s="3346" t="str">
        <f>项目基本情况!S2</f>
        <v>北京市房地产</v>
      </c>
      <c r="B2" s="3347"/>
      <c r="C2" s="3347"/>
      <c r="D2" s="3347"/>
      <c r="E2" s="3347"/>
      <c r="F2" s="3347"/>
      <c r="G2" s="3347"/>
      <c r="H2" s="3347"/>
      <c r="I2" s="3348"/>
    </row>
    <row r="3" spans="1:12" ht="12.75">
      <c r="A3" s="3350" t="s">
        <v>1950</v>
      </c>
      <c r="B3" s="3351"/>
      <c r="C3" s="3351"/>
      <c r="D3" s="3351"/>
      <c r="E3" s="3351"/>
      <c r="F3" s="3351"/>
      <c r="G3" s="3351"/>
      <c r="H3" s="3351"/>
      <c r="I3" s="3351"/>
    </row>
    <row r="4" spans="1:12" ht="14.25">
      <c r="A4" s="1942" t="s">
        <v>1951</v>
      </c>
      <c r="B4" s="1943" t="s">
        <v>1952</v>
      </c>
      <c r="C4" s="1944" t="s">
        <v>3203</v>
      </c>
      <c r="D4" s="1944" t="s">
        <v>3056</v>
      </c>
      <c r="E4" s="3352" t="s">
        <v>1953</v>
      </c>
      <c r="F4" s="3353"/>
      <c r="G4" s="3353"/>
      <c r="H4" s="3353"/>
      <c r="I4" s="3354"/>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326" t="s">
        <v>1954</v>
      </c>
      <c r="B5" s="3313">
        <v>25</v>
      </c>
      <c r="C5" s="3329">
        <v>5</v>
      </c>
      <c r="D5" s="3349">
        <f>10-C5</f>
        <v>5</v>
      </c>
      <c r="E5" s="136" t="s">
        <v>1955</v>
      </c>
      <c r="F5" s="1945"/>
      <c r="G5" s="1945"/>
      <c r="H5" s="1945"/>
      <c r="I5" s="1559"/>
    </row>
    <row r="6" spans="1:12" ht="12.75">
      <c r="A6" s="3326"/>
      <c r="B6" s="3313"/>
      <c r="C6" s="3330"/>
      <c r="D6" s="3349"/>
      <c r="E6" s="136" t="s">
        <v>1956</v>
      </c>
      <c r="F6" s="1945"/>
      <c r="G6" s="1945"/>
      <c r="H6" s="1945"/>
      <c r="I6" s="1559"/>
    </row>
    <row r="7" spans="1:12" ht="12.75">
      <c r="A7" s="3326"/>
      <c r="B7" s="3313"/>
      <c r="C7" s="3331"/>
      <c r="D7" s="3349"/>
      <c r="E7" s="136" t="s">
        <v>1957</v>
      </c>
      <c r="F7" s="1945"/>
      <c r="G7" s="1945"/>
      <c r="H7" s="1945"/>
      <c r="I7" s="1559"/>
    </row>
    <row r="8" spans="1:12" ht="12.75">
      <c r="A8" s="3326" t="s">
        <v>1958</v>
      </c>
      <c r="B8" s="3313">
        <v>15</v>
      </c>
      <c r="C8" s="3329"/>
      <c r="D8" s="3349"/>
      <c r="E8" s="136" t="s">
        <v>1959</v>
      </c>
      <c r="F8" s="1945"/>
      <c r="G8" s="1945"/>
      <c r="H8" s="1945"/>
      <c r="I8" s="1559"/>
    </row>
    <row r="9" spans="1:12" ht="12.75">
      <c r="A9" s="3326"/>
      <c r="B9" s="3313"/>
      <c r="C9" s="3331"/>
      <c r="D9" s="3349"/>
      <c r="E9" s="136" t="s">
        <v>1960</v>
      </c>
      <c r="F9" s="1945"/>
      <c r="G9" s="1945"/>
      <c r="H9" s="1945"/>
      <c r="I9" s="1559"/>
    </row>
    <row r="10" spans="1:12" ht="12.75">
      <c r="A10" s="3326" t="s">
        <v>1961</v>
      </c>
      <c r="B10" s="3313">
        <v>15</v>
      </c>
      <c r="C10" s="3329"/>
      <c r="D10" s="3349"/>
      <c r="E10" s="136" t="s">
        <v>1962</v>
      </c>
      <c r="F10" s="1945"/>
      <c r="G10" s="1945"/>
      <c r="H10" s="1945"/>
      <c r="I10" s="1559"/>
    </row>
    <row r="11" spans="1:12" ht="12.75">
      <c r="A11" s="3326"/>
      <c r="B11" s="3313"/>
      <c r="C11" s="3331"/>
      <c r="D11" s="3349"/>
      <c r="E11" s="136" t="s">
        <v>1963</v>
      </c>
      <c r="F11" s="1945"/>
      <c r="G11" s="1945"/>
      <c r="H11" s="1945"/>
      <c r="I11" s="1559"/>
    </row>
    <row r="12" spans="1:12" ht="12.75">
      <c r="A12" s="3326" t="s">
        <v>1964</v>
      </c>
      <c r="B12" s="3313">
        <v>15</v>
      </c>
      <c r="C12" s="3329"/>
      <c r="D12" s="3349"/>
      <c r="E12" s="136" t="s">
        <v>1965</v>
      </c>
      <c r="F12" s="1945"/>
      <c r="G12" s="1945"/>
      <c r="H12" s="1945"/>
      <c r="I12" s="1559"/>
    </row>
    <row r="13" spans="1:12" ht="12.75">
      <c r="A13" s="3326"/>
      <c r="B13" s="3313"/>
      <c r="C13" s="3331"/>
      <c r="D13" s="3349"/>
      <c r="E13" s="136" t="s">
        <v>1966</v>
      </c>
      <c r="F13" s="1945"/>
      <c r="G13" s="1945"/>
      <c r="H13" s="1945"/>
      <c r="I13" s="1559"/>
    </row>
    <row r="14" spans="1:12" ht="12.75">
      <c r="A14" s="3326" t="s">
        <v>1967</v>
      </c>
      <c r="B14" s="3313">
        <v>30</v>
      </c>
      <c r="C14" s="3329"/>
      <c r="D14" s="3349"/>
      <c r="E14" s="136" t="s">
        <v>1968</v>
      </c>
      <c r="F14" s="1945"/>
      <c r="G14" s="1945"/>
      <c r="H14" s="1945"/>
      <c r="I14" s="1559"/>
    </row>
    <row r="15" spans="1:12" ht="12.75">
      <c r="A15" s="3326"/>
      <c r="B15" s="3313"/>
      <c r="C15" s="3330"/>
      <c r="D15" s="3349"/>
      <c r="E15" s="136" t="s">
        <v>1969</v>
      </c>
      <c r="F15" s="1945"/>
      <c r="G15" s="1945"/>
      <c r="H15" s="1945"/>
      <c r="I15" s="1559"/>
    </row>
    <row r="16" spans="1:12" ht="12.75">
      <c r="A16" s="3326"/>
      <c r="B16" s="3313"/>
      <c r="C16" s="3331"/>
      <c r="D16" s="3349"/>
      <c r="E16" s="136" t="s">
        <v>1970</v>
      </c>
      <c r="F16" s="1945"/>
      <c r="G16" s="1945"/>
      <c r="H16" s="1945"/>
      <c r="I16" s="1559"/>
    </row>
    <row r="17" spans="1:36" ht="15">
      <c r="A17" s="1946" t="s">
        <v>1971</v>
      </c>
      <c r="B17" s="60"/>
      <c r="C17" s="137">
        <f>SUM(C5:C16)</f>
        <v>5</v>
      </c>
      <c r="D17" s="137">
        <f>SUM(D5:D16)</f>
        <v>5</v>
      </c>
      <c r="E17" s="134"/>
      <c r="F17" s="134"/>
      <c r="G17" s="134"/>
      <c r="H17" s="134"/>
      <c r="I17" s="134"/>
      <c r="K17" s="308"/>
      <c r="L17" s="308" t="s">
        <v>1972</v>
      </c>
      <c r="M17" s="308" t="s">
        <v>1973</v>
      </c>
    </row>
    <row r="18" spans="1:36" ht="32.1" customHeight="1" thickBot="1">
      <c r="A18" s="1947" t="s">
        <v>1974</v>
      </c>
      <c r="B18" s="1948"/>
      <c r="C18" s="138">
        <f>ROUND(C17/SUM(C17:D17),2)</f>
        <v>0.5</v>
      </c>
      <c r="D18" s="138">
        <f>1-C18</f>
        <v>0.5</v>
      </c>
      <c r="E18" s="3336" t="s">
        <v>2872</v>
      </c>
      <c r="F18" s="3337"/>
      <c r="G18" s="3337"/>
      <c r="H18" s="3337"/>
      <c r="I18" s="3337"/>
      <c r="K18" s="308" t="s">
        <v>1975</v>
      </c>
      <c r="L18" s="308">
        <f>IF(C1="",'数据-汇总表'!E3,SUMIF(项目类型,C1,'数据-汇总表'!E17:E26)+SUMIF(项目类型,C1,'数据-汇总表'!I17:I26))</f>
        <v>0</v>
      </c>
      <c r="M18" s="308">
        <f>IF(C1="",'数据-汇总表'!E3,SUMIF(项目类型,C1,'数据-汇总表'!E17:E26))</f>
        <v>0</v>
      </c>
    </row>
    <row r="19" spans="1:36" ht="15">
      <c r="A19" s="1949" t="s">
        <v>1976</v>
      </c>
      <c r="B19" s="1950" t="s">
        <v>1977</v>
      </c>
      <c r="C19" s="139" t="e">
        <f ca="1">SUMIF(INDIRECT("'"&amp;C4&amp;"'"&amp;"!A:A"),结果表!B19,INDIRECT("'"&amp;C4&amp;"'"&amp;"!B:B"))</f>
        <v>#REF!</v>
      </c>
      <c r="D19" s="140" t="e">
        <f ca="1">SUMIF(INDIRECT("'"&amp;D4&amp;"'"&amp;"!A:A"),结果表!B19,INDIRECT("'"&amp;D4&amp;"'"&amp;"!B:B"))</f>
        <v>#REF!</v>
      </c>
      <c r="E19" s="1949" t="s">
        <v>1978</v>
      </c>
      <c r="F19" s="1950" t="s">
        <v>1977</v>
      </c>
      <c r="G19" s="141" t="e">
        <f ca="1">ROUND(C19*$C$18+D19*$D$18,0)</f>
        <v>#REF!</v>
      </c>
      <c r="H19" s="1951"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2"/>
      <c r="B20" s="1157" t="s">
        <v>1981</v>
      </c>
      <c r="C20" s="142" t="e">
        <f ca="1">SUMIF(INDIRECT("'"&amp;C4&amp;"'"&amp;"!A:A"),结果表!B20,INDIRECT("'"&amp;C4&amp;"'"&amp;"!B:B"))</f>
        <v>#REF!</v>
      </c>
      <c r="D20" s="143" t="e">
        <f ca="1">SUMIF(INDIRECT("'"&amp;D4&amp;"'"&amp;"!A:A"),结果表!B20,INDIRECT("'"&amp;D4&amp;"'"&amp;"!B:B"))</f>
        <v>#REF!</v>
      </c>
      <c r="E20" s="1952"/>
      <c r="F20" s="1157" t="s">
        <v>1981</v>
      </c>
      <c r="G20" s="144" t="e">
        <f ca="1">ROUND(C20*$C$18+D20*$D$18,0)</f>
        <v>#REF!</v>
      </c>
      <c r="H20" s="917" t="s">
        <v>1982</v>
      </c>
      <c r="I20" s="134"/>
    </row>
    <row r="21" spans="1:36" ht="15" customHeight="1" thickBot="1">
      <c r="A21" s="937"/>
      <c r="B21" s="1953" t="s">
        <v>1983</v>
      </c>
      <c r="C21" s="728" t="e">
        <f ca="1">ROUND(C19*10000/L19,0)</f>
        <v>#REF!</v>
      </c>
      <c r="D21" s="729" t="e">
        <f ca="1">ROUND(D19*10000/L19,0)</f>
        <v>#REF!</v>
      </c>
      <c r="E21" s="937"/>
      <c r="F21" s="1953" t="s">
        <v>1983</v>
      </c>
      <c r="G21" s="145" t="e">
        <f ca="1">ROUND(G19*10000/L19,0)</f>
        <v>#REF!</v>
      </c>
      <c r="H21" s="1954" t="s">
        <v>1982</v>
      </c>
      <c r="I21" s="134"/>
    </row>
    <row r="22" spans="1:36" ht="15" thickBot="1">
      <c r="A22" s="1876" t="s">
        <v>1984</v>
      </c>
      <c r="B22" s="1955"/>
      <c r="C22" s="1956"/>
      <c r="D22" s="730" t="e">
        <f ca="1">IF(C19&lt;D19,D19/C19-1,C19/D19-1)</f>
        <v>#REF!</v>
      </c>
      <c r="E22" s="134"/>
      <c r="F22" s="134"/>
      <c r="G22" s="134"/>
      <c r="H22" s="134"/>
      <c r="I22" s="134"/>
    </row>
    <row r="23" spans="1:36" ht="13.5" thickBot="1">
      <c r="A23" s="1935"/>
      <c r="B23" s="1935"/>
      <c r="C23" s="1935"/>
      <c r="D23" s="1935"/>
      <c r="E23" s="134"/>
      <c r="F23" s="134"/>
      <c r="G23" s="134"/>
      <c r="H23" s="134"/>
      <c r="I23" s="134"/>
    </row>
    <row r="24" spans="1:36" ht="14.25">
      <c r="A24" s="3320" t="s">
        <v>1985</v>
      </c>
      <c r="B24" s="1950" t="s">
        <v>1977</v>
      </c>
      <c r="C24" s="141">
        <f>IF(B30=0,0,D30)</f>
        <v>0</v>
      </c>
      <c r="D24" s="1957"/>
      <c r="E24" s="134"/>
      <c r="F24" s="134"/>
      <c r="G24" s="134"/>
      <c r="H24" s="134"/>
      <c r="I24" s="134"/>
    </row>
    <row r="25" spans="1:36" ht="14.25">
      <c r="A25" s="3321"/>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t="e">
        <f ca="1">IF(D32="总价",G19-C24,G20-C25)</f>
        <v>#REF!</v>
      </c>
      <c r="D32" s="1963"/>
      <c r="E32" s="134"/>
      <c r="F32" s="134"/>
      <c r="G32" s="134"/>
      <c r="H32" s="134"/>
      <c r="I32" s="134"/>
    </row>
    <row r="33" spans="1:15" ht="15">
      <c r="A33" s="894" t="s">
        <v>1992</v>
      </c>
      <c r="B33" s="1964"/>
      <c r="C33" s="1965"/>
      <c r="D33" s="1966"/>
      <c r="E33" s="1967" t="s">
        <v>1993</v>
      </c>
      <c r="F33" s="1968" t="str">
        <f>IF(D32="楼面单价","取值（单价）","取值（总价）")</f>
        <v>取值（总价）</v>
      </c>
      <c r="G33" s="134"/>
      <c r="H33" s="134"/>
      <c r="I33" s="134"/>
    </row>
    <row r="34" spans="1:15" ht="15">
      <c r="A34" s="1969"/>
      <c r="B34" s="1970"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1995</v>
      </c>
      <c r="F34" s="1500"/>
      <c r="G34" s="134"/>
      <c r="H34" s="134"/>
      <c r="I34" s="134"/>
    </row>
    <row r="35" spans="1:15" ht="15.75" thickBot="1">
      <c r="A35" s="1972"/>
      <c r="B35" s="1973"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1997</v>
      </c>
      <c r="F35" s="159"/>
      <c r="G35" s="134"/>
      <c r="H35" s="134"/>
      <c r="I35" s="134"/>
    </row>
    <row r="36" spans="1:15" ht="15.75" thickBot="1">
      <c r="A36" s="3340" t="s">
        <v>1998</v>
      </c>
      <c r="B36" s="1975" t="s">
        <v>1999</v>
      </c>
      <c r="C36" s="150"/>
      <c r="D36" s="1976"/>
      <c r="E36" s="1977"/>
      <c r="F36" s="1978"/>
      <c r="G36" s="134"/>
      <c r="H36" s="134"/>
      <c r="I36" s="134"/>
    </row>
    <row r="37" spans="1:15" ht="15.75" thickBot="1">
      <c r="A37" s="3341"/>
      <c r="B37" s="1862" t="s">
        <v>2000</v>
      </c>
      <c r="C37" s="152"/>
      <c r="D37" s="1301"/>
      <c r="E37" s="1301"/>
      <c r="F37" s="1978"/>
      <c r="G37" s="134"/>
      <c r="H37" s="134"/>
      <c r="I37" s="134"/>
    </row>
    <row r="38" spans="1:15" ht="15.75" thickBot="1">
      <c r="A38" s="3342"/>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317" t="s">
        <v>2012</v>
      </c>
      <c r="B45" s="3318"/>
      <c r="C45" s="3319"/>
      <c r="D45" s="160" t="e">
        <f ca="1">ROUND(H101*F45,0)</f>
        <v>#REF!</v>
      </c>
      <c r="E45" s="161" t="s">
        <v>2013</v>
      </c>
      <c r="F45" s="162">
        <v>1</v>
      </c>
      <c r="G45" s="163" t="s">
        <v>2014</v>
      </c>
      <c r="H45" s="134"/>
      <c r="I45" s="134"/>
      <c r="J45" s="3398" t="s">
        <v>2015</v>
      </c>
      <c r="K45" s="3398"/>
      <c r="L45" s="3398"/>
      <c r="M45" s="3398"/>
      <c r="N45" s="3398"/>
      <c r="O45" s="3398"/>
    </row>
    <row r="46" spans="1:15" ht="14.25" customHeight="1">
      <c r="A46" s="3314" t="s">
        <v>2016</v>
      </c>
      <c r="B46" s="3315"/>
      <c r="C46" s="3315"/>
      <c r="D46" s="3315"/>
      <c r="E46" s="3315"/>
      <c r="F46" s="3315"/>
      <c r="G46" s="3316"/>
      <c r="H46" s="1994"/>
      <c r="I46" s="164"/>
      <c r="J46" s="2749">
        <v>1</v>
      </c>
      <c r="K46" s="3379" t="s">
        <v>2017</v>
      </c>
      <c r="L46" s="3379"/>
      <c r="M46" s="3399"/>
      <c r="N46" s="3399"/>
      <c r="O46" s="3399"/>
    </row>
    <row r="47" spans="1:15" ht="12" customHeight="1">
      <c r="A47" s="165" t="s">
        <v>2018</v>
      </c>
      <c r="B47" s="166"/>
      <c r="C47" s="167"/>
      <c r="D47" s="1247" t="s">
        <v>2019</v>
      </c>
      <c r="E47" s="308" t="s">
        <v>2020</v>
      </c>
      <c r="F47" s="168" t="s">
        <v>2021</v>
      </c>
      <c r="G47" s="2772" t="s">
        <v>2022</v>
      </c>
      <c r="H47" s="2773"/>
      <c r="I47" s="164"/>
      <c r="J47" s="2749">
        <v>2</v>
      </c>
      <c r="K47" s="3379" t="s">
        <v>2023</v>
      </c>
      <c r="L47" s="3379"/>
      <c r="M47" s="3400">
        <f>'数据-取费表'!B2</f>
        <v>44959</v>
      </c>
      <c r="N47" s="3400"/>
      <c r="O47" s="3400"/>
    </row>
    <row r="48" spans="1:15" ht="25.5">
      <c r="A48" s="3345" t="s">
        <v>2024</v>
      </c>
      <c r="B48" s="3328"/>
      <c r="C48" s="3328"/>
      <c r="D48" s="2549" t="b">
        <f>IF(H48="情况1",0,IF(H48="情况2",D52,IF(H48="情况3",D53,IF(H48="情况4",D54))))</f>
        <v>0</v>
      </c>
      <c r="E48" s="2559" t="str">
        <f>IF(H48="情况4","(销售额-原购置价)×税（费）率","销售额×税（费）率")</f>
        <v>销售额×税（费）率</v>
      </c>
      <c r="F48" s="2774">
        <f>IF(H48="情况1","免征",'数据-取费表'!B41)</f>
        <v>5.6000000000000001E-2</v>
      </c>
      <c r="G48" s="2775" t="s">
        <v>2025</v>
      </c>
      <c r="H48" s="2776"/>
      <c r="I48" s="1994"/>
      <c r="J48" s="2749">
        <v>3</v>
      </c>
      <c r="K48" s="3379" t="s">
        <v>2026</v>
      </c>
      <c r="L48" s="3379"/>
      <c r="M48" s="3401" t="e">
        <f ca="1">H101</f>
        <v>#REF!</v>
      </c>
      <c r="N48" s="3401"/>
      <c r="O48" s="3401"/>
    </row>
    <row r="49" spans="1:35" ht="25.5" customHeight="1">
      <c r="A49" s="2558" t="s">
        <v>2027</v>
      </c>
      <c r="B49" s="3312" t="s">
        <v>2028</v>
      </c>
      <c r="C49" s="3312"/>
      <c r="D49" s="1777">
        <v>0</v>
      </c>
      <c r="E49" s="330" t="s">
        <v>2029</v>
      </c>
      <c r="F49" s="2650" t="s">
        <v>34</v>
      </c>
      <c r="G49" s="3385"/>
      <c r="H49" s="2530" t="s">
        <v>2875</v>
      </c>
      <c r="I49" s="2531"/>
      <c r="J49" s="2749">
        <v>4</v>
      </c>
      <c r="K49" s="3379" t="str">
        <f>IF(项目基本情况!E8="房地产抵押价值","房地产抵押价值","抵押担保权已注销时的房地产抵押价值")</f>
        <v>抵押担保权已注销时的房地产抵押价值</v>
      </c>
      <c r="L49" s="3379"/>
      <c r="M49" s="3401" t="str">
        <f>IF(项目基本情况!E8="房地产抵押价值",H107,H109)</f>
        <v>——</v>
      </c>
      <c r="N49" s="3401"/>
      <c r="O49" s="3401"/>
    </row>
    <row r="50" spans="1:35" ht="25.5" customHeight="1">
      <c r="A50" s="2777"/>
      <c r="B50" s="3312" t="s">
        <v>2030</v>
      </c>
      <c r="C50" s="3312"/>
      <c r="D50" s="2778"/>
      <c r="E50" s="338"/>
      <c r="F50" s="2650"/>
      <c r="G50" s="3386"/>
      <c r="H50" s="2532" t="s">
        <v>2876</v>
      </c>
      <c r="I50" s="2531"/>
      <c r="J50" s="3398" t="s">
        <v>2031</v>
      </c>
      <c r="K50" s="3398"/>
      <c r="L50" s="3398"/>
      <c r="M50" s="3398"/>
      <c r="N50" s="3398"/>
      <c r="O50" s="3398"/>
    </row>
    <row r="51" spans="1:35" ht="20.45" customHeight="1">
      <c r="A51" s="2779"/>
      <c r="B51" s="3312" t="s">
        <v>2032</v>
      </c>
      <c r="C51" s="3312"/>
      <c r="D51" s="1247"/>
      <c r="E51" s="333"/>
      <c r="F51" s="2650"/>
      <c r="G51" s="3387"/>
      <c r="H51" s="2532" t="s">
        <v>2877</v>
      </c>
      <c r="I51" s="2531"/>
      <c r="J51" s="2750" t="s">
        <v>2033</v>
      </c>
      <c r="K51" s="3379" t="s">
        <v>2034</v>
      </c>
      <c r="L51" s="3379"/>
      <c r="M51" s="2750" t="s">
        <v>2035</v>
      </c>
      <c r="N51" s="2750" t="s">
        <v>2036</v>
      </c>
      <c r="O51" s="2750" t="s">
        <v>2037</v>
      </c>
    </row>
    <row r="52" spans="1:35" ht="24" customHeight="1">
      <c r="A52" s="2560" t="s">
        <v>2038</v>
      </c>
      <c r="B52" s="3312" t="s">
        <v>2039</v>
      </c>
      <c r="C52" s="3312"/>
      <c r="D52" s="1247" t="e">
        <f ca="1">ROUND(D45*'数据-取费表'!B41/(1+'数据-取费表'!C42),0)</f>
        <v>#REF!</v>
      </c>
      <c r="E52" s="2559" t="s">
        <v>2040</v>
      </c>
      <c r="F52" s="2780">
        <f>'数据-取费表'!B41</f>
        <v>5.6000000000000001E-2</v>
      </c>
      <c r="G52" s="2781"/>
      <c r="H52" s="2770"/>
      <c r="I52" s="1995"/>
      <c r="J52" s="2749">
        <v>1</v>
      </c>
      <c r="K52" s="3380" t="s">
        <v>2041</v>
      </c>
      <c r="L52" s="3380"/>
      <c r="M52" s="2751" t="b">
        <f>D48</f>
        <v>0</v>
      </c>
      <c r="N52" s="2749" t="str">
        <f>E48</f>
        <v>销售额×税（费）率</v>
      </c>
      <c r="O52" s="2752">
        <f>F48</f>
        <v>5.6000000000000001E-2</v>
      </c>
    </row>
    <row r="53" spans="1:35" ht="12" customHeight="1">
      <c r="A53" s="2560" t="s">
        <v>2042</v>
      </c>
      <c r="B53" s="3338" t="s">
        <v>3034</v>
      </c>
      <c r="C53" s="3339"/>
      <c r="D53" s="1247" t="e">
        <f ca="1">ROUND(D45*'数据-取费表'!B41/(1+'数据-取费表'!C42),0)</f>
        <v>#REF!</v>
      </c>
      <c r="E53" s="2559" t="s">
        <v>2040</v>
      </c>
      <c r="F53" s="2780">
        <f>'数据-取费表'!B41</f>
        <v>5.6000000000000001E-2</v>
      </c>
      <c r="G53" s="2781"/>
      <c r="H53" s="2770"/>
      <c r="I53" s="1995"/>
      <c r="J53" s="2749">
        <v>2</v>
      </c>
      <c r="K53" s="3380" t="s">
        <v>2043</v>
      </c>
      <c r="L53" s="3380"/>
      <c r="M53" s="2751" t="e">
        <f t="shared" ref="M53:O54" ca="1" si="0">D55</f>
        <v>#REF!</v>
      </c>
      <c r="N53" s="2749" t="str">
        <f t="shared" si="0"/>
        <v>销售额×税（费）率</v>
      </c>
      <c r="O53" s="2752" t="str">
        <f t="shared" si="0"/>
        <v>免征</v>
      </c>
    </row>
    <row r="54" spans="1:35" ht="12" customHeight="1">
      <c r="A54" s="2560" t="s">
        <v>2044</v>
      </c>
      <c r="B54" s="3338" t="s">
        <v>3035</v>
      </c>
      <c r="C54" s="3339"/>
      <c r="D54" s="1247" t="e">
        <f ca="1">C68</f>
        <v>#REF!</v>
      </c>
      <c r="E54" s="333" t="s">
        <v>2045</v>
      </c>
      <c r="F54" s="2780">
        <f>'数据-取费表'!B41</f>
        <v>5.6000000000000001E-2</v>
      </c>
      <c r="G54" s="2781"/>
      <c r="H54" s="2782"/>
      <c r="I54" s="1995"/>
      <c r="J54" s="2749">
        <v>3</v>
      </c>
      <c r="K54" s="3380" t="s">
        <v>2046</v>
      </c>
      <c r="L54" s="3380"/>
      <c r="M54" s="2751" t="e">
        <f t="shared" ca="1" si="0"/>
        <v>#REF!</v>
      </c>
      <c r="N54" s="2749" t="str">
        <f t="shared" si="0"/>
        <v>增值额×税（费）率</v>
      </c>
      <c r="O54" s="2753" t="str">
        <f t="shared" si="0"/>
        <v>免征</v>
      </c>
    </row>
    <row r="55" spans="1:35" ht="24" customHeight="1">
      <c r="A55" s="3327" t="s">
        <v>2047</v>
      </c>
      <c r="B55" s="3328"/>
      <c r="C55" s="3328"/>
      <c r="D55" s="2549" t="e">
        <f ca="1">IF(H55="个人住宅",0,ROUND(D45*I55,0))</f>
        <v>#REF!</v>
      </c>
      <c r="E55" s="2559" t="s">
        <v>2048</v>
      </c>
      <c r="F55" s="2780" t="str">
        <f>IF(H55="正常",I55,"免征")</f>
        <v>免征</v>
      </c>
      <c r="G55" s="2781"/>
      <c r="H55" s="2776"/>
      <c r="I55" s="170">
        <f>'数据-取费表'!B49</f>
        <v>5.0000000000000001E-4</v>
      </c>
      <c r="J55" s="2749">
        <f>IF(H59="非个人房产","",4)</f>
        <v>4</v>
      </c>
      <c r="K55" s="3380" t="str">
        <f>IF(H59="非个人房产","——","个人所得税")</f>
        <v>个人所得税</v>
      </c>
      <c r="L55" s="3380"/>
      <c r="M55" s="2754" t="e">
        <f ca="1">D59</f>
        <v>#REF!</v>
      </c>
      <c r="N55" s="2230" t="str">
        <f>E59</f>
        <v>差额计税</v>
      </c>
      <c r="O55" s="2755">
        <f>F59</f>
        <v>0.01</v>
      </c>
    </row>
    <row r="56" spans="1:35" ht="24.75">
      <c r="A56" s="3327" t="s">
        <v>2049</v>
      </c>
      <c r="B56" s="3328"/>
      <c r="C56" s="3328"/>
      <c r="D56" s="2549" t="e">
        <f ca="1">IF(H56="个人住宅",D57,D58)</f>
        <v>#REF!</v>
      </c>
      <c r="E56" s="2559" t="s">
        <v>2050</v>
      </c>
      <c r="F56" s="2780" t="str">
        <f>IF(H56="正常",F58,"免征")</f>
        <v>免征</v>
      </c>
      <c r="G56" s="2783" t="s">
        <v>2051</v>
      </c>
      <c r="H56" s="2784"/>
      <c r="I56" s="1996"/>
      <c r="J56" s="2749" t="str">
        <f>IF(项目基本情况!K6="上海银行",IF(J55="",4,J55+1),"")</f>
        <v/>
      </c>
      <c r="K56" s="3403" t="str">
        <f>IF(项目基本情况!K6="上海银行","其他处置费用","")</f>
        <v/>
      </c>
      <c r="L56" s="3404"/>
      <c r="M56" s="2751" t="str">
        <f>IF(项目基本情况!K6="上海银行",M69,"")</f>
        <v/>
      </c>
      <c r="N56" s="3403" t="str">
        <f>IF(项目基本情况!K6="上海银行","包含处置中涉及的律师、诉讼、拍卖、评估等费用","")</f>
        <v/>
      </c>
      <c r="O56" s="3406"/>
    </row>
    <row r="57" spans="1:35" ht="12.75">
      <c r="A57" s="2560" t="s">
        <v>2027</v>
      </c>
      <c r="B57" s="3338" t="s">
        <v>2052</v>
      </c>
      <c r="C57" s="3339"/>
      <c r="D57" s="1777">
        <v>0</v>
      </c>
      <c r="E57" s="330" t="s">
        <v>2029</v>
      </c>
      <c r="F57" s="308"/>
      <c r="G57" s="2781"/>
      <c r="H57" s="2785"/>
      <c r="I57" s="1996"/>
      <c r="J57" s="3380">
        <f>IF(AND(J55="",J56=""),4,IF(项目基本情况!K6="上海银行",结果表!J56+1,结果表!J55+1))</f>
        <v>5</v>
      </c>
      <c r="K57" s="3380" t="s">
        <v>2053</v>
      </c>
      <c r="L57" s="2756" t="s">
        <v>2054</v>
      </c>
      <c r="M57" s="2757"/>
      <c r="N57" s="2758">
        <f ca="1">SUMIF(M52:M56,"&lt;9e307")</f>
        <v>0</v>
      </c>
      <c r="O57" s="2759"/>
      <c r="P57" s="2919" t="e">
        <f ca="1">N57/M49</f>
        <v>#VALUE!</v>
      </c>
    </row>
    <row r="58" spans="1:35" ht="24.75">
      <c r="A58" s="2560" t="s">
        <v>2038</v>
      </c>
      <c r="B58" s="3338" t="s">
        <v>2055</v>
      </c>
      <c r="C58" s="3312"/>
      <c r="D58" s="2549" t="e">
        <f ca="1">IF(H58="转让取得",C81,C97)</f>
        <v>#REF!</v>
      </c>
      <c r="E58" s="2559" t="s">
        <v>2050</v>
      </c>
      <c r="F58" s="308" t="s">
        <v>34</v>
      </c>
      <c r="G58" s="2781"/>
      <c r="H58" s="2784"/>
      <c r="I58" s="1996"/>
      <c r="J58" s="3380"/>
      <c r="K58" s="3380"/>
      <c r="L58" s="2756" t="s">
        <v>2056</v>
      </c>
      <c r="M58" s="2760"/>
      <c r="N58" s="2761" t="str">
        <f ca="1">NUMBERSTRING(INT(N57*10000),2)&amp;"元整"</f>
        <v>零元整</v>
      </c>
      <c r="O58" s="2762"/>
    </row>
    <row r="59" spans="1:35" ht="24.75" thickBot="1">
      <c r="A59" s="3383" t="s">
        <v>2057</v>
      </c>
      <c r="B59" s="3384"/>
      <c r="C59" s="3384"/>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4"/>
      <c r="I59" s="2533" t="s">
        <v>2878</v>
      </c>
      <c r="J59" s="3381">
        <f>J57+1</f>
        <v>6</v>
      </c>
      <c r="K59" s="3380" t="s">
        <v>2058</v>
      </c>
      <c r="L59" s="2749" t="s">
        <v>2054</v>
      </c>
      <c r="M59" s="2763"/>
      <c r="N59" s="2764" t="e">
        <f ca="1">M49-N57</f>
        <v>#VALUE!</v>
      </c>
      <c r="O59" s="2765"/>
    </row>
    <row r="60" spans="1:35" ht="12" customHeight="1">
      <c r="A60" s="1997"/>
      <c r="B60" s="1935"/>
      <c r="C60" s="1935"/>
      <c r="D60" s="1935"/>
      <c r="E60" s="1765"/>
      <c r="F60" s="1996"/>
      <c r="G60" s="1996"/>
      <c r="H60" s="1998"/>
      <c r="I60" s="134"/>
      <c r="J60" s="3382"/>
      <c r="K60" s="3380"/>
      <c r="L60" s="2756" t="s">
        <v>2056</v>
      </c>
      <c r="M60" s="2760"/>
      <c r="N60" s="2761" t="e">
        <f ca="1">NUMBERSTRING(INT(N59*10000),2)&amp;"元整"</f>
        <v>#VALUE!</v>
      </c>
      <c r="O60" s="2762"/>
    </row>
    <row r="61" spans="1:35" ht="13.5" thickBot="1">
      <c r="A61" s="3325" t="s">
        <v>2059</v>
      </c>
      <c r="B61" s="3325"/>
      <c r="C61" s="3325"/>
      <c r="D61" s="3325"/>
      <c r="E61" s="3325"/>
      <c r="F61" s="1996"/>
      <c r="G61" s="1996"/>
      <c r="H61" s="1998"/>
      <c r="I61" s="134"/>
      <c r="J61" s="2749">
        <f>J59+1</f>
        <v>7</v>
      </c>
      <c r="K61" s="3380" t="s">
        <v>2060</v>
      </c>
      <c r="L61" s="3380"/>
      <c r="M61" s="2766"/>
      <c r="N61" s="2767" t="e">
        <f ca="1">ROUND(N59*10000/'数据-汇总表'!E3,0)</f>
        <v>#VALUE!</v>
      </c>
      <c r="O61" s="2768"/>
    </row>
    <row r="62" spans="1:35" ht="12.75">
      <c r="A62" s="3343" t="s">
        <v>2061</v>
      </c>
      <c r="B62" s="3344"/>
      <c r="C62" s="2211"/>
      <c r="D62" s="2211" t="s">
        <v>2062</v>
      </c>
      <c r="E62" s="171" t="s">
        <v>2063</v>
      </c>
      <c r="F62" s="1996"/>
      <c r="G62" s="1996"/>
      <c r="H62" s="1998"/>
      <c r="I62" s="134"/>
    </row>
    <row r="63" spans="1:35" ht="12.75">
      <c r="A63" s="178" t="s">
        <v>775</v>
      </c>
      <c r="B63" s="172" t="s">
        <v>2064</v>
      </c>
      <c r="C63" s="2790" t="e">
        <f ca="1">ROUND((C64+C65)/(1+'数据-取费表'!C42),0)</f>
        <v>#REF!</v>
      </c>
      <c r="D63" s="172"/>
      <c r="E63" s="173"/>
      <c r="F63" s="1996"/>
      <c r="G63" s="1996"/>
      <c r="H63" s="1998"/>
      <c r="I63" s="134"/>
      <c r="J63" s="3405" t="s">
        <v>2065</v>
      </c>
      <c r="K63" s="1503" t="s">
        <v>2066</v>
      </c>
      <c r="L63" s="1503" t="e">
        <f>IF(M49&gt;10000,M49*0.5%,IF(AND(M49&gt;1000,M49&lt;=10000),M49*1%,IF(AND(M49&gt;100,M49&lt;=1000),M49*3%,IF(AND(M49&gt;10,M49&lt;=100),M49*5%,M49*8%))))</f>
        <v>#VALUE!</v>
      </c>
      <c r="M63" s="308" t="e">
        <f>ROUND(L63,1)</f>
        <v>#VALUE!</v>
      </c>
      <c r="N63" s="2769"/>
      <c r="Z63" s="1940"/>
      <c r="AI63" s="1941"/>
    </row>
    <row r="64" spans="1:35" ht="14.25" customHeight="1">
      <c r="A64" s="174" t="s">
        <v>770</v>
      </c>
      <c r="B64" s="175" t="s">
        <v>2067</v>
      </c>
      <c r="C64" s="2791" t="e">
        <f ca="1">D45</f>
        <v>#REF!</v>
      </c>
      <c r="D64" s="175" t="s">
        <v>32</v>
      </c>
      <c r="E64" s="177"/>
      <c r="F64" s="1996"/>
      <c r="G64" s="1996"/>
      <c r="H64" s="1998"/>
      <c r="I64" s="134"/>
      <c r="J64" s="3405"/>
      <c r="K64" s="1503" t="s">
        <v>2068</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2069</v>
      </c>
      <c r="Z64" s="1940"/>
      <c r="AI64" s="1941"/>
    </row>
    <row r="65" spans="1:35" ht="14.25" customHeight="1">
      <c r="A65" s="174" t="s">
        <v>771</v>
      </c>
      <c r="B65" s="175" t="s">
        <v>2070</v>
      </c>
      <c r="C65" s="2792"/>
      <c r="D65" s="175"/>
      <c r="E65" s="177"/>
      <c r="F65" s="1996"/>
      <c r="G65" s="1996"/>
      <c r="H65" s="1998"/>
      <c r="I65" s="134"/>
      <c r="J65" s="3405"/>
      <c r="K65" s="1503" t="s">
        <v>2071</v>
      </c>
      <c r="L65" s="1503" t="e">
        <f>IF(M49&gt;1000,M49*0.1%,IF(AND(M49&gt;500,M49&lt;=1000),M49*0.5%,IF(AND(M49&gt;50,M49&lt;=500),M49*1%,IF(AND(M49&gt;1,M49&lt;=50),M49*1.5%))))</f>
        <v>#VALUE!</v>
      </c>
      <c r="M65" s="308" t="e">
        <f t="shared" si="1"/>
        <v>#VALUE!</v>
      </c>
      <c r="N65" s="2770" t="s">
        <v>2069</v>
      </c>
      <c r="Z65" s="1940"/>
      <c r="AI65" s="1941"/>
    </row>
    <row r="66" spans="1:35" ht="14.25" customHeight="1">
      <c r="A66" s="178" t="s">
        <v>772</v>
      </c>
      <c r="B66" s="179" t="s">
        <v>2072</v>
      </c>
      <c r="C66" s="2793"/>
      <c r="D66" s="179" t="s">
        <v>32</v>
      </c>
      <c r="E66" s="1511" t="s">
        <v>1337</v>
      </c>
      <c r="F66" s="1996"/>
      <c r="G66" s="1996"/>
      <c r="H66" s="1998"/>
      <c r="I66" s="134"/>
      <c r="J66" s="3405"/>
      <c r="K66" s="1503" t="s">
        <v>2073</v>
      </c>
      <c r="L66" s="1503" t="e">
        <f>M49*0.5%</f>
        <v>#VALUE!</v>
      </c>
      <c r="M66" s="308" t="e">
        <f>IF(L66&gt;0.5,0.5,ROUND(L66,0))</f>
        <v>#VALUE!</v>
      </c>
      <c r="N66" s="2770" t="s">
        <v>2074</v>
      </c>
      <c r="Z66" s="1940"/>
      <c r="AI66" s="1941"/>
    </row>
    <row r="67" spans="1:35" ht="14.25" customHeight="1">
      <c r="A67" s="178" t="s">
        <v>773</v>
      </c>
      <c r="B67" s="179" t="s">
        <v>2075</v>
      </c>
      <c r="C67" s="2794" t="e">
        <f ca="1">C63-C66</f>
        <v>#REF!</v>
      </c>
      <c r="D67" s="175" t="s">
        <v>32</v>
      </c>
      <c r="E67" s="177"/>
      <c r="F67" s="1996"/>
      <c r="G67" s="1996"/>
      <c r="H67" s="1998"/>
      <c r="I67" s="134"/>
      <c r="J67" s="3405"/>
      <c r="K67" s="1503" t="s">
        <v>2076</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40"/>
      <c r="AI67" s="1941"/>
    </row>
    <row r="68" spans="1:35" ht="14.25" customHeight="1" thickBot="1">
      <c r="A68" s="181" t="s">
        <v>774</v>
      </c>
      <c r="B68" s="182" t="s">
        <v>2077</v>
      </c>
      <c r="C68" s="2795" t="e">
        <f ca="1">IF(C67&lt;=0,0,ROUND(C67*D68,0))</f>
        <v>#REF!</v>
      </c>
      <c r="D68" s="2796">
        <f>'数据-取费表'!B41</f>
        <v>5.6000000000000001E-2</v>
      </c>
      <c r="E68" s="184"/>
      <c r="F68" s="1996"/>
      <c r="G68" s="1996"/>
      <c r="H68" s="1998"/>
      <c r="I68" s="134"/>
      <c r="J68" s="3405"/>
      <c r="K68" s="1503" t="s">
        <v>2078</v>
      </c>
      <c r="L68" s="1503" t="e">
        <f>IF(M49&gt;10000,M49*0.5%,IF(AND(M49&gt;5000,M49&lt;=10000),M49*1%,IF(AND(M49&gt;1000,M49&lt;=5000),M49*2%,IF(AND(M49&gt;200,M49&lt;=1000),M49*3%,M49*5%))))</f>
        <v>#VALUE!</v>
      </c>
      <c r="M68" s="308" t="e">
        <f>ROUND(L68,1)</f>
        <v>#VALUE!</v>
      </c>
      <c r="N68" s="2769"/>
      <c r="Z68" s="1940"/>
      <c r="AI68" s="1941"/>
    </row>
    <row r="69" spans="1:35" s="1960" customFormat="1" ht="16.5" customHeight="1">
      <c r="A69" s="1999"/>
      <c r="B69" s="2000"/>
      <c r="C69" s="2001"/>
      <c r="D69" s="2002"/>
      <c r="E69" s="2003"/>
      <c r="F69" s="1765"/>
      <c r="G69" s="1765"/>
      <c r="H69" s="1764"/>
      <c r="I69" s="1935"/>
      <c r="J69" s="3405"/>
      <c r="K69" s="1503" t="s">
        <v>2079</v>
      </c>
      <c r="L69" s="1503"/>
      <c r="M69" s="308" t="e">
        <f>ROUND(SUM(M63:M68),0)</f>
        <v>#VALUE!</v>
      </c>
      <c r="N69" s="2771"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364" t="s">
        <v>2080</v>
      </c>
      <c r="B70" s="3365"/>
      <c r="C70" s="3365"/>
      <c r="D70" s="3365"/>
      <c r="E70" s="3365"/>
      <c r="F70" s="3365"/>
      <c r="G70" s="3365"/>
      <c r="H70" s="3365"/>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343" t="s">
        <v>2061</v>
      </c>
      <c r="B71" s="3344"/>
      <c r="C71" s="2211"/>
      <c r="D71" s="2211" t="s">
        <v>2062</v>
      </c>
      <c r="E71" s="185" t="s">
        <v>2063</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4" t="e">
        <f ca="1">ROUND(D45/(1+'数据-取费表'!C42),0)</f>
        <v>#REF!</v>
      </c>
      <c r="D72" s="175" t="s">
        <v>32</v>
      </c>
      <c r="E72" s="2556"/>
      <c r="F72" s="2555"/>
      <c r="G72" s="2555"/>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4" t="e">
        <f ca="1">C74+C78</f>
        <v>#REF!</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7"/>
      <c r="D75" s="175" t="s">
        <v>32</v>
      </c>
      <c r="E75" s="190" t="s">
        <v>2085</v>
      </c>
      <c r="F75" s="2798"/>
      <c r="G75" s="190" t="s">
        <v>2086</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800">
        <v>0.05</v>
      </c>
      <c r="E76" s="3338" t="s">
        <v>2088</v>
      </c>
      <c r="F76" s="3312"/>
      <c r="G76" s="3312"/>
      <c r="H76" s="336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0</v>
      </c>
      <c r="D77" s="2801">
        <f>'数据-取费表'!B48+'数据-取费表'!B49</f>
        <v>3.0499999999999999E-2</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2" t="e">
        <f ca="1">ROUND(D45*D78/(1+'数据-取费表'!C42),0)</f>
        <v>#REF!</v>
      </c>
      <c r="D78" s="2803">
        <f>'数据-取费表'!B43</f>
        <v>6.000000000000001E-3</v>
      </c>
      <c r="E78" s="3322" t="s">
        <v>2092</v>
      </c>
      <c r="F78" s="3323"/>
      <c r="G78" s="3323"/>
      <c r="H78" s="3332"/>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4" t="e">
        <f ca="1">C72-C73</f>
        <v>#REF!</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4" t="e">
        <f ca="1">IF(C79&lt;=0,0,C79/C73)</f>
        <v>#REF!</v>
      </c>
      <c r="D80" s="175" t="s">
        <v>32</v>
      </c>
      <c r="E80" s="2549" t="e">
        <f ca="1">IF(C80&gt;=200%,"增值额超过扣除项目金额200%",IF(C80&gt;=100%,"增值额超过扣除项目金额100%，未超过200%",IF(C80&gt;=50%,"增值额超过扣除项目金额50%，未超过100%",IF(C80&lt;50%,"增值额未超过扣除项目金额50%"))))</f>
        <v>#REF!</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364" t="s">
        <v>2096</v>
      </c>
      <c r="B83" s="3365"/>
      <c r="C83" s="3365"/>
      <c r="D83" s="3365"/>
      <c r="E83" s="3365"/>
      <c r="F83" s="3365"/>
      <c r="G83" s="3365"/>
      <c r="H83" s="336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343" t="s">
        <v>2061</v>
      </c>
      <c r="B84" s="3344"/>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4" t="e">
        <f ca="1">ROUND(D45/(1+'数据-取费表'!C42),0)</f>
        <v>#REF!</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4" t="e">
        <f ca="1">IF(H88="仅含出让金",C87+C90+C91+C92+C93+C94,C87+C91+C92+C93+C94)</f>
        <v>#REF!</v>
      </c>
      <c r="D86" s="2807"/>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2">
        <f>C88+C89</f>
        <v>0</v>
      </c>
      <c r="D87" s="2803"/>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08"/>
      <c r="D88" s="2803"/>
      <c r="E88" s="199" t="s">
        <v>2099</v>
      </c>
      <c r="F88" s="2552"/>
      <c r="G88" s="200" t="s">
        <v>2100</v>
      </c>
      <c r="H88" s="2012"/>
      <c r="I88" s="2009"/>
      <c r="J88" s="2747" t="s">
        <v>3031</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2">
        <f>ROUND(C88*D89,0)</f>
        <v>0</v>
      </c>
      <c r="D89" s="2803">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08"/>
      <c r="D90" s="2803"/>
      <c r="E90" s="199" t="str">
        <f>IF(H88="-","土地取得成本中已包含该笔费用"," ")</f>
        <v xml:space="preserve"> </v>
      </c>
      <c r="F90" s="2552"/>
      <c r="G90" s="3407" t="s">
        <v>2870</v>
      </c>
      <c r="H90" s="3408"/>
      <c r="I90" s="2009"/>
      <c r="J90" s="2747" t="s">
        <v>3032</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2">
        <f>IF(H91="——",成本法!C33,I91)</f>
        <v>0</v>
      </c>
      <c r="D91" s="2803"/>
      <c r="E91" s="3322" t="s">
        <v>2105</v>
      </c>
      <c r="F91" s="3323"/>
      <c r="G91" s="332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2">
        <f>ROUND((C87+C90+C91)*D92,0)</f>
        <v>0</v>
      </c>
      <c r="D92" s="2809"/>
      <c r="E92" s="3322" t="s">
        <v>2108</v>
      </c>
      <c r="F92" s="3323"/>
      <c r="G92" s="3323"/>
      <c r="H92" s="3332"/>
      <c r="I92" s="2009"/>
      <c r="J92" s="2748" t="s">
        <v>3033</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2" t="e">
        <f ca="1">ROUND(D45*D93/(1+'数据-取费表'!C42),0)</f>
        <v>#REF!</v>
      </c>
      <c r="D93" s="2803">
        <f>'数据-取费表'!B43</f>
        <v>6.000000000000001E-3</v>
      </c>
      <c r="E93" s="3322" t="s">
        <v>2092</v>
      </c>
      <c r="F93" s="3323"/>
      <c r="G93" s="3323"/>
      <c r="H93" s="3332"/>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2808">
        <f>ROUND((C87+C90+C91)*D94,0)</f>
        <v>0</v>
      </c>
      <c r="D94" s="2803">
        <v>0.2</v>
      </c>
      <c r="E94" s="3333" t="s">
        <v>2112</v>
      </c>
      <c r="F94" s="3334"/>
      <c r="G94" s="3334"/>
      <c r="H94" s="333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4" t="e">
        <f ca="1">ROUND(C85-C86,0)</f>
        <v>#REF!</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4" t="e">
        <f ca="1">IF(C95&lt;=0,0,C95/C86)</f>
        <v>#REF!</v>
      </c>
      <c r="D96" s="175" t="s">
        <v>32</v>
      </c>
      <c r="E96" s="2549" t="e">
        <f ca="1">IF(C96&gt;=200%,"增值额超过扣除项目金额200%",IF(C96&gt;=100%,"增值额超过扣除项目金额100%，未超过200%",IF(C96&gt;=50%,"增值额超过扣除项目金额50%，未超过100%",IF(C96&lt;50%,"增值额未超过扣除项目金额50%"))))</f>
        <v>#REF!</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306" t="s">
        <v>2114</v>
      </c>
      <c r="B100" s="3307"/>
      <c r="C100" s="3307"/>
      <c r="D100" s="3324"/>
      <c r="E100" s="3307" t="s">
        <v>2115</v>
      </c>
      <c r="F100" s="3307"/>
      <c r="G100" s="3307"/>
      <c r="H100" s="3324"/>
      <c r="I100" s="134"/>
    </row>
    <row r="101" spans="1:35" ht="18.75" customHeight="1">
      <c r="A101" s="3388" t="s">
        <v>2116</v>
      </c>
      <c r="B101" s="3389"/>
      <c r="C101" s="2811" t="str">
        <f>C4</f>
        <v>收益法倒推-办公</v>
      </c>
      <c r="D101" s="2812" t="str">
        <f>D4</f>
        <v>租金比较法-办公</v>
      </c>
      <c r="E101" s="3402" t="s">
        <v>2117</v>
      </c>
      <c r="F101" s="3356"/>
      <c r="G101" s="2015" t="s">
        <v>2118</v>
      </c>
      <c r="H101" s="2821" t="e">
        <f ca="1">H118</f>
        <v>#REF!</v>
      </c>
      <c r="I101" s="134"/>
    </row>
    <row r="102" spans="1:35" ht="18.75" customHeight="1">
      <c r="A102" s="3358" t="s">
        <v>2119</v>
      </c>
      <c r="B102" s="2810" t="s">
        <v>2118</v>
      </c>
      <c r="C102" s="2811" t="e">
        <f ca="1">C19</f>
        <v>#REF!</v>
      </c>
      <c r="D102" s="2812" t="e">
        <f ca="1">D19</f>
        <v>#REF!</v>
      </c>
      <c r="E102" s="3402"/>
      <c r="F102" s="3356"/>
      <c r="G102" s="2015" t="s">
        <v>2120</v>
      </c>
      <c r="H102" s="2781" t="e">
        <f ca="1">I118</f>
        <v>#REF!</v>
      </c>
      <c r="I102" s="134"/>
    </row>
    <row r="103" spans="1:35" ht="42.75" customHeight="1">
      <c r="A103" s="3358"/>
      <c r="B103" s="2810" t="s">
        <v>2120</v>
      </c>
      <c r="C103" s="2813" t="e">
        <f ca="1">C20</f>
        <v>#REF!</v>
      </c>
      <c r="D103" s="2814" t="e">
        <f ca="1">D20</f>
        <v>#REF!</v>
      </c>
      <c r="E103" s="3396" t="s">
        <v>2121</v>
      </c>
      <c r="F103" s="3397"/>
      <c r="G103" s="2016" t="s">
        <v>2122</v>
      </c>
      <c r="H103" s="2821">
        <f>IF(D36="正常操作",H104+H105+H106,H105+H106)</f>
        <v>0</v>
      </c>
      <c r="I103" s="134"/>
    </row>
    <row r="104" spans="1:35" ht="18.75" customHeight="1">
      <c r="A104" s="3358" t="s">
        <v>2123</v>
      </c>
      <c r="B104" s="2815" t="s">
        <v>2118</v>
      </c>
      <c r="C104" s="2816" t="e">
        <f ca="1">H118</f>
        <v>#REF!</v>
      </c>
      <c r="D104" s="2817"/>
      <c r="E104" s="1862" t="s">
        <v>2124</v>
      </c>
      <c r="F104" s="1853"/>
      <c r="G104" s="2016" t="s">
        <v>2122</v>
      </c>
      <c r="H104" s="2822">
        <f>IF(D36="同一抵押权人同一抵押物续贷",C36&amp;"（续贷，未扣减，详见特别提示）",C36)</f>
        <v>0</v>
      </c>
      <c r="I104" s="134"/>
    </row>
    <row r="105" spans="1:35" ht="18.75" customHeight="1" thickBot="1">
      <c r="A105" s="3359"/>
      <c r="B105" s="2818" t="s">
        <v>2120</v>
      </c>
      <c r="C105" s="2819" t="e">
        <f ca="1">I118</f>
        <v>#REF!</v>
      </c>
      <c r="D105" s="2820"/>
      <c r="E105" s="1862" t="s">
        <v>2125</v>
      </c>
      <c r="F105" s="1853"/>
      <c r="G105" s="2016" t="s">
        <v>2122</v>
      </c>
      <c r="H105" s="2823">
        <f>C37</f>
        <v>0</v>
      </c>
      <c r="I105" s="134"/>
    </row>
    <row r="106" spans="1:35" ht="18.75" customHeight="1">
      <c r="A106" s="1935" t="s">
        <v>2126</v>
      </c>
      <c r="B106" s="1935"/>
      <c r="C106" s="1935"/>
      <c r="D106" s="1935"/>
      <c r="E106" s="2017" t="s">
        <v>2127</v>
      </c>
      <c r="F106" s="1853"/>
      <c r="G106" s="2016" t="s">
        <v>2122</v>
      </c>
      <c r="H106" s="2823">
        <f>C38</f>
        <v>0</v>
      </c>
      <c r="I106" s="134"/>
    </row>
    <row r="107" spans="1:35" ht="18.75" customHeight="1">
      <c r="A107" s="134"/>
      <c r="B107" s="134"/>
      <c r="C107" s="134"/>
      <c r="D107" s="134"/>
      <c r="E107" s="3355" t="str">
        <f>IF(项目基本情况!E8="已注销","——","3.房地产抵押价值")</f>
        <v>3.房地产抵押价值</v>
      </c>
      <c r="F107" s="3356"/>
      <c r="G107" s="2015" t="s">
        <v>2118</v>
      </c>
      <c r="H107" s="2821" t="e">
        <f ca="1">IF(E107="——","——",H101-H103)</f>
        <v>#REF!</v>
      </c>
      <c r="I107" s="134"/>
    </row>
    <row r="108" spans="1:35" ht="18.75" customHeight="1">
      <c r="A108" s="134"/>
      <c r="B108" s="134"/>
      <c r="C108" s="134"/>
      <c r="D108" s="134"/>
      <c r="E108" s="3355"/>
      <c r="F108" s="3356"/>
      <c r="G108" s="2015" t="s">
        <v>2120</v>
      </c>
      <c r="H108" s="2781" t="e">
        <f ca="1">ROUND(H107*10000/'数据-汇总表'!E3,0)</f>
        <v>#REF!</v>
      </c>
      <c r="I108" s="134"/>
    </row>
    <row r="109" spans="1:35" ht="18.75" customHeight="1">
      <c r="A109" s="134"/>
      <c r="B109" s="134"/>
      <c r="C109" s="134"/>
      <c r="D109" s="134"/>
      <c r="E109" s="3355" t="str">
        <f>IF(项目基本情况!E8="已注销及未注销","4.抵押担保权已注销时的房地产抵押价值",IF(项目基本情况!E8="已注销","3.抵押担保权已注销时的房地产抵押价值","——"))</f>
        <v>——</v>
      </c>
      <c r="F109" s="3356"/>
      <c r="G109" s="2015" t="s">
        <v>2118</v>
      </c>
      <c r="H109" s="2824" t="str">
        <f>IF(E109="——","——",H101-H105-H106)</f>
        <v>——</v>
      </c>
      <c r="I109" s="134"/>
    </row>
    <row r="110" spans="1:35" ht="18.75" customHeight="1">
      <c r="A110" s="134"/>
      <c r="B110" s="134"/>
      <c r="C110" s="134"/>
      <c r="D110" s="134"/>
      <c r="E110" s="3355"/>
      <c r="F110" s="3356"/>
      <c r="G110" s="2015" t="s">
        <v>2120</v>
      </c>
      <c r="H110" s="2781" t="str">
        <f>IF(H109="——","——",ROUND(H109*10000/'数据-汇总表'!E3,0))</f>
        <v>——</v>
      </c>
      <c r="I110" s="134"/>
    </row>
    <row r="111" spans="1:35" ht="18.75" customHeight="1">
      <c r="A111" s="134"/>
      <c r="B111" s="134"/>
      <c r="C111" s="134"/>
      <c r="D111" s="134"/>
      <c r="E111" s="3390" t="str">
        <f>IF(项目基本情况!E9="抵押净值",IF(OR(项目基本情况!E8="已注销",项目基本情况!E8="房地产抵押价值"),"4.抵押净值","5.抵押净值"),"——")</f>
        <v>——</v>
      </c>
      <c r="F111" s="3357"/>
      <c r="G111" s="2015" t="s">
        <v>2118</v>
      </c>
      <c r="H111" s="2821" t="str">
        <f>IF(E111="——","——",N59)</f>
        <v>——</v>
      </c>
      <c r="I111" s="134"/>
    </row>
    <row r="112" spans="1:35" ht="18.75" customHeight="1" thickBot="1">
      <c r="A112" s="134"/>
      <c r="B112" s="134"/>
      <c r="C112" s="134"/>
      <c r="D112" s="134"/>
      <c r="E112" s="3391"/>
      <c r="F112" s="3392"/>
      <c r="G112" s="2018" t="s">
        <v>2120</v>
      </c>
      <c r="H112" s="2825" t="str">
        <f>IF(E111="——","——",N61)</f>
        <v>——</v>
      </c>
      <c r="I112" s="134"/>
    </row>
    <row r="113" spans="1:27" ht="18.75" customHeight="1">
      <c r="A113" s="134"/>
      <c r="B113" s="134"/>
      <c r="C113" s="134"/>
      <c r="D113" s="134"/>
      <c r="E113" s="3360" t="s">
        <v>2126</v>
      </c>
      <c r="F113" s="3360"/>
      <c r="G113" s="3360"/>
      <c r="H113" s="3360"/>
      <c r="I113" s="134"/>
    </row>
    <row r="114" spans="1:27" ht="3.75" customHeight="1">
      <c r="A114" s="1935"/>
      <c r="B114" s="1935"/>
      <c r="C114" s="1935"/>
      <c r="D114" s="1935"/>
      <c r="E114" s="1997"/>
      <c r="F114" s="1997"/>
      <c r="G114" s="1997"/>
      <c r="H114" s="1997"/>
      <c r="I114" s="1935"/>
    </row>
    <row r="115" spans="1:27" ht="18.75" customHeight="1">
      <c r="A115" s="3373" t="s">
        <v>2128</v>
      </c>
      <c r="B115" s="3374"/>
      <c r="C115" s="3374"/>
      <c r="D115" s="3374"/>
      <c r="E115" s="3374"/>
      <c r="F115" s="3374"/>
      <c r="G115" s="3374"/>
      <c r="H115" s="3374"/>
      <c r="I115" s="3375"/>
    </row>
    <row r="116" spans="1:27" ht="27" customHeight="1">
      <c r="A116" s="3326" t="s">
        <v>2129</v>
      </c>
      <c r="B116" s="3361" t="s">
        <v>2130</v>
      </c>
      <c r="C116" s="3361" t="s">
        <v>2131</v>
      </c>
      <c r="D116" s="3377" t="s">
        <v>2132</v>
      </c>
      <c r="E116" s="3378"/>
      <c r="F116" s="3369" t="s">
        <v>2133</v>
      </c>
      <c r="G116" s="3369"/>
      <c r="H116" s="3326" t="s">
        <v>2134</v>
      </c>
      <c r="I116" s="3326"/>
    </row>
    <row r="117" spans="1:27" ht="18.75" customHeight="1">
      <c r="A117" s="3326"/>
      <c r="B117" s="3362"/>
      <c r="C117" s="3362"/>
      <c r="D117" s="2554" t="s">
        <v>2135</v>
      </c>
      <c r="E117" s="2554" t="s">
        <v>2136</v>
      </c>
      <c r="F117" s="2554" t="s">
        <v>2135</v>
      </c>
      <c r="G117" s="2554" t="s">
        <v>2137</v>
      </c>
      <c r="H117" s="2554" t="s">
        <v>2135</v>
      </c>
      <c r="I117" s="2554" t="s">
        <v>2137</v>
      </c>
    </row>
    <row r="118" spans="1:27" ht="24.75" customHeight="1">
      <c r="A118" s="2826" t="str">
        <f>项目基本情况!S2</f>
        <v>北京市房地产</v>
      </c>
      <c r="B118" s="2554">
        <f>M18</f>
        <v>0</v>
      </c>
      <c r="C118" s="2554">
        <f>M19</f>
        <v>0</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t="e">
        <f ca="1">ROUND(IF(D32="总价",C32,I118*B118/10000),0)</f>
        <v>#REF!</v>
      </c>
      <c r="I118" s="2554" t="e">
        <f ca="1">ROUND(IF(D32="楼面单价",C32,H118*10000/B118),0)</f>
        <v>#REF!</v>
      </c>
    </row>
    <row r="119" spans="1:27" ht="18.75" customHeight="1">
      <c r="A119" s="3326" t="s">
        <v>2138</v>
      </c>
      <c r="B119" s="3326"/>
      <c r="C119" s="3326"/>
      <c r="D119" s="3366" t="e">
        <f ca="1">NUMBERSTRING(INT(D118*10000),2)&amp;"元整"</f>
        <v>#REF!</v>
      </c>
      <c r="E119" s="3368"/>
      <c r="F119" s="3366" t="e">
        <f ca="1">NUMBERSTRING(INT(F118*10000),2)&amp;"元整"</f>
        <v>#REF!</v>
      </c>
      <c r="G119" s="3368"/>
      <c r="H119" s="3366" t="e">
        <f ca="1">NUMBERSTRING(INT(H118*10000),2)&amp;"元整"</f>
        <v>#REF!</v>
      </c>
      <c r="I119" s="3368"/>
    </row>
    <row r="120" spans="1:27" ht="18.75" customHeight="1">
      <c r="A120" s="3393" t="str">
        <f>IF(项目基本情况!B9="房地产市场价值","",MID(E103,3,LEN(E103)-2))</f>
        <v/>
      </c>
      <c r="B120" s="3394"/>
      <c r="C120" s="3395"/>
      <c r="D120" s="3393">
        <f>H103</f>
        <v>0</v>
      </c>
      <c r="E120" s="3394"/>
      <c r="F120" s="3394"/>
      <c r="G120" s="3394"/>
      <c r="H120" s="3394"/>
      <c r="I120" s="3395"/>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370" t="s">
        <v>2138</v>
      </c>
      <c r="B121" s="3371"/>
      <c r="C121" s="3372"/>
      <c r="D121" s="3366" t="str">
        <f>IF(D120=0,"零元整",NUMBERSTRING(INT(D120*10000),2)&amp;"元整")</f>
        <v>零元整</v>
      </c>
      <c r="E121" s="3367"/>
      <c r="F121" s="3367"/>
      <c r="G121" s="3367"/>
      <c r="H121" s="3367"/>
      <c r="I121" s="3368"/>
      <c r="AA121" s="734"/>
    </row>
    <row r="122" spans="1:27" ht="18.75" customHeight="1">
      <c r="A122" s="3357" t="str">
        <f>IF(项目基本情况!B9="房地产市场价值","",MID(E107,3,LEN(E107)-2))</f>
        <v/>
      </c>
      <c r="B122" s="3357"/>
      <c r="C122" s="3357"/>
      <c r="D122" s="3393" t="e">
        <f ca="1">H107</f>
        <v>#REF!</v>
      </c>
      <c r="E122" s="3394"/>
      <c r="F122" s="3394"/>
      <c r="G122" s="3394"/>
      <c r="H122" s="3394"/>
      <c r="I122" s="3395"/>
      <c r="AA122" s="734"/>
    </row>
    <row r="123" spans="1:27" ht="18.75" customHeight="1">
      <c r="A123" s="3326" t="s">
        <v>2138</v>
      </c>
      <c r="B123" s="3326"/>
      <c r="C123" s="3326"/>
      <c r="D123" s="3366" t="e">
        <f ca="1">NUMBERSTRING(INT(D122*10000),2)&amp;"元整"</f>
        <v>#REF!</v>
      </c>
      <c r="E123" s="3367"/>
      <c r="F123" s="3367"/>
      <c r="G123" s="3367"/>
      <c r="H123" s="3367"/>
      <c r="I123" s="3368"/>
      <c r="AA123" s="734"/>
    </row>
    <row r="124" spans="1:27" ht="18.75" customHeight="1">
      <c r="A124" s="3357" t="str">
        <f>IF(项目基本情况!B9="房地产市场价值","",MID(E109,3,LEN(E109)-2))</f>
        <v/>
      </c>
      <c r="B124" s="3357"/>
      <c r="C124" s="3357"/>
      <c r="D124" s="3393" t="str">
        <f>H109</f>
        <v>——</v>
      </c>
      <c r="E124" s="3394"/>
      <c r="F124" s="3394"/>
      <c r="G124" s="3394"/>
      <c r="H124" s="3394"/>
      <c r="I124" s="3395"/>
      <c r="AA124" s="734"/>
    </row>
    <row r="125" spans="1:27" ht="18.75" customHeight="1">
      <c r="A125" s="3326" t="s">
        <v>2138</v>
      </c>
      <c r="B125" s="3326"/>
      <c r="C125" s="3326"/>
      <c r="D125" s="3366" t="e">
        <f>NUMBERSTRING(INT(D124*10000),2)&amp;"元整"</f>
        <v>#VALUE!</v>
      </c>
      <c r="E125" s="3367"/>
      <c r="F125" s="3367"/>
      <c r="G125" s="3367"/>
      <c r="H125" s="3367"/>
      <c r="I125" s="3368"/>
      <c r="AA125" s="734"/>
    </row>
    <row r="126" spans="1:27" ht="18.75" customHeight="1">
      <c r="A126" s="3357" t="str">
        <f>IF(项目基本情况!B9="房地产市场价值","",MID(E111,3,LEN(E111)-2))</f>
        <v/>
      </c>
      <c r="B126" s="3357"/>
      <c r="C126" s="3357"/>
      <c r="D126" s="3393" t="str">
        <f>H111</f>
        <v>——</v>
      </c>
      <c r="E126" s="3394"/>
      <c r="F126" s="3394"/>
      <c r="G126" s="3394"/>
      <c r="H126" s="3394"/>
      <c r="I126" s="3395"/>
      <c r="AA126" s="734"/>
    </row>
    <row r="127" spans="1:27" ht="18.75" customHeight="1">
      <c r="A127" s="3326" t="s">
        <v>2138</v>
      </c>
      <c r="B127" s="3326"/>
      <c r="C127" s="3326"/>
      <c r="D127" s="3366" t="e">
        <f>NUMBERSTRING(INT(D126*10000),2)&amp;"元整"</f>
        <v>#VALUE!</v>
      </c>
      <c r="E127" s="3367"/>
      <c r="F127" s="3367"/>
      <c r="G127" s="3367"/>
      <c r="H127" s="3367"/>
      <c r="I127" s="3368"/>
      <c r="AA127" s="734"/>
    </row>
    <row r="128" spans="1:27" ht="21.75" customHeight="1">
      <c r="A128" s="3376" t="s">
        <v>2139</v>
      </c>
      <c r="B128" s="3376"/>
      <c r="C128" s="3376"/>
      <c r="D128" s="3376"/>
      <c r="E128" s="3376"/>
      <c r="F128" s="3376"/>
      <c r="G128" s="3376"/>
      <c r="H128" s="3376"/>
      <c r="I128" s="3376"/>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t="e">
        <f ca="1">ROUND(IF(D2="——",C52/10000,C52/10000-E2),0)</f>
        <v>#DIV/0!</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t="e">
        <f ca="1">ROUND(B2*10000/(IF(B1="",'数据-汇总表'!E3,INDIRECT("'数据-取费表'!k"&amp;$G$1))),0)</f>
        <v>#DIV/0!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89100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89100</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89100</v>
      </c>
      <c r="D10" s="954">
        <f ca="1">IF(B1="",'数据-汇总表'!E6,IF(INDIRECT("'数据-取费表'!c"&amp;$G$1)="住宅",INDIRECT("'数据-取费表'!s"&amp;$G$1),INDIRECT("'数据-取费表'!k"&amp;$G$1)+INDIRECT("'数据-取费表'!s"&amp;$G$1)))</f>
        <v>445.5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89100</v>
      </c>
      <c r="D19" s="958">
        <f ca="1">D9+D10</f>
        <v>445.5</v>
      </c>
      <c r="E19" s="217">
        <f>'数据-取费表'!B31</f>
        <v>200</v>
      </c>
      <c r="F19" s="237"/>
      <c r="G19" s="2044"/>
    </row>
    <row r="20" spans="1:7" s="220" customFormat="1" ht="13.5" customHeight="1">
      <c r="A20" s="261" t="s">
        <v>2260</v>
      </c>
      <c r="B20" s="216" t="s">
        <v>2261</v>
      </c>
      <c r="C20" s="238">
        <f ca="1">ROUND((C5+C19)*F20,0)</f>
        <v>3564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17501</v>
      </c>
      <c r="D22" s="241">
        <f ca="1">C26</f>
        <v>1E-3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8666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8666</v>
      </c>
      <c r="D24" s="244"/>
      <c r="E24" s="244"/>
      <c r="F24" s="245"/>
      <c r="G24" s="246" t="s">
        <v>2272</v>
      </c>
    </row>
    <row r="25" spans="1:7" s="220" customFormat="1" ht="24">
      <c r="A25" s="888" t="s">
        <v>2162</v>
      </c>
      <c r="B25" s="221" t="s">
        <v>2273</v>
      </c>
      <c r="C25" s="1290">
        <f ca="1">ROUND(IF('数据-取费表'!B22&lt;=1,C20*F22*'数据-取费表'!B22/2,C20*(POWER((1+F22),'数据-取费表'!B22/2)-1)),0)</f>
        <v>169</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t="e">
        <f ca="1">C28</f>
        <v>#DIV/0!</v>
      </c>
      <c r="D27" s="241" t="e">
        <f ca="1">C29</f>
        <v>#DIV/0!</v>
      </c>
      <c r="E27" s="242" t="s">
        <v>2200</v>
      </c>
      <c r="F27" s="252" t="e">
        <f ca="1">IF(B1="",'数据-取费表'!Q16,INDIRECT("'数据-取费表'!q"&amp;$G$1))</f>
        <v>#DIV/0!</v>
      </c>
      <c r="G27" s="253" t="s">
        <v>2201</v>
      </c>
    </row>
    <row r="28" spans="1:7" s="220" customFormat="1" ht="13.5" customHeight="1">
      <c r="A28" s="888" t="s">
        <v>791</v>
      </c>
      <c r="B28" s="254" t="s">
        <v>2202</v>
      </c>
      <c r="C28" s="255" t="e">
        <f ca="1">ROUND((C5+C19+C20)*F27,0)</f>
        <v>#DIV/0!</v>
      </c>
      <c r="D28" s="241"/>
      <c r="E28" s="242"/>
      <c r="F28" s="252"/>
      <c r="G28" s="253"/>
    </row>
    <row r="29" spans="1:7" s="220" customFormat="1" ht="13.5" customHeight="1">
      <c r="A29" s="888" t="s">
        <v>792</v>
      </c>
      <c r="B29" s="254" t="s">
        <v>2203</v>
      </c>
      <c r="C29" s="244" t="e">
        <f ca="1">ROUND(C21*F27,4)</f>
        <v>#DIV/0!</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t="e">
        <f ca="1">ROUND((C5+C19+C20+C22+C27)/(1-C21-D22-D27-C30),0)</f>
        <v>#DIV/0!</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89100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0</v>
      </c>
      <c r="D34" s="223"/>
      <c r="E34" s="226"/>
      <c r="F34" s="263"/>
      <c r="G34" s="225"/>
    </row>
    <row r="35" spans="1:7" ht="13.5" customHeight="1">
      <c r="A35" s="888" t="s">
        <v>796</v>
      </c>
      <c r="B35" s="221" t="s">
        <v>2213</v>
      </c>
      <c r="C35" s="226">
        <f ca="1">ROUND(C34*F35,0)</f>
        <v>0</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0.1</v>
      </c>
      <c r="G36" s="266" t="s">
        <v>2216</v>
      </c>
    </row>
    <row r="37" spans="1:7" s="264" customFormat="1" ht="13.5" customHeight="1">
      <c r="A37" s="888" t="s">
        <v>798</v>
      </c>
      <c r="B37" s="221" t="s">
        <v>2217</v>
      </c>
      <c r="C37" s="255">
        <f ca="1">ROUND(E37*D37,0)</f>
        <v>89100</v>
      </c>
      <c r="D37" s="223">
        <f ca="1">D19</f>
        <v>445.5</v>
      </c>
      <c r="E37" s="255">
        <f>'数据-取费表'!B35</f>
        <v>200</v>
      </c>
      <c r="F37" s="265"/>
      <c r="G37" s="267"/>
    </row>
    <row r="38" spans="1:7" ht="13.5" customHeight="1">
      <c r="A38" s="888" t="s">
        <v>799</v>
      </c>
      <c r="B38" s="221" t="s">
        <v>2219</v>
      </c>
      <c r="C38" s="226">
        <f ca="1">ROUND(C34*F38,0)</f>
        <v>0</v>
      </c>
      <c r="D38" s="226"/>
      <c r="E38" s="226"/>
      <c r="F38" s="265">
        <f>'数据-取费表'!B36</f>
        <v>1.4999999999999999E-2</v>
      </c>
      <c r="G38" s="225" t="s">
        <v>2214</v>
      </c>
    </row>
    <row r="39" spans="1:7" s="220" customFormat="1" ht="13.5" customHeight="1">
      <c r="A39" s="261" t="s">
        <v>2220</v>
      </c>
      <c r="B39" s="216" t="s">
        <v>2221</v>
      </c>
      <c r="C39" s="238">
        <f ca="1">ROUND(C33*F20,0)</f>
        <v>1782</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f ca="1">ROUND(SUM(C42:C43),0)</f>
        <v>4317</v>
      </c>
      <c r="D41" s="241">
        <f ca="1">C44</f>
        <v>1E-3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4232</v>
      </c>
      <c r="D42" s="244"/>
      <c r="E42" s="244"/>
      <c r="F42" s="245"/>
      <c r="G42" s="3409" t="s">
        <v>2277</v>
      </c>
    </row>
    <row r="43" spans="1:7" ht="13.5" customHeight="1">
      <c r="A43" s="888" t="s">
        <v>792</v>
      </c>
      <c r="B43" s="221" t="s">
        <v>2231</v>
      </c>
      <c r="C43" s="244">
        <f ca="1">ROUND(IF('数据-取费表'!B22&lt;=1,C39*F22*'数据-取费表'!B20/2,C39*(POWER((1+F22),'数据-取费表'!B20/2)-1)),0)</f>
        <v>85</v>
      </c>
      <c r="D43" s="244"/>
      <c r="E43" s="244"/>
      <c r="F43" s="245"/>
      <c r="G43" s="3410"/>
    </row>
    <row r="44" spans="1:7" ht="13.5" customHeight="1">
      <c r="A44" s="888" t="s">
        <v>793</v>
      </c>
      <c r="B44" s="221" t="s">
        <v>2232</v>
      </c>
      <c r="C44" s="244">
        <f ca="1">ROUND(IF('数据-取费表'!B22&lt;=1,C40*F22*'数据-取费表'!B20/2,C40*(POWER((1+F22),'数据-取费表'!B20/2)-1)),4)</f>
        <v>1E-3</v>
      </c>
      <c r="D44" s="244"/>
      <c r="E44" s="244"/>
      <c r="F44" s="245"/>
      <c r="G44" s="3411"/>
    </row>
    <row r="45" spans="1:7" s="220" customFormat="1" ht="13.5" customHeight="1">
      <c r="A45" s="261" t="s">
        <v>2233</v>
      </c>
      <c r="B45" s="250" t="s">
        <v>2199</v>
      </c>
      <c r="C45" s="251" t="e">
        <f ca="1">C46</f>
        <v>#DIV/0!</v>
      </c>
      <c r="D45" s="241" t="e">
        <f ca="1">C47</f>
        <v>#DIV/0!</v>
      </c>
      <c r="E45" s="242" t="s">
        <v>2225</v>
      </c>
      <c r="F45" s="2539" t="e">
        <f ca="1">F27</f>
        <v>#DIV/0!</v>
      </c>
      <c r="G45" s="253" t="s">
        <v>2234</v>
      </c>
    </row>
    <row r="46" spans="1:7" s="220" customFormat="1" ht="13.5" customHeight="1">
      <c r="A46" s="888" t="s">
        <v>791</v>
      </c>
      <c r="B46" s="254" t="s">
        <v>2235</v>
      </c>
      <c r="C46" s="255" t="e">
        <f ca="1">ROUND((C33+C39)*F27,0)</f>
        <v>#DIV/0!</v>
      </c>
      <c r="D46" s="269"/>
      <c r="E46" s="242"/>
      <c r="F46" s="252"/>
      <c r="G46" s="253"/>
    </row>
    <row r="47" spans="1:7" s="220" customFormat="1" ht="13.5" customHeight="1">
      <c r="A47" s="888" t="s">
        <v>792</v>
      </c>
      <c r="B47" s="254" t="s">
        <v>2236</v>
      </c>
      <c r="C47" s="244" t="e">
        <f ca="1">ROUND(C40*F27,4)</f>
        <v>#DIV/0!</v>
      </c>
      <c r="D47" s="269"/>
      <c r="E47" s="242"/>
      <c r="F47" s="252"/>
      <c r="G47" s="253"/>
    </row>
    <row r="48" spans="1:7" s="220" customFormat="1" ht="13.5" customHeight="1">
      <c r="A48" s="261" t="s">
        <v>2198</v>
      </c>
      <c r="B48" s="216" t="s">
        <v>2237</v>
      </c>
      <c r="C48" s="268">
        <f>ROUND(F30/(1+'数据-取费表'!C42),4)</f>
        <v>5.33E-2</v>
      </c>
      <c r="D48" s="242" t="s">
        <v>2225</v>
      </c>
      <c r="E48" s="238"/>
      <c r="F48" s="2538">
        <f>F30</f>
        <v>5.6000000000000001E-2</v>
      </c>
      <c r="G48" s="240" t="s">
        <v>2238</v>
      </c>
    </row>
    <row r="49" spans="1:7" ht="16.5" customHeight="1">
      <c r="A49" s="261" t="s">
        <v>2204</v>
      </c>
      <c r="B49" s="216" t="s">
        <v>2278</v>
      </c>
      <c r="C49" s="238" t="e">
        <f ca="1">ROUND((C33+C39+C41+C45)/(1-C40-D41-D45-C48),0)</f>
        <v>#DIV/0!</v>
      </c>
      <c r="D49" s="238"/>
      <c r="E49" s="238"/>
      <c r="F49" s="270"/>
      <c r="G49" s="240" t="s">
        <v>2240</v>
      </c>
    </row>
    <row r="50" spans="1:7" s="264" customFormat="1">
      <c r="A50" s="261" t="s">
        <v>2241</v>
      </c>
      <c r="B50" s="216" t="s">
        <v>2242</v>
      </c>
      <c r="C50" s="238"/>
      <c r="D50" s="238"/>
      <c r="E50" s="238"/>
      <c r="F50" s="270" t="e">
        <f>IF('数据-取费表'!B24=0,'数据-取费表'!N16,1)</f>
        <v>#DIV/0!</v>
      </c>
      <c r="G50" s="253"/>
    </row>
    <row r="51" spans="1:7" ht="16.5" customHeight="1">
      <c r="A51" s="261" t="s">
        <v>2244</v>
      </c>
      <c r="B51" s="216" t="s">
        <v>2279</v>
      </c>
      <c r="C51" s="238" t="e">
        <f ca="1">ROUND(C49*F50,0)</f>
        <v>#DIV/0!</v>
      </c>
      <c r="D51" s="238"/>
      <c r="E51" s="238"/>
      <c r="F51" s="270"/>
      <c r="G51" s="240" t="s">
        <v>2246</v>
      </c>
    </row>
    <row r="52" spans="1:7" s="214" customFormat="1" ht="16.5" thickBot="1">
      <c r="A52" s="271" t="s">
        <v>2247</v>
      </c>
      <c r="B52" s="272"/>
      <c r="C52" s="273" t="e">
        <f ca="1">C31+C51</f>
        <v>#DIV/0!</v>
      </c>
      <c r="D52" s="272"/>
      <c r="E52" s="272"/>
      <c r="F52" s="272"/>
      <c r="G52" s="274"/>
    </row>
    <row r="55" spans="1:7" ht="15">
      <c r="B55" s="276" t="s">
        <v>2248</v>
      </c>
      <c r="C55" s="277"/>
    </row>
    <row r="56" spans="1:7">
      <c r="B56" s="279" t="s">
        <v>1478</v>
      </c>
      <c r="C56" s="281" t="e">
        <f ca="1">1-C57</f>
        <v>#DIV/0!</v>
      </c>
    </row>
    <row r="57" spans="1:7">
      <c r="B57" s="279" t="s">
        <v>1479</v>
      </c>
      <c r="C57" s="280" t="e">
        <f ca="1">ROUND(C51/C52,3)</f>
        <v>#DIV/0!</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4"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7" customWidth="1"/>
    <col min="2" max="2" width="25.625" style="889" customWidth="1"/>
    <col min="3" max="3" width="10.375" style="932" customWidth="1"/>
    <col min="4" max="4" width="9.875" style="889" customWidth="1"/>
    <col min="5" max="5" width="9.5" style="737" customWidth="1"/>
    <col min="6" max="6" width="10.125" style="889" customWidth="1"/>
    <col min="7" max="7" width="1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t="e">
        <f ca="1">C32</f>
        <v>#DIV/0!</v>
      </c>
      <c r="C2" s="282" t="s">
        <v>2281</v>
      </c>
      <c r="D2" s="282"/>
      <c r="E2" s="3037"/>
      <c r="F2" s="3037"/>
      <c r="G2" s="3037"/>
      <c r="H2" s="3037"/>
      <c r="I2" s="3037"/>
      <c r="J2" s="3037"/>
      <c r="K2" s="3037"/>
    </row>
    <row r="3" spans="1:33" ht="18" customHeight="1" thickBot="1">
      <c r="A3" s="209" t="s">
        <v>2150</v>
      </c>
      <c r="B3" s="210" t="e">
        <f ca="1">ROUND(B2*10000/IF(C1="",'数据-汇总表'!E3,INDIRECT("'数据-取费表'!K"&amp;$K$1)),0)</f>
        <v>#DIV/0!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0.1</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445.5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445.5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-191</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9</v>
      </c>
      <c r="D20" s="955">
        <f ca="1">IF(C1="",'数据-汇总表'!E6,IF(INDIRECT("'数据-取费表'!c"&amp;$K$1)="住宅",INDIRECT("'数据-取费表'!s"&amp;$K$1),INDIRECT("'数据-取费表'!k"&amp;$K$1)+INDIRECT("'数据-取费表'!s"&amp;$K$1)))</f>
        <v>445.5</v>
      </c>
      <c r="E20" s="24">
        <f>'数据-取费表'!B28</f>
        <v>200</v>
      </c>
      <c r="F20" s="913"/>
      <c r="G20" s="15"/>
      <c r="H20" s="918"/>
      <c r="I20" s="918"/>
      <c r="J20" s="918"/>
      <c r="K20" s="919"/>
    </row>
    <row r="21" spans="1:33" s="912" customFormat="1" ht="13.5" customHeight="1">
      <c r="A21" s="898" t="s">
        <v>802</v>
      </c>
      <c r="B21" s="922" t="s">
        <v>2317</v>
      </c>
      <c r="C21" s="923">
        <f ca="1">C16+C17+C18</f>
        <v>-191</v>
      </c>
      <c r="D21" s="924"/>
      <c r="E21" s="287"/>
      <c r="F21" s="287"/>
      <c r="G21" s="136" t="s">
        <v>2318</v>
      </c>
      <c r="H21" s="916"/>
      <c r="I21" s="916"/>
      <c r="J21" s="916"/>
      <c r="K21" s="917"/>
    </row>
    <row r="22" spans="1:33" s="912" customFormat="1" ht="13.5" customHeight="1">
      <c r="A22" s="898" t="s">
        <v>2290</v>
      </c>
      <c r="B22" s="922" t="s">
        <v>2319</v>
      </c>
      <c r="C22" s="923">
        <f ca="1">ROUND(C21*F22,0)</f>
        <v>-4</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t="e">
        <f ca="1">C30</f>
        <v>#DIV/0!</v>
      </c>
      <c r="D28" s="286" t="e">
        <f ca="1">C29</f>
        <v>#DIV/0!</v>
      </c>
      <c r="E28" s="288" t="s">
        <v>15</v>
      </c>
      <c r="F28" s="294" t="e">
        <f ca="1">IF(C1="",'数据-取费表'!Q16,INDIRECT("'数据-取费表'!q"&amp;$K$1))</f>
        <v>#DIV/0!</v>
      </c>
      <c r="G28" s="926"/>
      <c r="H28" s="927"/>
      <c r="I28" s="927"/>
      <c r="J28" s="927"/>
      <c r="K28" s="928"/>
    </row>
    <row r="29" spans="1:33" s="297" customFormat="1" ht="13.5" customHeight="1">
      <c r="A29" s="908" t="s">
        <v>803</v>
      </c>
      <c r="B29" s="931" t="s">
        <v>2332</v>
      </c>
      <c r="C29" s="290" t="e">
        <f ca="1">ROUND((1+C24)*F28*'数据-取费表'!B24/'数据-取费表'!B20,4)</f>
        <v>#DIV/0!</v>
      </c>
      <c r="D29" s="290"/>
      <c r="E29" s="291"/>
      <c r="F29" s="296"/>
      <c r="G29" s="136" t="s">
        <v>2333</v>
      </c>
      <c r="H29" s="916"/>
      <c r="I29" s="916"/>
      <c r="J29" s="916"/>
      <c r="K29" s="917"/>
    </row>
    <row r="30" spans="1:33" s="297" customFormat="1" ht="13.5" customHeight="1">
      <c r="A30" s="908" t="s">
        <v>804</v>
      </c>
      <c r="B30" s="931" t="s">
        <v>2334</v>
      </c>
      <c r="C30" s="298" t="e">
        <f ca="1">ROUND((C21+C22+C23)*F28,0)</f>
        <v>#DIV/0!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t="e">
        <f ca="1">ROUND((C4-C21-C22-C23-C25-C28-C31)/(1+C24+D25+D28),0)</f>
        <v>#DIV/0!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200-000000000000}">
      <formula1>项目类型</formula1>
    </dataValidation>
    <dataValidation type="list" allowBlank="1" showInputMessage="1" showErrorMessage="1" sqref="G18" xr:uid="{00000000-0002-0000-12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952" customWidth="1"/>
    <col min="2" max="9" width="10" style="952" customWidth="1"/>
    <col min="10" max="16384" width="9" style="952"/>
  </cols>
  <sheetData>
    <row r="36" spans="1:9">
      <c r="A36" s="951" t="s">
        <v>818</v>
      </c>
      <c r="B36" s="951" t="s">
        <v>819</v>
      </c>
    </row>
    <row r="37" spans="1:9" ht="27.75" customHeight="1">
      <c r="A37" s="951"/>
      <c r="B37" s="3220" t="str">
        <f>项目基本情况!B1</f>
        <v>北京市房地产市场价值预评估</v>
      </c>
      <c r="C37" s="3220"/>
      <c r="D37" s="3220"/>
      <c r="E37" s="3220"/>
      <c r="F37" s="3220"/>
      <c r="G37" s="3220"/>
      <c r="H37" s="3220"/>
      <c r="I37" s="3220"/>
    </row>
    <row r="38" spans="1:9">
      <c r="A38" s="953"/>
      <c r="B38" s="953"/>
    </row>
    <row r="39" spans="1:9">
      <c r="A39" s="951" t="s">
        <v>818</v>
      </c>
      <c r="B39" s="951" t="s">
        <v>820</v>
      </c>
    </row>
    <row r="40" spans="1:9">
      <c r="A40" s="951"/>
      <c r="B40" s="1661" t="str">
        <f>项目基本情况!B5</f>
        <v>中行</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陈颖（注册号：0)、叶凌（注册号：0)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6"/>
  <sheetViews>
    <sheetView tabSelected="1" view="pageBreakPreview" topLeftCell="B6" zoomScale="80" zoomScaleNormal="70" zoomScaleSheetLayoutView="80" workbookViewId="0">
      <selection activeCell="J17" sqref="J17"/>
    </sheetView>
  </sheetViews>
  <sheetFormatPr defaultColWidth="9" defaultRowHeight="14.25"/>
  <cols>
    <col min="1" max="1" width="10.5" style="363" customWidth="1"/>
    <col min="2" max="2" width="15.625" style="363" customWidth="1"/>
    <col min="3" max="3" width="18.125" style="363" customWidth="1"/>
    <col min="4" max="4" width="12.125" style="363" customWidth="1"/>
    <col min="5" max="5" width="17.125" style="363" bestFit="1" customWidth="1"/>
    <col min="6" max="6" width="12.125" style="363" customWidth="1"/>
    <col min="7" max="7" width="16.625" style="363" customWidth="1"/>
    <col min="8" max="8" width="12.125" style="363" customWidth="1"/>
    <col min="9" max="9" width="18.12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3182"/>
      <c r="C1" s="1392" t="s">
        <v>2351</v>
      </c>
      <c r="D1" s="1393" t="s">
        <v>1343</v>
      </c>
      <c r="E1" s="1402"/>
      <c r="F1" s="2067" t="s">
        <v>3204</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1</v>
      </c>
      <c r="C2" s="2069" t="s">
        <v>70</v>
      </c>
      <c r="D2" s="1275" t="e">
        <f ca="1">SUMIF(INDIRECT("'"&amp;F2&amp;"'"&amp;"!A:A"),"承租人权益价值",INDIRECT("'"&amp;F2&amp;"'"&amp;"!c:c"))</f>
        <v>#REF!</v>
      </c>
      <c r="E2" s="2070" t="s">
        <v>2149</v>
      </c>
      <c r="F2" s="2071"/>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16.3</v>
      </c>
      <c r="C3" s="360" t="s">
        <v>2465</v>
      </c>
      <c r="D3" s="359">
        <f>IF(D1="",'数据-汇总表'!E3,SUMIF('数据-汇总表'!$C19:$C33,D1,'数据-汇总表'!$E19:$E33))</f>
        <v>445.5</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431" t="s">
        <v>2467</v>
      </c>
      <c r="D4" s="3432"/>
      <c r="E4" s="3433" t="s">
        <v>2468</v>
      </c>
      <c r="F4" s="3434"/>
      <c r="G4" s="3431" t="s">
        <v>2469</v>
      </c>
      <c r="H4" s="3432"/>
      <c r="I4" s="3431" t="s">
        <v>2470</v>
      </c>
      <c r="J4" s="3432"/>
      <c r="K4" s="567" t="s">
        <v>2471</v>
      </c>
      <c r="L4" s="2944"/>
      <c r="M4" s="2945"/>
      <c r="N4" s="2945"/>
      <c r="O4" s="2945"/>
      <c r="P4" s="3435" t="s">
        <v>2472</v>
      </c>
      <c r="Q4" s="3436"/>
      <c r="R4" s="3441" t="s">
        <v>2468</v>
      </c>
      <c r="S4" s="3442"/>
      <c r="T4" s="3441" t="s">
        <v>2469</v>
      </c>
      <c r="U4" s="3442"/>
      <c r="V4" s="3447" t="s">
        <v>2470</v>
      </c>
      <c r="W4" s="3447"/>
      <c r="X4" s="2146"/>
      <c r="Y4" s="3441" t="s">
        <v>2472</v>
      </c>
      <c r="Z4" s="3442"/>
      <c r="AA4" s="3459" t="s">
        <v>2468</v>
      </c>
      <c r="AB4" s="3459" t="s">
        <v>2469</v>
      </c>
      <c r="AC4" s="3428" t="s">
        <v>2470</v>
      </c>
    </row>
    <row r="5" spans="1:29" ht="15">
      <c r="A5" s="364"/>
      <c r="B5" s="365"/>
      <c r="C5" s="3455" t="s">
        <v>3366</v>
      </c>
      <c r="D5" s="3456"/>
      <c r="E5" s="3449" t="str">
        <f>周边商铺价格调研表!A4</f>
        <v>伊藤洋华堂</v>
      </c>
      <c r="F5" s="3450"/>
      <c r="G5" s="3449" t="str">
        <f>周边商铺价格调研表!A9</f>
        <v>凤凰置地广场</v>
      </c>
      <c r="H5" s="3450"/>
      <c r="I5" s="3449" t="str">
        <f>周边商铺价格调研表!A10</f>
        <v>鼎城时代广场</v>
      </c>
      <c r="J5" s="3450"/>
      <c r="K5" s="567"/>
      <c r="L5" s="2944"/>
      <c r="M5" s="2945"/>
      <c r="N5" s="2945"/>
      <c r="O5" s="2945"/>
      <c r="P5" s="3437"/>
      <c r="Q5" s="3438"/>
      <c r="R5" s="3443"/>
      <c r="S5" s="3444"/>
      <c r="T5" s="3443"/>
      <c r="U5" s="3444"/>
      <c r="V5" s="3448"/>
      <c r="W5" s="3448"/>
      <c r="X5" s="1541"/>
      <c r="Y5" s="3443"/>
      <c r="Z5" s="3444"/>
      <c r="AA5" s="3460"/>
      <c r="AB5" s="3460"/>
      <c r="AC5" s="3429"/>
    </row>
    <row r="6" spans="1:29" ht="15.75" thickBot="1">
      <c r="A6" s="366"/>
      <c r="B6" s="367"/>
      <c r="C6" s="3457" t="s">
        <v>3367</v>
      </c>
      <c r="D6" s="3458"/>
      <c r="E6" s="3449" t="str">
        <f>周边商铺价格调研表!B4</f>
        <v>北京市朝阳区北四环东路108号</v>
      </c>
      <c r="F6" s="3450"/>
      <c r="G6" s="3449" t="str">
        <f>周边商铺价格调研表!B9</f>
        <v>北京市朝阳区曙光西里甲5号</v>
      </c>
      <c r="H6" s="3450"/>
      <c r="I6" s="3449" t="str">
        <f>周边商铺价格调研表!B10</f>
        <v>北京市朝阳区小营北路15号</v>
      </c>
      <c r="J6" s="3450"/>
      <c r="K6" s="567" t="s">
        <v>2368</v>
      </c>
      <c r="L6" s="2944"/>
      <c r="M6" s="2945"/>
      <c r="N6" s="2945"/>
      <c r="O6" s="2945"/>
      <c r="P6" s="3439"/>
      <c r="Q6" s="3440"/>
      <c r="R6" s="3443"/>
      <c r="S6" s="3444"/>
      <c r="T6" s="3445"/>
      <c r="U6" s="3446"/>
      <c r="V6" s="3448"/>
      <c r="W6" s="3448"/>
      <c r="X6" s="1541"/>
      <c r="Y6" s="3445"/>
      <c r="Z6" s="3446"/>
      <c r="AA6" s="3461"/>
      <c r="AB6" s="3461"/>
      <c r="AC6" s="3430"/>
    </row>
    <row r="7" spans="1:29" s="113" customFormat="1" ht="15.75" thickBot="1">
      <c r="A7" s="368" t="s">
        <v>2369</v>
      </c>
      <c r="B7" s="369"/>
      <c r="C7" s="370">
        <f>'数据-取费表'!B2</f>
        <v>44959</v>
      </c>
      <c r="D7" s="371">
        <v>100</v>
      </c>
      <c r="E7" s="3180">
        <f>C7</f>
        <v>44959</v>
      </c>
      <c r="F7" s="607">
        <f>SUMIF(59:59,YEAR(E7)&amp;"-"&amp;MONTH(E7),60:60)</f>
        <v>100</v>
      </c>
      <c r="G7" s="3180">
        <f>C7</f>
        <v>44959</v>
      </c>
      <c r="H7" s="606">
        <f>SUMIF(59:59,YEAR(G7)&amp;"-"&amp;MONTH(G7),60:60)</f>
        <v>100</v>
      </c>
      <c r="I7" s="3180">
        <f>C7</f>
        <v>44959</v>
      </c>
      <c r="J7" s="606">
        <f>SUMIF(59:59,YEAR(I7)&amp;"-"&amp;MONTH(I7),60:60)</f>
        <v>100</v>
      </c>
      <c r="K7" s="568"/>
      <c r="L7" s="2946"/>
      <c r="M7" s="2947"/>
      <c r="N7" s="2947"/>
      <c r="O7" s="2947"/>
      <c r="P7" s="3451" t="s">
        <v>2370</v>
      </c>
      <c r="Q7" s="3454"/>
      <c r="R7" s="710" t="s">
        <v>17</v>
      </c>
      <c r="S7" s="711">
        <f t="shared" ref="S7:S15" si="0">F7</f>
        <v>100</v>
      </c>
      <c r="T7" s="710" t="s">
        <v>17</v>
      </c>
      <c r="U7" s="711">
        <f t="shared" ref="U7:U15" si="1">H7</f>
        <v>100</v>
      </c>
      <c r="V7" s="710" t="s">
        <v>17</v>
      </c>
      <c r="W7" s="711">
        <f t="shared" ref="W7:W15" si="2">J7</f>
        <v>100</v>
      </c>
      <c r="X7" s="712"/>
      <c r="Y7" s="3453" t="s">
        <v>2370</v>
      </c>
      <c r="Z7" s="3452"/>
      <c r="AA7" s="713">
        <f>D7/F7</f>
        <v>1</v>
      </c>
      <c r="AB7" s="713">
        <f>D7/H7</f>
        <v>1</v>
      </c>
      <c r="AC7" s="2147">
        <f>D7/J7</f>
        <v>1</v>
      </c>
    </row>
    <row r="8" spans="1:29" s="113" customFormat="1" ht="15.75" thickBot="1">
      <c r="A8" s="368" t="s">
        <v>2371</v>
      </c>
      <c r="B8" s="369"/>
      <c r="C8" s="374" t="s">
        <v>2473</v>
      </c>
      <c r="D8" s="371">
        <v>100</v>
      </c>
      <c r="E8" s="374" t="s">
        <v>3314</v>
      </c>
      <c r="F8" s="3126">
        <f>SUMIF(62:62,E8,63:63)-SUMIF(62:62,C8,63:63)+100</f>
        <v>100</v>
      </c>
      <c r="G8" s="374" t="s">
        <v>3314</v>
      </c>
      <c r="H8" s="371">
        <f>SUMIF(62:62,G8,63:63)-SUMIF(62:62,C8,63:63)+100</f>
        <v>100</v>
      </c>
      <c r="I8" s="374" t="s">
        <v>3314</v>
      </c>
      <c r="J8" s="371">
        <f>SUMIF(62:62,I8,63:63)-SUMIF(62:62,C8,63:63)+100</f>
        <v>100</v>
      </c>
      <c r="K8" s="568"/>
      <c r="L8" s="2946"/>
      <c r="M8" s="2947"/>
      <c r="N8" s="2947"/>
      <c r="O8" s="2947"/>
      <c r="P8" s="3451" t="s">
        <v>2373</v>
      </c>
      <c r="Q8" s="3452"/>
      <c r="R8" s="710" t="s">
        <v>17</v>
      </c>
      <c r="S8" s="711">
        <f t="shared" si="0"/>
        <v>100</v>
      </c>
      <c r="T8" s="710" t="s">
        <v>17</v>
      </c>
      <c r="U8" s="711">
        <f t="shared" si="1"/>
        <v>100</v>
      </c>
      <c r="V8" s="710" t="s">
        <v>17</v>
      </c>
      <c r="W8" s="711">
        <f t="shared" si="2"/>
        <v>100</v>
      </c>
      <c r="X8" s="712"/>
      <c r="Y8" s="3453" t="s">
        <v>2373</v>
      </c>
      <c r="Z8" s="3452"/>
      <c r="AA8" s="713">
        <f t="shared" ref="AA8:AA47" si="3">D8/F8</f>
        <v>1</v>
      </c>
      <c r="AB8" s="713">
        <f t="shared" ref="AB8:AB47" si="4">D8/H8</f>
        <v>1</v>
      </c>
      <c r="AC8" s="2147">
        <f t="shared" ref="AC8:AC47" si="5">D8/J8</f>
        <v>1</v>
      </c>
    </row>
    <row r="9" spans="1:29" s="113" customFormat="1">
      <c r="A9" s="375" t="s">
        <v>2374</v>
      </c>
      <c r="B9" s="67" t="s">
        <v>2375</v>
      </c>
      <c r="C9" s="3123" t="s">
        <v>3301</v>
      </c>
      <c r="D9" s="131">
        <v>100</v>
      </c>
      <c r="E9" s="379" t="s">
        <v>1343</v>
      </c>
      <c r="F9" s="131">
        <f>SUMIF(64:64,E9,65:65)-SUMIF(64:64,C9,65:65)+100</f>
        <v>100</v>
      </c>
      <c r="G9" s="379" t="s">
        <v>1343</v>
      </c>
      <c r="H9" s="131">
        <f>SUMIF(64:64,G9,65:65)-SUMIF(64:64,C9,65:65)+100</f>
        <v>100</v>
      </c>
      <c r="I9" s="379" t="s">
        <v>1343</v>
      </c>
      <c r="J9" s="131">
        <f>SUMIF(64:64,I9,65:65)-SUMIF(64:64,C9,65:65)+100</f>
        <v>100</v>
      </c>
      <c r="K9" s="568"/>
      <c r="L9" s="2946"/>
      <c r="M9" s="2947"/>
      <c r="N9" s="2947"/>
      <c r="O9" s="2947"/>
      <c r="P9" s="3412"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2147">
        <f t="shared" si="5"/>
        <v>1</v>
      </c>
    </row>
    <row r="10" spans="1:29" s="386" customFormat="1" ht="27.75" thickBot="1">
      <c r="A10" s="380"/>
      <c r="B10" s="381" t="s">
        <v>2378</v>
      </c>
      <c r="C10" s="382" t="s">
        <v>3290</v>
      </c>
      <c r="D10" s="132">
        <v>100</v>
      </c>
      <c r="E10" s="382" t="s">
        <v>3290</v>
      </c>
      <c r="F10" s="132">
        <f>SUMIF(66:66,E10,67:67)-SUMIF(66:66,C10,67:67)+100</f>
        <v>100</v>
      </c>
      <c r="G10" s="382" t="s">
        <v>3290</v>
      </c>
      <c r="H10" s="132">
        <f>SUMIF(66:66,G10,67:67)-SUMIF(66:66,C10,67:67)+100</f>
        <v>100</v>
      </c>
      <c r="I10" s="382" t="s">
        <v>3290</v>
      </c>
      <c r="J10" s="132">
        <f>SUMIF(66:66,I10,67:67)-SUMIF(66:66,C10,67:67)+100</f>
        <v>100</v>
      </c>
      <c r="K10" s="569">
        <v>0</v>
      </c>
      <c r="L10" s="2948"/>
      <c r="M10" s="2949"/>
      <c r="N10" s="2949"/>
      <c r="O10" s="2949"/>
      <c r="P10" s="3412"/>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2147">
        <f t="shared" si="5"/>
        <v>1</v>
      </c>
    </row>
    <row r="11" spans="1:29" ht="15" hidden="1">
      <c r="A11" s="387"/>
      <c r="B11" s="381" t="s">
        <v>2379</v>
      </c>
      <c r="C11" s="388">
        <v>2.5</v>
      </c>
      <c r="D11" s="132">
        <v>100</v>
      </c>
      <c r="E11" s="388">
        <f>C11</f>
        <v>2.5</v>
      </c>
      <c r="F11" s="132">
        <f>LOOKUP(E11,69:69,70:70)-LOOKUP(C11,69:69,70:70)+100</f>
        <v>100</v>
      </c>
      <c r="G11" s="389">
        <f>C11</f>
        <v>2.5</v>
      </c>
      <c r="H11" s="132">
        <f>LOOKUP(G11,69:69,70:70)-LOOKUP(C11,69:69,70:70)+100</f>
        <v>100</v>
      </c>
      <c r="I11" s="388">
        <f>C11</f>
        <v>2.5</v>
      </c>
      <c r="J11" s="132">
        <f>LOOKUP(I11,69:69,70:70)-LOOKUP(C11,69:69,70:70)+100</f>
        <v>100</v>
      </c>
      <c r="K11" s="569"/>
      <c r="L11" s="2950"/>
      <c r="M11" s="2945"/>
      <c r="N11" s="2945"/>
      <c r="O11" s="2945"/>
      <c r="P11" s="3412"/>
      <c r="Q11" s="1529" t="str">
        <f t="shared" si="6"/>
        <v>容积率</v>
      </c>
      <c r="R11" s="710" t="s">
        <v>17</v>
      </c>
      <c r="S11" s="711">
        <f t="shared" si="0"/>
        <v>100</v>
      </c>
      <c r="T11" s="710" t="s">
        <v>17</v>
      </c>
      <c r="U11" s="711">
        <f t="shared" si="1"/>
        <v>100</v>
      </c>
      <c r="V11" s="710" t="s">
        <v>17</v>
      </c>
      <c r="W11" s="711">
        <f t="shared" si="2"/>
        <v>100</v>
      </c>
      <c r="X11" s="712"/>
      <c r="Y11" s="3313"/>
      <c r="Z11" s="55" t="str">
        <f t="shared" si="7"/>
        <v>容积率</v>
      </c>
      <c r="AA11" s="713">
        <f t="shared" si="3"/>
        <v>1</v>
      </c>
      <c r="AB11" s="713">
        <f t="shared" si="4"/>
        <v>1</v>
      </c>
      <c r="AC11" s="2147">
        <f t="shared" si="5"/>
        <v>1</v>
      </c>
    </row>
    <row r="12" spans="1:29" s="113" customFormat="1" ht="15" hidden="1">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412"/>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2147">
        <f>D12/J12</f>
        <v>1</v>
      </c>
    </row>
    <row r="13" spans="1:29" ht="15" hidden="1">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412"/>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2147">
        <f t="shared" si="5"/>
        <v>1</v>
      </c>
    </row>
    <row r="14" spans="1:29" ht="15.75" hidden="1"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412"/>
      <c r="Q14" s="1529">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2147">
        <f t="shared" si="5"/>
        <v>1</v>
      </c>
    </row>
    <row r="15" spans="1:29" ht="54.75">
      <c r="A15" s="399" t="s">
        <v>2380</v>
      </c>
      <c r="B15" s="3181" t="str">
        <f>估价对象房地状况!B4</f>
        <v>商业繁华度</v>
      </c>
      <c r="C15" s="2151" t="s">
        <v>3252</v>
      </c>
      <c r="D15" s="400">
        <v>100</v>
      </c>
      <c r="E15" s="403"/>
      <c r="F15" s="400">
        <f>SUMIF(77:77,E16,78:78)-SUMIF(77:77,C16,78:78)+100</f>
        <v>100</v>
      </c>
      <c r="G15" s="401"/>
      <c r="H15" s="400">
        <f>SUMIF(77:77,G16,78:78)-SUMIF(77:77,C16,78:78)+100</f>
        <v>100</v>
      </c>
      <c r="I15" s="401"/>
      <c r="J15" s="400">
        <f>SUMIF(77:77,I16,78:78)-SUMIF(77:77,C16,78:78)+100</f>
        <v>100</v>
      </c>
      <c r="K15" s="571">
        <v>2</v>
      </c>
      <c r="L15" s="2951"/>
      <c r="M15" s="2945"/>
      <c r="N15" s="2945"/>
      <c r="O15" s="2945"/>
      <c r="P15" s="3418" t="s">
        <v>2381</v>
      </c>
      <c r="Q15" s="1538" t="str">
        <f t="shared" si="6"/>
        <v>商业繁华度</v>
      </c>
      <c r="R15" s="714" t="s">
        <v>17</v>
      </c>
      <c r="S15" s="715">
        <f t="shared" si="0"/>
        <v>100</v>
      </c>
      <c r="T15" s="714" t="s">
        <v>17</v>
      </c>
      <c r="U15" s="715">
        <f t="shared" si="1"/>
        <v>100</v>
      </c>
      <c r="V15" s="714" t="s">
        <v>17</v>
      </c>
      <c r="W15" s="715">
        <f t="shared" si="2"/>
        <v>100</v>
      </c>
      <c r="X15" s="1541"/>
      <c r="Y15" s="3420" t="s">
        <v>2381</v>
      </c>
      <c r="Z15" s="1542" t="str">
        <f t="shared" si="7"/>
        <v>商业繁华度</v>
      </c>
      <c r="AA15" s="1539">
        <f t="shared" si="3"/>
        <v>1</v>
      </c>
      <c r="AB15" s="1539">
        <f t="shared" si="4"/>
        <v>1</v>
      </c>
      <c r="AC15" s="2150">
        <f t="shared" si="5"/>
        <v>1</v>
      </c>
    </row>
    <row r="16" spans="1:29" ht="15">
      <c r="A16" s="387"/>
      <c r="B16" s="586"/>
      <c r="C16" s="2092" t="s">
        <v>3209</v>
      </c>
      <c r="D16" s="407"/>
      <c r="E16" s="2092" t="s">
        <v>3209</v>
      </c>
      <c r="F16" s="407"/>
      <c r="G16" s="2092" t="s">
        <v>3209</v>
      </c>
      <c r="H16" s="409"/>
      <c r="I16" s="2092" t="s">
        <v>3209</v>
      </c>
      <c r="J16" s="407"/>
      <c r="K16" s="572"/>
      <c r="L16" s="2951"/>
      <c r="M16" s="2945"/>
      <c r="N16" s="2945"/>
      <c r="O16" s="2945"/>
      <c r="P16" s="3419"/>
      <c r="Q16" s="1538"/>
      <c r="R16" s="714"/>
      <c r="S16" s="715"/>
      <c r="T16" s="714"/>
      <c r="U16" s="715"/>
      <c r="V16" s="714"/>
      <c r="W16" s="715"/>
      <c r="X16" s="1541"/>
      <c r="Y16" s="3421"/>
      <c r="Z16" s="1542"/>
      <c r="AA16" s="1539">
        <v>1</v>
      </c>
      <c r="AB16" s="1539">
        <v>1</v>
      </c>
      <c r="AC16" s="2150">
        <v>1</v>
      </c>
    </row>
    <row r="17" spans="1:29" ht="71.25">
      <c r="A17" s="387"/>
      <c r="B17" s="587" t="s">
        <v>1945</v>
      </c>
      <c r="C17" s="2151" t="str">
        <f>估价对象房地状况!C6</f>
        <v>好-估价对象临近城市主干道—安定路，临近地铁10号线（安贞门站）有18路、108路、124路、380路、387路等10余条公交线路</v>
      </c>
      <c r="D17" s="409">
        <v>100</v>
      </c>
      <c r="E17" s="413"/>
      <c r="F17" s="409">
        <f>SUMIF(79:79,E18,80:80)-SUMIF(79:79,C18,80:80)+100</f>
        <v>100</v>
      </c>
      <c r="G17" s="411"/>
      <c r="H17" s="414">
        <f>SUMIF(79:79,G18,80:80)-SUMIF(79:79,C18,80:80)+100</f>
        <v>100</v>
      </c>
      <c r="I17" s="411"/>
      <c r="J17" s="414">
        <f>SUMIF(79:79,I18,80:80)-SUMIF(79:79,C18,80:80)+100</f>
        <v>100</v>
      </c>
      <c r="K17" s="571">
        <v>2</v>
      </c>
      <c r="L17" s="2951"/>
      <c r="M17" s="2945"/>
      <c r="N17" s="2945"/>
      <c r="O17" s="2945"/>
      <c r="P17" s="3419"/>
      <c r="Q17" s="1538" t="str">
        <f>B17</f>
        <v>交通便捷度</v>
      </c>
      <c r="R17" s="714" t="s">
        <v>17</v>
      </c>
      <c r="S17" s="715">
        <f>F17</f>
        <v>100</v>
      </c>
      <c r="T17" s="714" t="s">
        <v>17</v>
      </c>
      <c r="U17" s="715">
        <f>H17</f>
        <v>100</v>
      </c>
      <c r="V17" s="714" t="s">
        <v>17</v>
      </c>
      <c r="W17" s="715">
        <f>J17</f>
        <v>100</v>
      </c>
      <c r="X17" s="1541"/>
      <c r="Y17" s="3421"/>
      <c r="Z17" s="1542" t="str">
        <f>Q17</f>
        <v>交通便捷度</v>
      </c>
      <c r="AA17" s="1539">
        <f t="shared" si="3"/>
        <v>1</v>
      </c>
      <c r="AB17" s="1539">
        <f t="shared" si="4"/>
        <v>1</v>
      </c>
      <c r="AC17" s="2150">
        <f t="shared" si="5"/>
        <v>1</v>
      </c>
    </row>
    <row r="18" spans="1:29" ht="15">
      <c r="A18" s="387"/>
      <c r="B18" s="588"/>
      <c r="C18" s="2092" t="s">
        <v>3208</v>
      </c>
      <c r="D18" s="409"/>
      <c r="E18" s="2092" t="s">
        <v>3208</v>
      </c>
      <c r="F18" s="409"/>
      <c r="G18" s="2092" t="s">
        <v>3208</v>
      </c>
      <c r="H18" s="407"/>
      <c r="I18" s="2092" t="s">
        <v>3208</v>
      </c>
      <c r="J18" s="407"/>
      <c r="K18" s="572"/>
      <c r="L18" s="2951"/>
      <c r="M18" s="2945"/>
      <c r="N18" s="2945"/>
      <c r="O18" s="2945"/>
      <c r="P18" s="3419"/>
      <c r="Q18" s="1538"/>
      <c r="R18" s="714"/>
      <c r="S18" s="715"/>
      <c r="T18" s="714"/>
      <c r="U18" s="715"/>
      <c r="V18" s="714"/>
      <c r="W18" s="715"/>
      <c r="X18" s="1541"/>
      <c r="Y18" s="3421"/>
      <c r="Z18" s="1542"/>
      <c r="AA18" s="1539">
        <v>1</v>
      </c>
      <c r="AB18" s="1539">
        <v>1</v>
      </c>
      <c r="AC18" s="2150">
        <v>1</v>
      </c>
    </row>
    <row r="19" spans="1:29" ht="28.5">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1"/>
      <c r="M19" s="2945"/>
      <c r="N19" s="2945"/>
      <c r="O19" s="2945"/>
      <c r="P19" s="3419"/>
      <c r="Q19" s="1538" t="str">
        <f>B19</f>
        <v>公共配套设施</v>
      </c>
      <c r="R19" s="714" t="s">
        <v>17</v>
      </c>
      <c r="S19" s="715">
        <f>F19</f>
        <v>100</v>
      </c>
      <c r="T19" s="714" t="s">
        <v>17</v>
      </c>
      <c r="U19" s="715">
        <f>H19</f>
        <v>100</v>
      </c>
      <c r="V19" s="714" t="s">
        <v>17</v>
      </c>
      <c r="W19" s="715">
        <f>J19</f>
        <v>100</v>
      </c>
      <c r="X19" s="1541"/>
      <c r="Y19" s="3421"/>
      <c r="Z19" s="1542" t="str">
        <f>Q19</f>
        <v>公共配套设施</v>
      </c>
      <c r="AA19" s="1539">
        <f t="shared" si="3"/>
        <v>1</v>
      </c>
      <c r="AB19" s="1539">
        <f t="shared" si="4"/>
        <v>1</v>
      </c>
      <c r="AC19" s="2150">
        <f t="shared" si="5"/>
        <v>1</v>
      </c>
    </row>
    <row r="20" spans="1:29" ht="15">
      <c r="A20" s="387"/>
      <c r="B20" s="588"/>
      <c r="C20" s="2092" t="s">
        <v>3209</v>
      </c>
      <c r="D20" s="407"/>
      <c r="E20" s="2092" t="s">
        <v>3209</v>
      </c>
      <c r="F20" s="407"/>
      <c r="G20" s="2092" t="s">
        <v>3209</v>
      </c>
      <c r="H20" s="407"/>
      <c r="I20" s="2092" t="s">
        <v>3209</v>
      </c>
      <c r="J20" s="407"/>
      <c r="K20" s="572"/>
      <c r="L20" s="2951"/>
      <c r="M20" s="2945"/>
      <c r="N20" s="2945"/>
      <c r="O20" s="2945"/>
      <c r="P20" s="3419"/>
      <c r="Q20" s="1538"/>
      <c r="R20" s="714"/>
      <c r="S20" s="715"/>
      <c r="T20" s="714"/>
      <c r="U20" s="715"/>
      <c r="V20" s="714"/>
      <c r="W20" s="715"/>
      <c r="X20" s="1541"/>
      <c r="Y20" s="3421"/>
      <c r="Z20" s="1542"/>
      <c r="AA20" s="1539">
        <v>1</v>
      </c>
      <c r="AB20" s="1539">
        <v>1</v>
      </c>
      <c r="AC20" s="2150">
        <v>1</v>
      </c>
    </row>
    <row r="21" spans="1:29" ht="28.5">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419"/>
      <c r="Q21" s="1538" t="str">
        <f>B21</f>
        <v>基础设施水平</v>
      </c>
      <c r="R21" s="714" t="s">
        <v>17</v>
      </c>
      <c r="S21" s="715">
        <f>F21</f>
        <v>100</v>
      </c>
      <c r="T21" s="714" t="s">
        <v>17</v>
      </c>
      <c r="U21" s="715">
        <f>H21</f>
        <v>100</v>
      </c>
      <c r="V21" s="714" t="s">
        <v>17</v>
      </c>
      <c r="W21" s="715">
        <f>J21</f>
        <v>100</v>
      </c>
      <c r="X21" s="1541"/>
      <c r="Y21" s="3421"/>
      <c r="Z21" s="1542" t="str">
        <f>Q21</f>
        <v>基础设施水平</v>
      </c>
      <c r="AA21" s="1539">
        <f t="shared" ref="AA21" si="8">D21/F21</f>
        <v>1</v>
      </c>
      <c r="AB21" s="1539">
        <f t="shared" ref="AB21" si="9">D21/H21</f>
        <v>1</v>
      </c>
      <c r="AC21" s="2150">
        <f t="shared" ref="AC21" si="10">D21/J21</f>
        <v>1</v>
      </c>
    </row>
    <row r="22" spans="1:29" ht="15">
      <c r="A22" s="387"/>
      <c r="B22" s="589"/>
      <c r="C22" s="2152" t="s">
        <v>3324</v>
      </c>
      <c r="D22" s="407"/>
      <c r="E22" s="2152" t="s">
        <v>3324</v>
      </c>
      <c r="F22" s="407"/>
      <c r="G22" s="2152" t="s">
        <v>3324</v>
      </c>
      <c r="H22" s="407"/>
      <c r="I22" s="2152" t="s">
        <v>3324</v>
      </c>
      <c r="J22" s="407"/>
      <c r="K22" s="1292"/>
      <c r="L22" s="2951"/>
      <c r="M22" s="2945"/>
      <c r="N22" s="2945"/>
      <c r="O22" s="2945"/>
      <c r="P22" s="3419"/>
      <c r="Q22" s="1538"/>
      <c r="R22" s="714"/>
      <c r="S22" s="715"/>
      <c r="T22" s="714"/>
      <c r="U22" s="715"/>
      <c r="V22" s="714"/>
      <c r="W22" s="715"/>
      <c r="X22" s="1541"/>
      <c r="Y22" s="3421"/>
      <c r="Z22" s="1542"/>
      <c r="AA22" s="1539">
        <v>1</v>
      </c>
      <c r="AB22" s="1539">
        <v>1</v>
      </c>
      <c r="AC22" s="2150">
        <v>1</v>
      </c>
    </row>
    <row r="23" spans="1:29" ht="42.75">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1"/>
      <c r="M23" s="2945"/>
      <c r="N23" s="2945"/>
      <c r="O23" s="2945"/>
      <c r="P23" s="3419"/>
      <c r="Q23" s="1538" t="str">
        <f>B23</f>
        <v>环境质量</v>
      </c>
      <c r="R23" s="714" t="s">
        <v>17</v>
      </c>
      <c r="S23" s="715">
        <f>F23</f>
        <v>100</v>
      </c>
      <c r="T23" s="714" t="s">
        <v>17</v>
      </c>
      <c r="U23" s="715">
        <f>H23</f>
        <v>100</v>
      </c>
      <c r="V23" s="714" t="s">
        <v>17</v>
      </c>
      <c r="W23" s="715">
        <f>J23</f>
        <v>100</v>
      </c>
      <c r="X23" s="1541"/>
      <c r="Y23" s="3421"/>
      <c r="Z23" s="1542" t="str">
        <f>Q23</f>
        <v>环境质量</v>
      </c>
      <c r="AA23" s="1539">
        <f t="shared" si="3"/>
        <v>1</v>
      </c>
      <c r="AB23" s="1539">
        <f t="shared" si="4"/>
        <v>1</v>
      </c>
      <c r="AC23" s="2150">
        <f t="shared" si="5"/>
        <v>1</v>
      </c>
    </row>
    <row r="24" spans="1:29" ht="15">
      <c r="A24" s="387"/>
      <c r="B24" s="589"/>
      <c r="C24" s="2092" t="s">
        <v>3208</v>
      </c>
      <c r="D24" s="407"/>
      <c r="E24" s="2092" t="s">
        <v>3208</v>
      </c>
      <c r="F24" s="407"/>
      <c r="G24" s="2092" t="s">
        <v>3208</v>
      </c>
      <c r="H24" s="407"/>
      <c r="I24" s="2092" t="s">
        <v>3208</v>
      </c>
      <c r="J24" s="407"/>
      <c r="K24" s="572"/>
      <c r="L24" s="2951"/>
      <c r="M24" s="2945"/>
      <c r="N24" s="2945"/>
      <c r="O24" s="2945"/>
      <c r="P24" s="3419"/>
      <c r="Q24" s="1538"/>
      <c r="R24" s="714"/>
      <c r="S24" s="715"/>
      <c r="T24" s="714"/>
      <c r="U24" s="715"/>
      <c r="V24" s="714"/>
      <c r="W24" s="715"/>
      <c r="X24" s="1541"/>
      <c r="Y24" s="3421"/>
      <c r="Z24" s="1542"/>
      <c r="AA24" s="1539">
        <v>1</v>
      </c>
      <c r="AB24" s="1539">
        <v>1</v>
      </c>
      <c r="AC24" s="2150">
        <v>1</v>
      </c>
    </row>
    <row r="25" spans="1:29" ht="27">
      <c r="A25" s="364"/>
      <c r="B25" s="587" t="s">
        <v>2512</v>
      </c>
      <c r="C25" s="3131"/>
      <c r="D25" s="394">
        <v>100</v>
      </c>
      <c r="E25" s="3131"/>
      <c r="F25" s="394">
        <f>SUMIF(87:87,E26,88:88)-SUMIF(87:87,C26,88:88)+100</f>
        <v>101</v>
      </c>
      <c r="G25" s="3131"/>
      <c r="H25" s="394">
        <f>SUMIF(87:87,G26,88:88)-SUMIF(87:87,C26,88:88)+100</f>
        <v>102</v>
      </c>
      <c r="I25" s="3131"/>
      <c r="J25" s="394">
        <f>SUMIF(87:87,I26,88:88)-SUMIF(87:87,C26,88:88)+100</f>
        <v>99</v>
      </c>
      <c r="K25" s="571">
        <v>1</v>
      </c>
      <c r="L25" s="2951"/>
      <c r="M25" s="2945"/>
      <c r="N25" s="2945"/>
      <c r="O25" s="2945"/>
      <c r="P25" s="3419"/>
      <c r="Q25" s="1538" t="str">
        <f>B25</f>
        <v>毗邻道路的类型与等级</v>
      </c>
      <c r="R25" s="714" t="s">
        <v>17</v>
      </c>
      <c r="S25" s="715">
        <f>F25</f>
        <v>101</v>
      </c>
      <c r="T25" s="714" t="s">
        <v>17</v>
      </c>
      <c r="U25" s="715">
        <f>H25</f>
        <v>102</v>
      </c>
      <c r="V25" s="714" t="s">
        <v>17</v>
      </c>
      <c r="W25" s="715">
        <f>J25</f>
        <v>99</v>
      </c>
      <c r="X25" s="1541"/>
      <c r="Y25" s="3421"/>
      <c r="Z25" s="1542" t="str">
        <f>Q25</f>
        <v>毗邻道路的类型与等级</v>
      </c>
      <c r="AA25" s="1539">
        <f t="shared" si="3"/>
        <v>0.99009900990099009</v>
      </c>
      <c r="AB25" s="1539">
        <f t="shared" si="4"/>
        <v>0.98039215686274506</v>
      </c>
      <c r="AC25" s="2150">
        <f t="shared" si="5"/>
        <v>1.0101010101010102</v>
      </c>
    </row>
    <row r="26" spans="1:29" ht="15">
      <c r="A26" s="364"/>
      <c r="B26" s="588"/>
      <c r="C26" s="590" t="s">
        <v>3219</v>
      </c>
      <c r="D26" s="394"/>
      <c r="E26" s="590" t="s">
        <v>3352</v>
      </c>
      <c r="F26" s="394"/>
      <c r="G26" s="590" t="s">
        <v>3218</v>
      </c>
      <c r="H26" s="394"/>
      <c r="I26" s="590" t="s">
        <v>3220</v>
      </c>
      <c r="J26" s="394"/>
      <c r="K26" s="572"/>
      <c r="L26" s="2951"/>
      <c r="M26" s="2945"/>
      <c r="N26" s="2945"/>
      <c r="O26" s="2945"/>
      <c r="P26" s="3419"/>
      <c r="Q26" s="1538"/>
      <c r="R26" s="714"/>
      <c r="S26" s="715"/>
      <c r="T26" s="714"/>
      <c r="U26" s="715"/>
      <c r="V26" s="714"/>
      <c r="W26" s="715"/>
      <c r="X26" s="1541"/>
      <c r="Y26" s="3421"/>
      <c r="Z26" s="1542"/>
      <c r="AA26" s="1539">
        <v>1</v>
      </c>
      <c r="AB26" s="1539">
        <v>1</v>
      </c>
      <c r="AC26" s="2150">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19"/>
      <c r="Q27" s="1538" t="str">
        <f t="shared" ref="Q27:Q47" si="11">B27</f>
        <v>楼层</v>
      </c>
      <c r="R27" s="714" t="s">
        <v>17</v>
      </c>
      <c r="S27" s="715">
        <f>F27</f>
        <v>100</v>
      </c>
      <c r="T27" s="714" t="s">
        <v>17</v>
      </c>
      <c r="U27" s="715">
        <f>H27</f>
        <v>100</v>
      </c>
      <c r="V27" s="714" t="s">
        <v>17</v>
      </c>
      <c r="W27" s="715">
        <f>J27</f>
        <v>100</v>
      </c>
      <c r="X27" s="1541"/>
      <c r="Y27" s="3421"/>
      <c r="Z27" s="1542" t="str">
        <f>Q27</f>
        <v>楼层</v>
      </c>
      <c r="AA27" s="1539">
        <f t="shared" si="3"/>
        <v>1</v>
      </c>
      <c r="AB27" s="1539">
        <f t="shared" si="4"/>
        <v>1</v>
      </c>
      <c r="AC27" s="2150">
        <f t="shared" si="5"/>
        <v>1</v>
      </c>
    </row>
    <row r="28" spans="1:29" s="113" customFormat="1" ht="15" hidden="1">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419"/>
      <c r="Q28" s="1529" t="str">
        <f t="shared" si="11"/>
        <v>朝向</v>
      </c>
      <c r="R28" s="710" t="s">
        <v>17</v>
      </c>
      <c r="S28" s="711">
        <f>F28</f>
        <v>100</v>
      </c>
      <c r="T28" s="710" t="s">
        <v>17</v>
      </c>
      <c r="U28" s="711">
        <f>H28</f>
        <v>100</v>
      </c>
      <c r="V28" s="710" t="s">
        <v>17</v>
      </c>
      <c r="W28" s="711">
        <f>J28</f>
        <v>100</v>
      </c>
      <c r="X28" s="712"/>
      <c r="Y28" s="3421"/>
      <c r="Z28" s="55" t="str">
        <f>Q28</f>
        <v>朝向</v>
      </c>
      <c r="AA28" s="1539">
        <f>D28/F28</f>
        <v>1</v>
      </c>
      <c r="AB28" s="1539">
        <f>D28/H28</f>
        <v>1</v>
      </c>
      <c r="AC28" s="2150">
        <f>D28/J28</f>
        <v>1</v>
      </c>
    </row>
    <row r="29" spans="1:29" ht="15.75" thickBot="1">
      <c r="A29" s="387"/>
      <c r="B29" s="3125" t="s">
        <v>3217</v>
      </c>
      <c r="C29" s="3132" t="s">
        <v>3302</v>
      </c>
      <c r="D29" s="394">
        <v>100</v>
      </c>
      <c r="E29" s="3211" t="s">
        <v>3302</v>
      </c>
      <c r="F29" s="394">
        <f>SUMIF(93:93,E29,94:94)-SUMIF(93:93,C29,94:94)+100</f>
        <v>100</v>
      </c>
      <c r="G29" s="3211" t="s">
        <v>3302</v>
      </c>
      <c r="H29" s="394">
        <f>SUMIF(93:93,G29,94:94)-SUMIF(93:93,C29,94:94)+100</f>
        <v>100</v>
      </c>
      <c r="I29" s="3211" t="s">
        <v>3302</v>
      </c>
      <c r="J29" s="394">
        <f>SUMIF(93:93,I29,94:94)-SUMIF(93:93,C29,94:94)+100</f>
        <v>100</v>
      </c>
      <c r="K29" s="570"/>
      <c r="L29" s="2951"/>
      <c r="M29" s="2945"/>
      <c r="N29" s="2945"/>
      <c r="O29" s="2945"/>
      <c r="P29" s="3419"/>
      <c r="Q29" s="1538" t="str">
        <f t="shared" si="11"/>
        <v>楼层</v>
      </c>
      <c r="R29" s="714" t="s">
        <v>17</v>
      </c>
      <c r="S29" s="715">
        <f t="shared" ref="S29:S47" si="12">F29</f>
        <v>100</v>
      </c>
      <c r="T29" s="714" t="s">
        <v>17</v>
      </c>
      <c r="U29" s="715">
        <f t="shared" ref="U29:U47" si="13">H29</f>
        <v>100</v>
      </c>
      <c r="V29" s="714" t="s">
        <v>17</v>
      </c>
      <c r="W29" s="715">
        <f t="shared" ref="W29:W47" si="14">J29</f>
        <v>100</v>
      </c>
      <c r="X29" s="1541"/>
      <c r="Y29" s="3421"/>
      <c r="Z29" s="1542" t="str">
        <f t="shared" ref="Z29:Z47" si="15">Q29</f>
        <v>楼层</v>
      </c>
      <c r="AA29" s="1539">
        <f t="shared" si="3"/>
        <v>1</v>
      </c>
      <c r="AB29" s="1539">
        <f t="shared" si="4"/>
        <v>1</v>
      </c>
      <c r="AC29" s="2150">
        <f t="shared" si="5"/>
        <v>1</v>
      </c>
    </row>
    <row r="30" spans="1:29" ht="15" hidden="1">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419"/>
      <c r="Q30" s="1538">
        <f t="shared" si="11"/>
        <v>111</v>
      </c>
      <c r="R30" s="714" t="s">
        <v>17</v>
      </c>
      <c r="S30" s="715">
        <f t="shared" si="12"/>
        <v>100</v>
      </c>
      <c r="T30" s="714" t="s">
        <v>17</v>
      </c>
      <c r="U30" s="715">
        <f t="shared" si="13"/>
        <v>100</v>
      </c>
      <c r="V30" s="714" t="s">
        <v>17</v>
      </c>
      <c r="W30" s="715">
        <f t="shared" si="14"/>
        <v>100</v>
      </c>
      <c r="X30" s="1541"/>
      <c r="Y30" s="3421"/>
      <c r="Z30" s="1542">
        <f t="shared" si="15"/>
        <v>111</v>
      </c>
      <c r="AA30" s="1539">
        <f t="shared" si="3"/>
        <v>1</v>
      </c>
      <c r="AB30" s="1539">
        <f t="shared" si="4"/>
        <v>1</v>
      </c>
      <c r="AC30" s="2150">
        <f t="shared" si="5"/>
        <v>1</v>
      </c>
    </row>
    <row r="31" spans="1:29" ht="15" hidden="1">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419"/>
      <c r="Q31" s="1538">
        <f t="shared" si="11"/>
        <v>111</v>
      </c>
      <c r="R31" s="714" t="s">
        <v>17</v>
      </c>
      <c r="S31" s="715">
        <f t="shared" si="12"/>
        <v>100</v>
      </c>
      <c r="T31" s="714" t="s">
        <v>17</v>
      </c>
      <c r="U31" s="715">
        <f t="shared" si="13"/>
        <v>100</v>
      </c>
      <c r="V31" s="714" t="s">
        <v>17</v>
      </c>
      <c r="W31" s="715">
        <f t="shared" si="14"/>
        <v>100</v>
      </c>
      <c r="X31" s="1541"/>
      <c r="Y31" s="3421"/>
      <c r="Z31" s="1542">
        <f t="shared" si="15"/>
        <v>111</v>
      </c>
      <c r="AA31" s="1539">
        <f t="shared" si="3"/>
        <v>1</v>
      </c>
      <c r="AB31" s="1539">
        <f t="shared" si="4"/>
        <v>1</v>
      </c>
      <c r="AC31" s="2150">
        <f t="shared" si="5"/>
        <v>1</v>
      </c>
    </row>
    <row r="32" spans="1:29" ht="15.75" hidden="1"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419"/>
      <c r="Q32" s="1538">
        <f t="shared" si="11"/>
        <v>111</v>
      </c>
      <c r="R32" s="714" t="s">
        <v>17</v>
      </c>
      <c r="S32" s="715">
        <f t="shared" si="12"/>
        <v>100</v>
      </c>
      <c r="T32" s="714" t="s">
        <v>17</v>
      </c>
      <c r="U32" s="715">
        <f t="shared" si="13"/>
        <v>100</v>
      </c>
      <c r="V32" s="714" t="s">
        <v>17</v>
      </c>
      <c r="W32" s="715">
        <f t="shared" si="14"/>
        <v>100</v>
      </c>
      <c r="X32" s="1541"/>
      <c r="Y32" s="3421"/>
      <c r="Z32" s="1542">
        <f t="shared" si="15"/>
        <v>111</v>
      </c>
      <c r="AA32" s="1539">
        <f t="shared" si="3"/>
        <v>1</v>
      </c>
      <c r="AB32" s="1539">
        <f t="shared" si="4"/>
        <v>1</v>
      </c>
      <c r="AC32" s="2150">
        <f t="shared" si="5"/>
        <v>1</v>
      </c>
    </row>
    <row r="33" spans="1:29" ht="15">
      <c r="A33" s="399" t="s">
        <v>2384</v>
      </c>
      <c r="B33" s="67" t="s">
        <v>2514</v>
      </c>
      <c r="C33" s="2155" t="s">
        <v>3320</v>
      </c>
      <c r="D33" s="426">
        <v>100</v>
      </c>
      <c r="E33" s="2155" t="s">
        <v>3357</v>
      </c>
      <c r="F33" s="420">
        <f>SUMIF(101:101,E33,102:102)-SUMIF(101:101,C33,102:102)+100</f>
        <v>105</v>
      </c>
      <c r="G33" s="2155" t="s">
        <v>3320</v>
      </c>
      <c r="H33" s="394">
        <f>SUMIF(101:101,G33,102:102)-SUMIF(101:101,C33,102:102)+100</f>
        <v>100</v>
      </c>
      <c r="I33" s="2155" t="s">
        <v>3320</v>
      </c>
      <c r="J33" s="426">
        <f>SUMIF(101:101,I33,102:102)-SUMIF(101:101,C33,102:102)+100</f>
        <v>100</v>
      </c>
      <c r="K33" s="569">
        <v>5</v>
      </c>
      <c r="L33" s="2155"/>
      <c r="M33" s="2945"/>
      <c r="N33" s="2945"/>
      <c r="O33" s="2945"/>
      <c r="P33" s="3422" t="s">
        <v>2386</v>
      </c>
      <c r="Q33" s="1538" t="str">
        <f t="shared" si="11"/>
        <v>建筑类型</v>
      </c>
      <c r="R33" s="714" t="s">
        <v>17</v>
      </c>
      <c r="S33" s="715">
        <f t="shared" si="12"/>
        <v>105</v>
      </c>
      <c r="T33" s="714" t="s">
        <v>17</v>
      </c>
      <c r="U33" s="715">
        <f t="shared" si="13"/>
        <v>100</v>
      </c>
      <c r="V33" s="714" t="s">
        <v>17</v>
      </c>
      <c r="W33" s="715">
        <f t="shared" si="14"/>
        <v>100</v>
      </c>
      <c r="X33" s="1541"/>
      <c r="Y33" s="3425" t="s">
        <v>2386</v>
      </c>
      <c r="Z33" s="1542" t="str">
        <f t="shared" si="15"/>
        <v>建筑类型</v>
      </c>
      <c r="AA33" s="1539">
        <f t="shared" si="3"/>
        <v>0.95238095238095233</v>
      </c>
      <c r="AB33" s="1539">
        <f t="shared" si="4"/>
        <v>1</v>
      </c>
      <c r="AC33" s="2150">
        <f t="shared" si="5"/>
        <v>1</v>
      </c>
    </row>
    <row r="34" spans="1:29" s="3156" customFormat="1" ht="15" hidden="1">
      <c r="A34" s="3139"/>
      <c r="B34" s="3140" t="s">
        <v>2387</v>
      </c>
      <c r="C34" s="3141">
        <f>'数据-汇总表'!E3</f>
        <v>445.5</v>
      </c>
      <c r="D34" s="3142">
        <v>100</v>
      </c>
      <c r="E34" s="3143">
        <v>6100</v>
      </c>
      <c r="F34" s="3144">
        <f>LOOKUP(E34,104:104,105:105)-LOOKUP(C34,104:104,105:105)+100</f>
        <v>100</v>
      </c>
      <c r="G34" s="3145">
        <v>1000</v>
      </c>
      <c r="H34" s="3142">
        <f>LOOKUP(G34,104:104,105:105)-LOOKUP(C34,104:104,105:105)+100</f>
        <v>100</v>
      </c>
      <c r="I34" s="3145">
        <v>400</v>
      </c>
      <c r="J34" s="3142">
        <f>LOOKUP(I34,104:104,105:105)-LOOKUP(C34,104:104,105:105)+100</f>
        <v>100</v>
      </c>
      <c r="K34" s="3146"/>
      <c r="L34" s="3147"/>
      <c r="M34" s="3148"/>
      <c r="N34" s="3148"/>
      <c r="O34" s="3148"/>
      <c r="P34" s="3423"/>
      <c r="Q34" s="3149" t="str">
        <f t="shared" si="11"/>
        <v>项目建筑规模</v>
      </c>
      <c r="R34" s="3150" t="s">
        <v>17</v>
      </c>
      <c r="S34" s="3151">
        <f t="shared" si="12"/>
        <v>100</v>
      </c>
      <c r="T34" s="3150" t="s">
        <v>17</v>
      </c>
      <c r="U34" s="3151">
        <f t="shared" si="13"/>
        <v>100</v>
      </c>
      <c r="V34" s="3150" t="s">
        <v>17</v>
      </c>
      <c r="W34" s="3151">
        <f t="shared" si="14"/>
        <v>100</v>
      </c>
      <c r="X34" s="3152"/>
      <c r="Y34" s="3425"/>
      <c r="Z34" s="3153" t="str">
        <f t="shared" si="15"/>
        <v>项目建筑规模</v>
      </c>
      <c r="AA34" s="3154">
        <f t="shared" si="3"/>
        <v>1</v>
      </c>
      <c r="AB34" s="3154">
        <f t="shared" si="4"/>
        <v>1</v>
      </c>
      <c r="AC34" s="3155">
        <f t="shared" si="5"/>
        <v>1</v>
      </c>
    </row>
    <row r="35" spans="1:29" ht="15">
      <c r="A35" s="431"/>
      <c r="B35" s="381" t="s">
        <v>2388</v>
      </c>
      <c r="C35" s="419" t="s">
        <v>3222</v>
      </c>
      <c r="D35" s="394">
        <v>100</v>
      </c>
      <c r="E35" s="419" t="s">
        <v>3222</v>
      </c>
      <c r="F35" s="420">
        <f>SUMIF(106:106,E35,107:107)-SUMIF(106:106,C35,107:107)+100</f>
        <v>100</v>
      </c>
      <c r="G35" s="419" t="s">
        <v>3222</v>
      </c>
      <c r="H35" s="394">
        <f>SUMIF(106:106,G35,107:107)-SUMIF(106:106,C35,107:107)+100</f>
        <v>100</v>
      </c>
      <c r="I35" s="419" t="s">
        <v>3222</v>
      </c>
      <c r="J35" s="394">
        <f>SUMIF(106:106,I35,107:107)-SUMIF(106:106,C35,107:107)+100</f>
        <v>100</v>
      </c>
      <c r="K35" s="569">
        <v>2</v>
      </c>
      <c r="L35" s="2951"/>
      <c r="M35" s="2945"/>
      <c r="N35" s="2945"/>
      <c r="O35" s="2945"/>
      <c r="P35" s="3423"/>
      <c r="Q35" s="1538" t="str">
        <f t="shared" si="11"/>
        <v>建筑结构</v>
      </c>
      <c r="R35" s="714" t="s">
        <v>17</v>
      </c>
      <c r="S35" s="715">
        <f t="shared" si="12"/>
        <v>100</v>
      </c>
      <c r="T35" s="714" t="s">
        <v>17</v>
      </c>
      <c r="U35" s="715">
        <f t="shared" si="13"/>
        <v>100</v>
      </c>
      <c r="V35" s="714" t="s">
        <v>17</v>
      </c>
      <c r="W35" s="715">
        <f t="shared" si="14"/>
        <v>100</v>
      </c>
      <c r="X35" s="1541"/>
      <c r="Y35" s="3425"/>
      <c r="Z35" s="1542" t="str">
        <f t="shared" si="15"/>
        <v>建筑结构</v>
      </c>
      <c r="AA35" s="1539">
        <f t="shared" si="3"/>
        <v>1</v>
      </c>
      <c r="AB35" s="1539">
        <f t="shared" si="4"/>
        <v>1</v>
      </c>
      <c r="AC35" s="2150">
        <f t="shared" si="5"/>
        <v>1</v>
      </c>
    </row>
    <row r="36" spans="1:29" ht="15">
      <c r="A36" s="431"/>
      <c r="B36" s="381" t="s">
        <v>2482</v>
      </c>
      <c r="C36" s="419" t="s">
        <v>3224</v>
      </c>
      <c r="D36" s="394">
        <v>100</v>
      </c>
      <c r="E36" s="419" t="s">
        <v>3224</v>
      </c>
      <c r="F36" s="420">
        <f>SUMIF(108:108,E36,109:109)-SUMIF(108:108,C36,109:109)+100</f>
        <v>100</v>
      </c>
      <c r="G36" s="419" t="s">
        <v>3224</v>
      </c>
      <c r="H36" s="394">
        <f>SUMIF(108:108,G36,109:109)-SUMIF(108:108,C36,109:109)+100</f>
        <v>100</v>
      </c>
      <c r="I36" s="419" t="s">
        <v>3224</v>
      </c>
      <c r="J36" s="394">
        <f>SUMIF(108:108,I36,109:109)-SUMIF(108:108,C36,109:109)+100</f>
        <v>100</v>
      </c>
      <c r="K36" s="569">
        <v>2</v>
      </c>
      <c r="L36" s="2951"/>
      <c r="M36" s="2945"/>
      <c r="N36" s="2945"/>
      <c r="O36" s="2945"/>
      <c r="P36" s="3423"/>
      <c r="Q36" s="1538" t="str">
        <f t="shared" si="11"/>
        <v>公共部分装修</v>
      </c>
      <c r="R36" s="714" t="s">
        <v>17</v>
      </c>
      <c r="S36" s="715">
        <f t="shared" si="12"/>
        <v>100</v>
      </c>
      <c r="T36" s="714" t="s">
        <v>17</v>
      </c>
      <c r="U36" s="715">
        <f t="shared" si="13"/>
        <v>100</v>
      </c>
      <c r="V36" s="714" t="s">
        <v>17</v>
      </c>
      <c r="W36" s="715">
        <f t="shared" si="14"/>
        <v>100</v>
      </c>
      <c r="X36" s="1541"/>
      <c r="Y36" s="3425"/>
      <c r="Z36" s="1542" t="str">
        <f t="shared" si="15"/>
        <v>公共部分装修</v>
      </c>
      <c r="AA36" s="1539">
        <f t="shared" si="3"/>
        <v>1</v>
      </c>
      <c r="AB36" s="1539">
        <f t="shared" si="4"/>
        <v>1</v>
      </c>
      <c r="AC36" s="2150">
        <f t="shared" si="5"/>
        <v>1</v>
      </c>
    </row>
    <row r="37" spans="1:29" ht="15" hidden="1">
      <c r="A37" s="431"/>
      <c r="B37" s="381" t="s">
        <v>2483</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51"/>
      <c r="M37" s="2945"/>
      <c r="N37" s="2945"/>
      <c r="O37" s="2945"/>
      <c r="P37" s="3423"/>
      <c r="Q37" s="1538" t="str">
        <f t="shared" si="11"/>
        <v>成新度</v>
      </c>
      <c r="R37" s="714" t="s">
        <v>17</v>
      </c>
      <c r="S37" s="715">
        <f t="shared" si="12"/>
        <v>100</v>
      </c>
      <c r="T37" s="714" t="s">
        <v>17</v>
      </c>
      <c r="U37" s="715">
        <f t="shared" si="13"/>
        <v>100</v>
      </c>
      <c r="V37" s="714" t="s">
        <v>17</v>
      </c>
      <c r="W37" s="715">
        <f t="shared" si="14"/>
        <v>100</v>
      </c>
      <c r="X37" s="1541"/>
      <c r="Y37" s="3425"/>
      <c r="Z37" s="1542" t="str">
        <f t="shared" si="15"/>
        <v>成新度</v>
      </c>
      <c r="AA37" s="1539">
        <f t="shared" si="3"/>
        <v>1</v>
      </c>
      <c r="AB37" s="1539">
        <f t="shared" si="4"/>
        <v>1</v>
      </c>
      <c r="AC37" s="2150">
        <f t="shared" si="5"/>
        <v>1</v>
      </c>
    </row>
    <row r="38" spans="1:29" s="113" customFormat="1" ht="15" hidden="1">
      <c r="A38" s="432"/>
      <c r="B38" s="381" t="s">
        <v>2515</v>
      </c>
      <c r="C38" s="3134"/>
      <c r="D38" s="3135">
        <v>100</v>
      </c>
      <c r="E38" s="3134"/>
      <c r="F38" s="3136">
        <f>SUMIF(113:113,E38,114:114)-SUMIF(113:113,C38,114:114)+100</f>
        <v>100</v>
      </c>
      <c r="G38" s="3134"/>
      <c r="H38" s="3135">
        <f>SUMIF(113:113,G38,114:114)-SUMIF(113:113,C38,114:114)+100</f>
        <v>100</v>
      </c>
      <c r="I38" s="3134"/>
      <c r="J38" s="394">
        <f>SUMIF(113:113,I38,114:114)-SUMIF(113:113,C38,114:114)+100</f>
        <v>100</v>
      </c>
      <c r="K38" s="569">
        <v>1</v>
      </c>
      <c r="L38" s="2946"/>
      <c r="M38" s="2947"/>
      <c r="N38" s="2947"/>
      <c r="O38" s="2947"/>
      <c r="P38" s="3423"/>
      <c r="Q38" s="1529" t="str">
        <f t="shared" si="11"/>
        <v>写字楼等级</v>
      </c>
      <c r="R38" s="710" t="s">
        <v>17</v>
      </c>
      <c r="S38" s="711">
        <f t="shared" si="12"/>
        <v>100</v>
      </c>
      <c r="T38" s="710" t="s">
        <v>17</v>
      </c>
      <c r="U38" s="711">
        <f t="shared" si="13"/>
        <v>100</v>
      </c>
      <c r="V38" s="710" t="s">
        <v>17</v>
      </c>
      <c r="W38" s="711">
        <f t="shared" si="14"/>
        <v>100</v>
      </c>
      <c r="X38" s="712"/>
      <c r="Y38" s="3425"/>
      <c r="Z38" s="55" t="str">
        <f t="shared" si="15"/>
        <v>写字楼等级</v>
      </c>
      <c r="AA38" s="713">
        <f t="shared" si="3"/>
        <v>1</v>
      </c>
      <c r="AB38" s="713">
        <f t="shared" si="4"/>
        <v>1</v>
      </c>
      <c r="AC38" s="2147">
        <f t="shared" si="5"/>
        <v>1</v>
      </c>
    </row>
    <row r="39" spans="1:29" ht="15" hidden="1">
      <c r="A39" s="431"/>
      <c r="B39" s="381" t="s">
        <v>2516</v>
      </c>
      <c r="C39" s="419" t="s">
        <v>3226</v>
      </c>
      <c r="D39" s="394">
        <v>100</v>
      </c>
      <c r="E39" s="419" t="s">
        <v>3226</v>
      </c>
      <c r="F39" s="420">
        <f>SUMIF(115:115,E39,116:116)-SUMIF(115:115,C39,116:116)+100</f>
        <v>100</v>
      </c>
      <c r="G39" s="419" t="s">
        <v>3226</v>
      </c>
      <c r="H39" s="394">
        <f>SUMIF(115:115,G39,116:116)-SUMIF(115:115,C39,116:116)+100</f>
        <v>100</v>
      </c>
      <c r="I39" s="419" t="s">
        <v>3226</v>
      </c>
      <c r="J39" s="394">
        <f>SUMIF(115:115,I39,116:116)-SUMIF(115:115,C39,116:116)+100</f>
        <v>100</v>
      </c>
      <c r="K39" s="569">
        <v>2</v>
      </c>
      <c r="L39" s="2951"/>
      <c r="M39" s="2945"/>
      <c r="N39" s="2945"/>
      <c r="O39" s="2945"/>
      <c r="P39" s="3423" t="s">
        <v>2386</v>
      </c>
      <c r="Q39" s="1538" t="str">
        <f t="shared" si="11"/>
        <v>物业管理</v>
      </c>
      <c r="R39" s="714" t="s">
        <v>17</v>
      </c>
      <c r="S39" s="715">
        <f t="shared" si="12"/>
        <v>100</v>
      </c>
      <c r="T39" s="714" t="s">
        <v>17</v>
      </c>
      <c r="U39" s="715">
        <f t="shared" si="13"/>
        <v>100</v>
      </c>
      <c r="V39" s="714" t="s">
        <v>17</v>
      </c>
      <c r="W39" s="715">
        <f t="shared" si="14"/>
        <v>100</v>
      </c>
      <c r="X39" s="1541"/>
      <c r="Y39" s="3425" t="s">
        <v>2386</v>
      </c>
      <c r="Z39" s="1542" t="str">
        <f t="shared" si="15"/>
        <v>物业管理</v>
      </c>
      <c r="AA39" s="1539">
        <f t="shared" si="3"/>
        <v>1</v>
      </c>
      <c r="AB39" s="1539">
        <f t="shared" si="4"/>
        <v>1</v>
      </c>
      <c r="AC39" s="2150">
        <f t="shared" si="5"/>
        <v>1</v>
      </c>
    </row>
    <row r="40" spans="1:29" ht="15">
      <c r="A40" s="431"/>
      <c r="B40" s="381" t="s">
        <v>2484</v>
      </c>
      <c r="C40" s="419" t="s">
        <v>3321</v>
      </c>
      <c r="D40" s="394">
        <v>100</v>
      </c>
      <c r="E40" s="419" t="s">
        <v>3321</v>
      </c>
      <c r="F40" s="420">
        <f>SUMIF(117:117,E40,118:118)-SUMIF(117:117,C40,118:118)+100</f>
        <v>100</v>
      </c>
      <c r="G40" s="419" t="s">
        <v>3321</v>
      </c>
      <c r="H40" s="394">
        <f>SUMIF(117:117,G40,118:118)-SUMIF(117:117,C40,118:118)+100</f>
        <v>100</v>
      </c>
      <c r="I40" s="419" t="s">
        <v>3321</v>
      </c>
      <c r="J40" s="394">
        <f>SUMIF(117:117,I40,118:118)-SUMIF(117:117,C40,118:118)+100</f>
        <v>100</v>
      </c>
      <c r="K40" s="569">
        <v>1</v>
      </c>
      <c r="L40" s="2951"/>
      <c r="M40" s="2945"/>
      <c r="N40" s="2945"/>
      <c r="O40" s="2945"/>
      <c r="P40" s="3423"/>
      <c r="Q40" s="1538" t="str">
        <f t="shared" si="11"/>
        <v>市政基础设施</v>
      </c>
      <c r="R40" s="714" t="s">
        <v>17</v>
      </c>
      <c r="S40" s="715">
        <f t="shared" si="12"/>
        <v>100</v>
      </c>
      <c r="T40" s="714" t="s">
        <v>17</v>
      </c>
      <c r="U40" s="715">
        <f t="shared" si="13"/>
        <v>100</v>
      </c>
      <c r="V40" s="714" t="s">
        <v>17</v>
      </c>
      <c r="W40" s="715">
        <f t="shared" si="14"/>
        <v>100</v>
      </c>
      <c r="X40" s="1541"/>
      <c r="Y40" s="3425"/>
      <c r="Z40" s="1542" t="str">
        <f t="shared" si="15"/>
        <v>市政基础设施</v>
      </c>
      <c r="AA40" s="1539">
        <f t="shared" si="3"/>
        <v>1</v>
      </c>
      <c r="AB40" s="1539">
        <f t="shared" si="4"/>
        <v>1</v>
      </c>
      <c r="AC40" s="2150">
        <f t="shared" si="5"/>
        <v>1</v>
      </c>
    </row>
    <row r="41" spans="1:29" ht="15">
      <c r="A41" s="431"/>
      <c r="B41" s="381" t="s">
        <v>2486</v>
      </c>
      <c r="C41" s="573" t="s">
        <v>3230</v>
      </c>
      <c r="D41" s="394">
        <v>100</v>
      </c>
      <c r="E41" s="573" t="s">
        <v>3230</v>
      </c>
      <c r="F41" s="420">
        <f>SUMIF(119:119,E41,120:120)-SUMIF(119:119,C41,120:120)+100</f>
        <v>100</v>
      </c>
      <c r="G41" s="573" t="s">
        <v>3230</v>
      </c>
      <c r="H41" s="394">
        <f>SUMIF(119:119,G41,120:120)-SUMIF(119:119,C41,120:120)+100</f>
        <v>100</v>
      </c>
      <c r="I41" s="573" t="s">
        <v>3230</v>
      </c>
      <c r="J41" s="394">
        <f>SUMIF(119:119,I41,120:120)-SUMIF(119:119,C41,120:120)+100</f>
        <v>100</v>
      </c>
      <c r="K41" s="569">
        <v>1</v>
      </c>
      <c r="L41" s="2951"/>
      <c r="M41" s="2945"/>
      <c r="N41" s="2945"/>
      <c r="O41" s="2945"/>
      <c r="P41" s="3423"/>
      <c r="Q41" s="1538" t="str">
        <f t="shared" si="11"/>
        <v>层高</v>
      </c>
      <c r="R41" s="714" t="s">
        <v>17</v>
      </c>
      <c r="S41" s="715">
        <f t="shared" si="12"/>
        <v>100</v>
      </c>
      <c r="T41" s="714" t="s">
        <v>17</v>
      </c>
      <c r="U41" s="715">
        <f t="shared" si="13"/>
        <v>100</v>
      </c>
      <c r="V41" s="714" t="s">
        <v>17</v>
      </c>
      <c r="W41" s="715">
        <f t="shared" si="14"/>
        <v>100</v>
      </c>
      <c r="X41" s="1541"/>
      <c r="Y41" s="3425"/>
      <c r="Z41" s="1542" t="str">
        <f t="shared" si="15"/>
        <v>层高</v>
      </c>
      <c r="AA41" s="1539">
        <f t="shared" si="3"/>
        <v>1</v>
      </c>
      <c r="AB41" s="1539">
        <f t="shared" si="4"/>
        <v>1</v>
      </c>
      <c r="AC41" s="2150">
        <f t="shared" si="5"/>
        <v>1</v>
      </c>
    </row>
    <row r="42" spans="1:29" s="430" customFormat="1" ht="15" hidden="1">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23"/>
      <c r="Q42" s="716" t="str">
        <f t="shared" si="11"/>
        <v>单套建筑面积</v>
      </c>
      <c r="R42" s="717" t="s">
        <v>17</v>
      </c>
      <c r="S42" s="718">
        <f t="shared" si="12"/>
        <v>100</v>
      </c>
      <c r="T42" s="717" t="s">
        <v>17</v>
      </c>
      <c r="U42" s="718">
        <f t="shared" si="13"/>
        <v>100</v>
      </c>
      <c r="V42" s="717" t="s">
        <v>17</v>
      </c>
      <c r="W42" s="718">
        <f t="shared" si="14"/>
        <v>100</v>
      </c>
      <c r="X42" s="719"/>
      <c r="Y42" s="3425"/>
      <c r="Z42" s="720" t="str">
        <f t="shared" si="15"/>
        <v>单套建筑面积</v>
      </c>
      <c r="AA42" s="1539">
        <f t="shared" si="3"/>
        <v>1</v>
      </c>
      <c r="AB42" s="1539">
        <f t="shared" si="4"/>
        <v>1</v>
      </c>
      <c r="AC42" s="2150">
        <f t="shared" si="5"/>
        <v>1</v>
      </c>
    </row>
    <row r="43" spans="1:29" ht="15">
      <c r="A43" s="431"/>
      <c r="B43" s="381" t="s">
        <v>2489</v>
      </c>
      <c r="C43" s="419" t="s">
        <v>3224</v>
      </c>
      <c r="D43" s="394">
        <v>100</v>
      </c>
      <c r="E43" s="419" t="s">
        <v>3233</v>
      </c>
      <c r="F43" s="420">
        <f>SUMIF(123:123,E43,124:124)-SUMIF(123:123,C43,124:124)+100</f>
        <v>98</v>
      </c>
      <c r="G43" s="419" t="s">
        <v>3233</v>
      </c>
      <c r="H43" s="394">
        <f>SUMIF(123:123,G43,124:124)-SUMIF(123:123,C43,124:124)+100</f>
        <v>98</v>
      </c>
      <c r="I43" s="419" t="s">
        <v>3233</v>
      </c>
      <c r="J43" s="394">
        <f>SUMIF(123:123,I43,124:124)-SUMIF(123:123,C43,124:124)+100</f>
        <v>98</v>
      </c>
      <c r="K43" s="569">
        <v>2</v>
      </c>
      <c r="L43" s="2951"/>
      <c r="M43" s="2945"/>
      <c r="N43" s="2945"/>
      <c r="O43" s="2945"/>
      <c r="P43" s="3423"/>
      <c r="Q43" s="1538" t="str">
        <f t="shared" si="11"/>
        <v>内部装修</v>
      </c>
      <c r="R43" s="714" t="s">
        <v>17</v>
      </c>
      <c r="S43" s="715">
        <f t="shared" si="12"/>
        <v>98</v>
      </c>
      <c r="T43" s="714" t="s">
        <v>17</v>
      </c>
      <c r="U43" s="715">
        <f t="shared" si="13"/>
        <v>98</v>
      </c>
      <c r="V43" s="714" t="s">
        <v>17</v>
      </c>
      <c r="W43" s="715">
        <f t="shared" si="14"/>
        <v>98</v>
      </c>
      <c r="X43" s="1541"/>
      <c r="Y43" s="3425"/>
      <c r="Z43" s="1542" t="str">
        <f t="shared" si="15"/>
        <v>内部装修</v>
      </c>
      <c r="AA43" s="1539">
        <f t="shared" si="3"/>
        <v>1.0204081632653061</v>
      </c>
      <c r="AB43" s="1539">
        <f t="shared" si="4"/>
        <v>1.0204081632653061</v>
      </c>
      <c r="AC43" s="2150">
        <f t="shared" si="5"/>
        <v>1.0204081632653061</v>
      </c>
    </row>
    <row r="44" spans="1:29" ht="15">
      <c r="A44" s="431"/>
      <c r="B44" s="381" t="s">
        <v>2397</v>
      </c>
      <c r="C44" s="3130" t="s">
        <v>3209</v>
      </c>
      <c r="D44" s="394">
        <v>100</v>
      </c>
      <c r="E44" s="3130" t="s">
        <v>3209</v>
      </c>
      <c r="F44" s="420">
        <f>SUMIF(125:125,E44,126:126)-SUMIF(125:125,C44,126:126)+100</f>
        <v>100</v>
      </c>
      <c r="G44" s="3130" t="s">
        <v>3209</v>
      </c>
      <c r="H44" s="394">
        <f>SUMIF(125:125,G44,126:126)-SUMIF(125:125,C44,126:126)+100</f>
        <v>100</v>
      </c>
      <c r="I44" s="3130" t="s">
        <v>3209</v>
      </c>
      <c r="J44" s="394">
        <f>SUMIF(125:125,I44,126:126)-SUMIF(125:125,C44,126:126)+100</f>
        <v>100</v>
      </c>
      <c r="K44" s="569">
        <v>2</v>
      </c>
      <c r="L44" s="2951"/>
      <c r="M44" s="2945"/>
      <c r="N44" s="2945"/>
      <c r="O44" s="2945"/>
      <c r="P44" s="3423"/>
      <c r="Q44" s="1538" t="str">
        <f t="shared" si="11"/>
        <v>内部装修维护情况</v>
      </c>
      <c r="R44" s="714" t="s">
        <v>17</v>
      </c>
      <c r="S44" s="715">
        <f t="shared" si="12"/>
        <v>100</v>
      </c>
      <c r="T44" s="714" t="s">
        <v>17</v>
      </c>
      <c r="U44" s="715">
        <f t="shared" si="13"/>
        <v>100</v>
      </c>
      <c r="V44" s="714" t="s">
        <v>17</v>
      </c>
      <c r="W44" s="715">
        <f t="shared" si="14"/>
        <v>100</v>
      </c>
      <c r="X44" s="1541"/>
      <c r="Y44" s="3425"/>
      <c r="Z44" s="1542" t="str">
        <f t="shared" si="15"/>
        <v>内部装修维护情况</v>
      </c>
      <c r="AA44" s="1539">
        <f t="shared" si="3"/>
        <v>1</v>
      </c>
      <c r="AB44" s="1539">
        <f t="shared" si="4"/>
        <v>1</v>
      </c>
      <c r="AC44" s="2150">
        <f t="shared" si="5"/>
        <v>1</v>
      </c>
    </row>
    <row r="45" spans="1:29" s="3166" customFormat="1" ht="15">
      <c r="A45" s="3202"/>
      <c r="B45" s="3190" t="s">
        <v>3304</v>
      </c>
      <c r="C45" s="3212" t="s">
        <v>3327</v>
      </c>
      <c r="D45" s="3191">
        <v>100</v>
      </c>
      <c r="E45" s="3196" t="s">
        <v>3305</v>
      </c>
      <c r="F45" s="3193">
        <v>100</v>
      </c>
      <c r="G45" s="3196" t="s">
        <v>3305</v>
      </c>
      <c r="H45" s="3191">
        <v>100</v>
      </c>
      <c r="I45" s="3196" t="s">
        <v>3305</v>
      </c>
      <c r="J45" s="3191">
        <f>SUMIF(127:127,I45,128:128)-SUMIF(127:127,C45,128:128)+100</f>
        <v>100</v>
      </c>
      <c r="K45" s="3146"/>
      <c r="L45" s="3157"/>
      <c r="M45" s="3158"/>
      <c r="N45" s="3158"/>
      <c r="O45" s="3158"/>
      <c r="P45" s="3423"/>
      <c r="Q45" s="3159" t="str">
        <f t="shared" si="11"/>
        <v>临街情况</v>
      </c>
      <c r="R45" s="3160" t="s">
        <v>17</v>
      </c>
      <c r="S45" s="3161">
        <f t="shared" si="12"/>
        <v>100</v>
      </c>
      <c r="T45" s="3160" t="s">
        <v>17</v>
      </c>
      <c r="U45" s="3161">
        <f t="shared" si="13"/>
        <v>100</v>
      </c>
      <c r="V45" s="3160" t="s">
        <v>17</v>
      </c>
      <c r="W45" s="3161">
        <f t="shared" si="14"/>
        <v>100</v>
      </c>
      <c r="X45" s="3162"/>
      <c r="Y45" s="3425"/>
      <c r="Z45" s="3163" t="str">
        <f t="shared" si="15"/>
        <v>临街情况</v>
      </c>
      <c r="AA45" s="3164">
        <f t="shared" si="3"/>
        <v>1</v>
      </c>
      <c r="AB45" s="3164">
        <f t="shared" si="4"/>
        <v>1</v>
      </c>
      <c r="AC45" s="3165">
        <f t="shared" si="5"/>
        <v>1</v>
      </c>
    </row>
    <row r="46" spans="1:29" ht="15" hidden="1">
      <c r="A46" s="3203"/>
      <c r="B46" s="3190" t="s">
        <v>3247</v>
      </c>
      <c r="C46" s="3194"/>
      <c r="D46" s="3195">
        <v>100</v>
      </c>
      <c r="E46" s="3196"/>
      <c r="F46" s="3197">
        <f>SUMIF(129:129,E46,130:130)-SUMIF(129:129,C46,130:130)+100</f>
        <v>100</v>
      </c>
      <c r="G46" s="3196"/>
      <c r="H46" s="3195">
        <f>SUMIF(129:129,G46,130:130)-SUMIF(129:129,C46,130:130)+100</f>
        <v>100</v>
      </c>
      <c r="I46" s="3196"/>
      <c r="J46" s="3195">
        <f>SUMIF(129:129,I46,130:130)-SUMIF(129:129,C46,130:130)+100</f>
        <v>100</v>
      </c>
      <c r="K46" s="570"/>
      <c r="L46" s="2951"/>
      <c r="M46" s="2945"/>
      <c r="N46" s="2945"/>
      <c r="O46" s="2945"/>
      <c r="P46" s="3423"/>
      <c r="Q46" s="1538" t="str">
        <f t="shared" si="11"/>
        <v>房型</v>
      </c>
      <c r="R46" s="714" t="s">
        <v>17</v>
      </c>
      <c r="S46" s="715">
        <f t="shared" si="12"/>
        <v>100</v>
      </c>
      <c r="T46" s="714" t="s">
        <v>17</v>
      </c>
      <c r="U46" s="715">
        <f t="shared" si="13"/>
        <v>100</v>
      </c>
      <c r="V46" s="714" t="s">
        <v>17</v>
      </c>
      <c r="W46" s="715">
        <f t="shared" si="14"/>
        <v>100</v>
      </c>
      <c r="X46" s="1541"/>
      <c r="Y46" s="3425"/>
      <c r="Z46" s="1542" t="str">
        <f t="shared" si="15"/>
        <v>房型</v>
      </c>
      <c r="AA46" s="1539">
        <f t="shared" si="3"/>
        <v>1</v>
      </c>
      <c r="AB46" s="1539">
        <f t="shared" si="4"/>
        <v>1</v>
      </c>
      <c r="AC46" s="2150">
        <f t="shared" si="5"/>
        <v>1</v>
      </c>
    </row>
    <row r="47" spans="1:29" s="3177" customFormat="1" ht="15.75" thickBot="1">
      <c r="A47" s="3204"/>
      <c r="B47" s="3198" t="s">
        <v>3278</v>
      </c>
      <c r="C47" s="3199">
        <f>'数据-汇总表'!E3</f>
        <v>445.5</v>
      </c>
      <c r="D47" s="3200">
        <v>100</v>
      </c>
      <c r="E47" s="3192">
        <f>周边商铺价格调研表!E4</f>
        <v>66</v>
      </c>
      <c r="F47" s="3201">
        <v>96</v>
      </c>
      <c r="G47" s="3192">
        <f>周边商铺价格调研表!E9</f>
        <v>400</v>
      </c>
      <c r="H47" s="3200">
        <v>100</v>
      </c>
      <c r="I47" s="3192">
        <f>周边商铺价格调研表!E10</f>
        <v>850</v>
      </c>
      <c r="J47" s="3200">
        <v>96</v>
      </c>
      <c r="K47" s="3167"/>
      <c r="L47" s="3168"/>
      <c r="M47" s="3169"/>
      <c r="N47" s="3169"/>
      <c r="O47" s="3169"/>
      <c r="P47" s="3424"/>
      <c r="Q47" s="3170" t="str">
        <f t="shared" si="11"/>
        <v>建筑面积</v>
      </c>
      <c r="R47" s="3171" t="s">
        <v>17</v>
      </c>
      <c r="S47" s="3172">
        <f t="shared" si="12"/>
        <v>96</v>
      </c>
      <c r="T47" s="3171" t="s">
        <v>17</v>
      </c>
      <c r="U47" s="3172">
        <f t="shared" si="13"/>
        <v>100</v>
      </c>
      <c r="V47" s="3171" t="s">
        <v>17</v>
      </c>
      <c r="W47" s="3172">
        <f t="shared" si="14"/>
        <v>96</v>
      </c>
      <c r="X47" s="3173"/>
      <c r="Y47" s="3426"/>
      <c r="Z47" s="3174" t="str">
        <f t="shared" si="15"/>
        <v>建筑面积</v>
      </c>
      <c r="AA47" s="3175">
        <f t="shared" si="3"/>
        <v>1.0416666666666667</v>
      </c>
      <c r="AB47" s="3175">
        <f t="shared" si="4"/>
        <v>1</v>
      </c>
      <c r="AC47" s="3176">
        <f t="shared" si="5"/>
        <v>1.0416666666666667</v>
      </c>
    </row>
    <row r="48" spans="1:29" ht="15">
      <c r="A48" s="438" t="s">
        <v>2398</v>
      </c>
      <c r="B48" s="439"/>
      <c r="C48" s="1316" t="s">
        <v>1</v>
      </c>
      <c r="D48" s="1317"/>
      <c r="E48" s="1318">
        <f>周边商铺价格调研表!G4</f>
        <v>16.829999999999998</v>
      </c>
      <c r="F48" s="1319"/>
      <c r="G48" s="1320">
        <f>周边商铺价格调研表!G9</f>
        <v>16</v>
      </c>
      <c r="H48" s="1321"/>
      <c r="I48" s="1318">
        <f>周边商铺价格调研表!G10</f>
        <v>15</v>
      </c>
      <c r="J48" s="444"/>
      <c r="K48" s="723"/>
      <c r="L48" s="2953"/>
      <c r="M48" s="2945"/>
      <c r="N48" s="2945"/>
      <c r="O48" s="2945"/>
      <c r="P48" s="3412" t="str">
        <f>A48</f>
        <v>成交单价（元/平方米）</v>
      </c>
      <c r="Q48" s="3413"/>
      <c r="R48" s="3427">
        <f>E48</f>
        <v>16.829999999999998</v>
      </c>
      <c r="S48" s="3427"/>
      <c r="T48" s="3427">
        <f>G48</f>
        <v>16</v>
      </c>
      <c r="U48" s="3427"/>
      <c r="V48" s="3427">
        <f>I48</f>
        <v>15</v>
      </c>
      <c r="W48" s="3427"/>
      <c r="X48" s="405"/>
      <c r="Y48" s="721"/>
      <c r="Z48" s="405"/>
      <c r="AA48" s="405"/>
      <c r="AB48" s="405"/>
      <c r="AC48" s="586"/>
    </row>
    <row r="49" spans="1:29" ht="15.75" thickBot="1">
      <c r="A49" s="445" t="s">
        <v>2490</v>
      </c>
      <c r="B49" s="446"/>
      <c r="C49" s="1322">
        <f>R50</f>
        <v>16.3</v>
      </c>
      <c r="D49" s="2540" t="s">
        <v>2879</v>
      </c>
      <c r="E49" s="1323">
        <f>R49</f>
        <v>16.899999999999999</v>
      </c>
      <c r="F49" s="2541"/>
      <c r="G49" s="1322">
        <f>T49</f>
        <v>16</v>
      </c>
      <c r="H49" s="2541"/>
      <c r="I49" s="1323">
        <f>V49</f>
        <v>16.100000000000001</v>
      </c>
      <c r="J49" s="2541"/>
      <c r="K49" s="2543">
        <f>F49+H49+J49</f>
        <v>0</v>
      </c>
      <c r="L49" s="2953"/>
      <c r="M49" s="2945"/>
      <c r="N49" s="2945"/>
      <c r="O49" s="2945"/>
      <c r="P49" s="3412" t="str">
        <f>A49</f>
        <v>比较价值（元/平方米）</v>
      </c>
      <c r="Q49" s="3413"/>
      <c r="R49" s="3414">
        <f>IF(F1="售价",ROUND(PRODUCT(R48,AA7:AA47),1),ROUND(PRODUCT(R48,AA7:AA47),1))</f>
        <v>16.899999999999999</v>
      </c>
      <c r="S49" s="3414"/>
      <c r="T49" s="3414">
        <f>IF(F1="售价",ROUND(PRODUCT(T48,AB7:AB47),1),ROUND(PRODUCT(T48,AB7:AB47),1))</f>
        <v>16</v>
      </c>
      <c r="U49" s="3414"/>
      <c r="V49" s="3414">
        <f>IF(F1="售价",ROUND(PRODUCT(V48,AC7:AC47),1),ROUND(PRODUCT(V48,AC7:AC47),1))</f>
        <v>16.100000000000001</v>
      </c>
      <c r="W49" s="3414"/>
      <c r="X49" s="405"/>
      <c r="Y49" s="405"/>
      <c r="Z49" s="405"/>
      <c r="AA49" s="405"/>
      <c r="AB49" s="405"/>
      <c r="AC49" s="586"/>
    </row>
    <row r="50" spans="1:29" ht="15.75" thickBot="1">
      <c r="A50" s="449" t="s">
        <v>2491</v>
      </c>
      <c r="B50" s="450"/>
      <c r="C50" s="1325">
        <f>R50</f>
        <v>16.3</v>
      </c>
      <c r="D50" s="1325"/>
      <c r="E50" s="1325"/>
      <c r="F50" s="1325"/>
      <c r="G50" s="1325"/>
      <c r="H50" s="1325"/>
      <c r="I50" s="1325"/>
      <c r="J50" s="451"/>
      <c r="K50" s="724"/>
      <c r="L50" s="2953"/>
      <c r="M50" s="2945"/>
      <c r="N50" s="2945"/>
      <c r="O50" s="2945"/>
      <c r="P50" s="3415" t="str">
        <f>A50</f>
        <v>估价对象XX用房的比较价值（楼面单价，元/平方米）</v>
      </c>
      <c r="Q50" s="3416"/>
      <c r="R50" s="3417">
        <f>IF(F1="售价",ROUND(IF(D49="简单平均",AVERAGE(R49:V49),R49*F49+T49*H49+V49*J49),1),ROUND(IF(D49="简单平均",AVERAGE(R49:V49),R49*F49+T49*H49+V49*J49),1))</f>
        <v>16.3</v>
      </c>
      <c r="S50" s="3417"/>
      <c r="T50" s="3417"/>
      <c r="U50" s="3417"/>
      <c r="V50" s="3417"/>
      <c r="W50" s="3417"/>
      <c r="X50" s="2134"/>
      <c r="Y50" s="2134"/>
      <c r="Z50" s="2134"/>
      <c r="AA50" s="2134"/>
      <c r="AB50" s="2134"/>
      <c r="AC50" s="2135"/>
    </row>
    <row r="51" spans="1:29">
      <c r="A51" s="2954"/>
      <c r="B51" s="2954"/>
      <c r="C51" s="2954">
        <v>0</v>
      </c>
      <c r="D51" s="2954">
        <v>200</v>
      </c>
      <c r="E51" s="2954">
        <v>400</v>
      </c>
      <c r="F51" s="2954">
        <v>600</v>
      </c>
      <c r="G51" s="2954">
        <v>800</v>
      </c>
      <c r="H51" s="2954">
        <v>1000</v>
      </c>
      <c r="I51" s="2954">
        <v>1200</v>
      </c>
      <c r="J51" s="2954">
        <v>1400</v>
      </c>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v>96</v>
      </c>
      <c r="D52" s="2954">
        <v>98</v>
      </c>
      <c r="E52" s="2954">
        <v>100</v>
      </c>
      <c r="F52" s="2954">
        <v>98</v>
      </c>
      <c r="G52" s="2954">
        <v>96</v>
      </c>
      <c r="H52" s="2954">
        <v>94</v>
      </c>
      <c r="I52" s="2954">
        <v>108</v>
      </c>
      <c r="J52" s="2954">
        <v>110</v>
      </c>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4.1592394533571664E-3</v>
      </c>
      <c r="F53" s="457" t="str">
        <f>IF(OR(E53&gt;=0.3,E53&lt;=-0.3),"超过30%","")</f>
        <v/>
      </c>
      <c r="G53" s="456">
        <f>IF(G48&lt;G49,G49/G48-1,G48/G49-1)</f>
        <v>0</v>
      </c>
      <c r="H53" s="457" t="str">
        <f>IF(OR(G53&gt;=0.3,G53&lt;=-0.3),"超过30%","")</f>
        <v/>
      </c>
      <c r="I53" s="456">
        <f>IF(I48&lt;I49,I49/I48-1,I48/I49-1)</f>
        <v>7.3333333333333472E-2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5.6249999999999911E-2</v>
      </c>
      <c r="F54" s="457" t="str">
        <f>IF(OR(E54&gt;=0.2,E54&lt;=-0.2),"超过20%","")</f>
        <v/>
      </c>
      <c r="G54" s="456">
        <f>IF(G49&lt;I49,I49/G49-1,G49/I49-1)</f>
        <v>6.2500000000000888E-3</v>
      </c>
      <c r="H54" s="457" t="str">
        <f>IF(OR(G54&gt;=0.2,G54&lt;=-0.2),"超过20%","")</f>
        <v/>
      </c>
      <c r="I54" s="456">
        <f>IF(I49&lt;E49,E49/I49-1,I49/E49-1)</f>
        <v>4.9689440993788692E-2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5.1874999999999893E-2</v>
      </c>
      <c r="F55" s="457" t="str">
        <f>IF(OR(E55&gt;=0.3,E55&lt;=-0.3),"超过30%","")</f>
        <v/>
      </c>
      <c r="G55" s="456">
        <f>IF(G48&lt;I48,I48/G48-1,G48/I48-1)</f>
        <v>6.6666666666666652E-2</v>
      </c>
      <c r="H55" s="457" t="str">
        <f>IF(OR(G55&gt;=0.3,G55&lt;=-0.3),"超过30%","")</f>
        <v/>
      </c>
      <c r="I55" s="456">
        <f>IF(I48&lt;E48,E48/I48-1,I48/E48-1)</f>
        <v>0.12199999999999989</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2023-2</v>
      </c>
      <c r="D59" s="1347">
        <f>EDATE(C59,-1)</f>
        <v>44927</v>
      </c>
      <c r="E59" s="1347">
        <f>EDATE(D59,-1)</f>
        <v>44896</v>
      </c>
      <c r="F59" s="1347">
        <f t="shared" ref="F59:O59" si="16">EDATE(E59,-1)</f>
        <v>44866</v>
      </c>
      <c r="G59" s="1347">
        <f t="shared" si="16"/>
        <v>44835</v>
      </c>
      <c r="H59" s="1347">
        <f t="shared" si="16"/>
        <v>44805</v>
      </c>
      <c r="I59" s="1347">
        <f t="shared" si="16"/>
        <v>44774</v>
      </c>
      <c r="J59" s="1347">
        <f t="shared" si="16"/>
        <v>44743</v>
      </c>
      <c r="K59" s="1347">
        <f t="shared" si="16"/>
        <v>44713</v>
      </c>
      <c r="L59" s="1347">
        <f t="shared" si="16"/>
        <v>44682</v>
      </c>
      <c r="M59" s="1347">
        <f t="shared" si="16"/>
        <v>44652</v>
      </c>
      <c r="N59" s="1347">
        <f t="shared" si="16"/>
        <v>44621</v>
      </c>
      <c r="O59" s="1347">
        <f t="shared" si="16"/>
        <v>44593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99.5</v>
      </c>
      <c r="G60" s="469">
        <v>99.5</v>
      </c>
      <c r="H60" s="469">
        <v>99.5</v>
      </c>
      <c r="I60" s="469">
        <v>99.5</v>
      </c>
      <c r="J60" s="469">
        <v>99.5</v>
      </c>
      <c r="K60" s="469">
        <v>99.5</v>
      </c>
      <c r="L60" s="469">
        <v>100.5</v>
      </c>
      <c r="M60" s="470">
        <v>100.5</v>
      </c>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3121" t="s">
        <v>3213</v>
      </c>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v>102</v>
      </c>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商业</v>
      </c>
      <c r="D64" s="3122" t="s">
        <v>3214</v>
      </c>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v>100</v>
      </c>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1（含）-2</v>
      </c>
      <c r="D68" s="504" t="str">
        <f t="shared" ref="D68:L68" si="17">D69&amp;"（含）"&amp;"-"&amp;E69</f>
        <v>2（含）-3</v>
      </c>
      <c r="E68" s="504" t="str">
        <f t="shared" si="17"/>
        <v>3（含）-4</v>
      </c>
      <c r="F68" s="504" t="str">
        <f t="shared" si="17"/>
        <v>4（含）-5</v>
      </c>
      <c r="G68" s="504" t="str">
        <f t="shared" si="17"/>
        <v>5（含）-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1</v>
      </c>
      <c r="D69" s="506">
        <v>2</v>
      </c>
      <c r="E69" s="506">
        <v>3</v>
      </c>
      <c r="F69" s="506">
        <v>4</v>
      </c>
      <c r="G69" s="506">
        <v>5</v>
      </c>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98</v>
      </c>
      <c r="E78" s="501">
        <f>D78-$K15</f>
        <v>96</v>
      </c>
      <c r="F78" s="501">
        <f>E78-$K15</f>
        <v>94</v>
      </c>
      <c r="G78" s="501">
        <f>F78-$K15</f>
        <v>92</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98</v>
      </c>
      <c r="E82" s="501">
        <f>D82-$K19</f>
        <v>96</v>
      </c>
      <c r="F82" s="501">
        <f>E82-$K19</f>
        <v>94</v>
      </c>
      <c r="G82" s="501">
        <f>F82-$K19</f>
        <v>92</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98</v>
      </c>
      <c r="E86" s="501">
        <f>D86-$K23</f>
        <v>96</v>
      </c>
      <c r="F86" s="501">
        <f>E86-$K23</f>
        <v>94</v>
      </c>
      <c r="G86" s="501">
        <f>F86-$K23</f>
        <v>92</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t="s">
        <v>3218</v>
      </c>
      <c r="D87" s="3623" t="s">
        <v>3353</v>
      </c>
      <c r="E87" s="511" t="s">
        <v>3219</v>
      </c>
      <c r="F87" s="511" t="s">
        <v>3220</v>
      </c>
      <c r="G87" s="511" t="s">
        <v>3221</v>
      </c>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 t="shared" ref="D90:M90" si="20">C90-$K27</f>
        <v>100</v>
      </c>
      <c r="E90" s="501">
        <f t="shared" si="20"/>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t="str">
        <f>B29</f>
        <v>楼层</v>
      </c>
      <c r="C93" s="3133" t="s">
        <v>3291</v>
      </c>
      <c r="D93" s="3208">
        <v>1</v>
      </c>
      <c r="E93" s="3208"/>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v>100</v>
      </c>
      <c r="D94" s="493">
        <v>105</v>
      </c>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189" t="s">
        <v>3292</v>
      </c>
      <c r="D101" s="3122" t="s">
        <v>3260</v>
      </c>
      <c r="E101" s="3122" t="s">
        <v>3274</v>
      </c>
      <c r="F101" s="3122" t="s">
        <v>3275</v>
      </c>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2434</v>
      </c>
      <c r="C103" s="535" t="str">
        <f>C104&amp;"(含)"&amp;"-"&amp;D104</f>
        <v>0(含)-1000</v>
      </c>
      <c r="D103" s="535" t="str">
        <f t="shared" ref="D103:L103" si="23">D104&amp;"(含)"&amp;"-"&amp;E104</f>
        <v>1000(含)-2000</v>
      </c>
      <c r="E103" s="535" t="str">
        <f t="shared" si="23"/>
        <v>2000(含)-3000</v>
      </c>
      <c r="F103" s="535" t="str">
        <f t="shared" si="23"/>
        <v>3000(含)-4000</v>
      </c>
      <c r="G103" s="535" t="str">
        <f t="shared" si="23"/>
        <v>4000(含)-5000</v>
      </c>
      <c r="H103" s="535" t="str">
        <f t="shared" si="23"/>
        <v>5000(含)-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1000</v>
      </c>
      <c r="E104" s="552">
        <v>2000</v>
      </c>
      <c r="F104" s="552">
        <v>3000</v>
      </c>
      <c r="G104" s="552">
        <v>4000</v>
      </c>
      <c r="H104" s="552">
        <v>5000</v>
      </c>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127" t="s">
        <v>3223</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127" t="s">
        <v>3262</v>
      </c>
      <c r="D108" s="3127" t="s">
        <v>3276</v>
      </c>
      <c r="E108" s="3127" t="s">
        <v>3277</v>
      </c>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 t="shared" ref="D112:M112" si="26">C112+$K37</f>
        <v>100</v>
      </c>
      <c r="E112" s="501">
        <f t="shared" si="26"/>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3127" t="s">
        <v>3225</v>
      </c>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 t="shared" ref="D114:M114" si="27">C114-$K38</f>
        <v>99</v>
      </c>
      <c r="E114" s="501">
        <f t="shared" si="27"/>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127" t="s">
        <v>3227</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3127" t="s">
        <v>3228</v>
      </c>
      <c r="D117" s="3127" t="s">
        <v>3364</v>
      </c>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3128" t="s">
        <v>3231</v>
      </c>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 t="shared" ref="D120:M120" si="29">C120-$K41</f>
        <v>99</v>
      </c>
      <c r="E120" s="501">
        <f t="shared" si="29"/>
        <v>98</v>
      </c>
      <c r="F120" s="501">
        <f t="shared" si="29"/>
        <v>97</v>
      </c>
      <c r="G120" s="501">
        <f t="shared" si="29"/>
        <v>96</v>
      </c>
      <c r="H120" s="501">
        <f t="shared" si="29"/>
        <v>95</v>
      </c>
      <c r="I120" s="501">
        <f t="shared" si="29"/>
        <v>94</v>
      </c>
      <c r="J120" s="501">
        <f t="shared" si="29"/>
        <v>93</v>
      </c>
      <c r="K120" s="501">
        <f t="shared" si="29"/>
        <v>92</v>
      </c>
      <c r="L120" s="501">
        <f t="shared" si="29"/>
        <v>91</v>
      </c>
      <c r="M120" s="501">
        <f t="shared" si="29"/>
        <v>90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127" t="s">
        <v>3232</v>
      </c>
      <c r="D123" s="3127" t="s">
        <v>3234</v>
      </c>
      <c r="E123" s="3127" t="s">
        <v>3235</v>
      </c>
      <c r="F123" s="3128" t="s">
        <v>3236</v>
      </c>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t="str">
        <f>B45</f>
        <v>临街情况</v>
      </c>
      <c r="C127" s="511" t="s">
        <v>3297</v>
      </c>
      <c r="D127" s="511">
        <v>0</v>
      </c>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v>100</v>
      </c>
      <c r="D128" s="493">
        <v>90</v>
      </c>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t="str">
        <f>B46</f>
        <v>房型</v>
      </c>
      <c r="C129" s="3127"/>
      <c r="D129" s="3127"/>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t="str">
        <f>B47</f>
        <v>建筑面积</v>
      </c>
      <c r="C131" s="480">
        <f>C47</f>
        <v>445.5</v>
      </c>
      <c r="D131" s="480">
        <f>E47</f>
        <v>66</v>
      </c>
      <c r="E131" s="480">
        <f>G47</f>
        <v>400</v>
      </c>
      <c r="F131" s="480">
        <f>I47</f>
        <v>850</v>
      </c>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v>100</v>
      </c>
      <c r="D132" s="527">
        <v>96</v>
      </c>
      <c r="E132" s="527">
        <v>102</v>
      </c>
      <c r="F132" s="527">
        <v>100</v>
      </c>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row r="135" spans="1:29">
      <c r="C135" s="363">
        <v>0</v>
      </c>
      <c r="D135" s="363">
        <v>500</v>
      </c>
      <c r="E135" s="363">
        <v>1000</v>
      </c>
      <c r="F135" s="363">
        <v>1500</v>
      </c>
      <c r="G135" s="363" t="s">
        <v>3306</v>
      </c>
    </row>
    <row r="136" spans="1:29">
      <c r="D136" s="363">
        <v>98</v>
      </c>
      <c r="E136" s="363">
        <v>96</v>
      </c>
      <c r="F136" s="363">
        <v>94</v>
      </c>
      <c r="G136" s="363">
        <v>92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5" priority="20" stopIfTrue="1" operator="containsText" text="超过">
      <formula>NOT(ISERROR(SEARCH("超过",F53)))</formula>
    </cfRule>
  </conditionalFormatting>
  <conditionalFormatting sqref="H55">
    <cfRule type="containsText" dxfId="184" priority="19" stopIfTrue="1" operator="containsText" text="超过">
      <formula>NOT(ISERROR(SEARCH("超过",H55)))</formula>
    </cfRule>
  </conditionalFormatting>
  <conditionalFormatting sqref="F55">
    <cfRule type="containsText" dxfId="183" priority="18" stopIfTrue="1" operator="containsText" text="超过">
      <formula>NOT(ISERROR(SEARCH("超过",F55)))</formula>
    </cfRule>
  </conditionalFormatting>
  <conditionalFormatting sqref="F54 H54">
    <cfRule type="containsText" dxfId="182" priority="17" stopIfTrue="1" operator="containsText" text="超过">
      <formula>NOT(ISERROR(SEARCH("超过",F54)))</formula>
    </cfRule>
  </conditionalFormatting>
  <conditionalFormatting sqref="E53">
    <cfRule type="expression" dxfId="181" priority="16" stopIfTrue="1">
      <formula>$F$53="超过30%"</formula>
    </cfRule>
  </conditionalFormatting>
  <conditionalFormatting sqref="E54">
    <cfRule type="expression" dxfId="180" priority="15" stopIfTrue="1">
      <formula>$F$54="超过20%"</formula>
    </cfRule>
  </conditionalFormatting>
  <conditionalFormatting sqref="E55">
    <cfRule type="expression" dxfId="179" priority="14" stopIfTrue="1">
      <formula>$F$55="超过30%"</formula>
    </cfRule>
  </conditionalFormatting>
  <conditionalFormatting sqref="G55">
    <cfRule type="expression" dxfId="178" priority="13" stopIfTrue="1">
      <formula>$H$55="超过30%"</formula>
    </cfRule>
  </conditionalFormatting>
  <conditionalFormatting sqref="G53">
    <cfRule type="expression" dxfId="177" priority="12" stopIfTrue="1">
      <formula>$H$53="超过30%"</formula>
    </cfRule>
  </conditionalFormatting>
  <conditionalFormatting sqref="G54">
    <cfRule type="expression" dxfId="176" priority="11" stopIfTrue="1">
      <formula>$H$54="超过20%"</formula>
    </cfRule>
  </conditionalFormatting>
  <conditionalFormatting sqref="J53">
    <cfRule type="containsText" dxfId="175" priority="10" stopIfTrue="1" operator="containsText" text="超过">
      <formula>NOT(ISERROR(SEARCH("超过",J53)))</formula>
    </cfRule>
  </conditionalFormatting>
  <conditionalFormatting sqref="J55">
    <cfRule type="containsText" dxfId="174" priority="9" stopIfTrue="1" operator="containsText" text="超过">
      <formula>NOT(ISERROR(SEARCH("超过",J55)))</formula>
    </cfRule>
  </conditionalFormatting>
  <conditionalFormatting sqref="J54">
    <cfRule type="containsText" dxfId="173" priority="8" stopIfTrue="1" operator="containsText" text="超过">
      <formula>NOT(ISERROR(SEARCH("超过",J54)))</formula>
    </cfRule>
  </conditionalFormatting>
  <conditionalFormatting sqref="I53">
    <cfRule type="expression" dxfId="172" priority="7" stopIfTrue="1">
      <formula>$J$53="超过30%"</formula>
    </cfRule>
  </conditionalFormatting>
  <conditionalFormatting sqref="I54">
    <cfRule type="expression" dxfId="171" priority="6" stopIfTrue="1">
      <formula>$J$53+$J$54="超过20%"</formula>
    </cfRule>
  </conditionalFormatting>
  <conditionalFormatting sqref="I55">
    <cfRule type="expression" dxfId="170" priority="5" stopIfTrue="1">
      <formula>$J$55="超过30%"</formula>
    </cfRule>
  </conditionalFormatting>
  <conditionalFormatting sqref="F49">
    <cfRule type="expression" dxfId="169" priority="4">
      <formula>$D$49="简单平均"</formula>
    </cfRule>
  </conditionalFormatting>
  <conditionalFormatting sqref="H49">
    <cfRule type="expression" dxfId="168" priority="3">
      <formula>$D$49="简单平均"</formula>
    </cfRule>
  </conditionalFormatting>
  <conditionalFormatting sqref="J49">
    <cfRule type="expression" dxfId="167" priority="2">
      <formula>$D$49="简单平均"</formula>
    </cfRule>
  </conditionalFormatting>
  <conditionalFormatting sqref="F7:F47 H7:H47 J7:J47">
    <cfRule type="cellIs" dxfId="166" priority="1" operator="notEqual">
      <formula>100</formula>
    </cfRule>
  </conditionalFormatting>
  <dataValidations count="23">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C44 G44 E44 I44" xr:uid="{00000000-0002-0000-1300-000002000000}">
      <formula1>内部装修维护情况</formula1>
    </dataValidation>
    <dataValidation type="list" allowBlank="1" showInputMessage="1" showErrorMessage="1" sqref="D1" xr:uid="{00000000-0002-0000-1300-000003000000}">
      <formula1>项目类型</formula1>
    </dataValidation>
    <dataValidation type="list" allowBlank="1" showInputMessage="1" showErrorMessage="1" sqref="C10 G10 E10 I10" xr:uid="{00000000-0002-0000-1300-000004000000}">
      <formula1>土地年限区间</formula1>
    </dataValidation>
    <dataValidation type="list" allowBlank="1" showInputMessage="1" showErrorMessage="1" sqref="E9 G9 I9" xr:uid="{00000000-0002-0000-1300-000005000000}">
      <formula1>办公用途</formula1>
    </dataValidation>
    <dataValidation type="list" allowBlank="1" showInputMessage="1" showErrorMessage="1" sqref="C16 G16 E16 I16 I18 G18 E18 C18 C20 E20 G20 I20" xr:uid="{00000000-0002-0000-1300-000006000000}">
      <formula1>办公集聚程度</formula1>
    </dataValidation>
    <dataValidation type="list" allowBlank="1" showInputMessage="1" showErrorMessage="1" sqref="C26 E26 G26 I26" xr:uid="{00000000-0002-0000-1300-000007000000}">
      <formula1>办公道路级别</formula1>
    </dataValidation>
    <dataValidation type="list" allowBlank="1" showInputMessage="1" showErrorMessage="1" sqref="C28 E28 G28 I28" xr:uid="{00000000-0002-0000-1300-000008000000}">
      <formula1>办公朝向</formula1>
    </dataValidation>
    <dataValidation type="list" allowBlank="1" showInputMessage="1" showErrorMessage="1" sqref="C27 E27 G27 I27" xr:uid="{00000000-0002-0000-1300-000009000000}">
      <formula1>办公楼层</formula1>
    </dataValidation>
    <dataValidation type="list" allowBlank="1" showInputMessage="1" showErrorMessage="1" sqref="C33 L33 E33 G33 I33" xr:uid="{00000000-0002-0000-1300-00000A000000}">
      <formula1>办公建筑类型</formula1>
    </dataValidation>
    <dataValidation type="list" allowBlank="1" showInputMessage="1" showErrorMessage="1" sqref="C36 E36 G36 I36" xr:uid="{00000000-0002-0000-1300-00000B000000}">
      <formula1>办公公共部分装修</formula1>
    </dataValidation>
    <dataValidation type="list" allowBlank="1" showInputMessage="1" showErrorMessage="1" sqref="C38 E38 G38 I38" xr:uid="{00000000-0002-0000-1300-00000C000000}">
      <formula1>写字楼等级</formula1>
    </dataValidation>
    <dataValidation type="list" allowBlank="1" showInputMessage="1" showErrorMessage="1" sqref="C39 E39 G39 I39" xr:uid="{00000000-0002-0000-1300-00000D000000}">
      <formula1>办公物业管理</formula1>
    </dataValidation>
    <dataValidation type="list" allowBlank="1" showInputMessage="1" showErrorMessage="1" sqref="C40 E40 G40 I40" xr:uid="{00000000-0002-0000-1300-00000E000000}">
      <formula1>办公基础设施水平</formula1>
    </dataValidation>
    <dataValidation type="list" allowBlank="1" showInputMessage="1" showErrorMessage="1" sqref="C41 E41 G41 I41" xr:uid="{00000000-0002-0000-1300-00000F000000}">
      <formula1>办公层高</formula1>
    </dataValidation>
    <dataValidation type="list" allowBlank="1" showInputMessage="1" showErrorMessage="1" sqref="C43 G43 E43 I43" xr:uid="{00000000-0002-0000-1300-000010000000}">
      <formula1>办公内部装修</formula1>
    </dataValidation>
    <dataValidation type="list" allowBlank="1" showInputMessage="1" showErrorMessage="1" sqref="C8 E8 G8 I8" xr:uid="{00000000-0002-0000-1300-000011000000}">
      <formula1>办公交易情况</formula1>
    </dataValidation>
    <dataValidation type="list" allowBlank="1" showInputMessage="1" showErrorMessage="1" sqref="C22 E22 G22 I22" xr:uid="{00000000-0002-0000-1300-000012000000}">
      <formula1>基础设施水平</formula1>
    </dataValidation>
    <dataValidation type="list" allowBlank="1" showInputMessage="1" showErrorMessage="1" sqref="F1" xr:uid="{00000000-0002-0000-1300-000013000000}">
      <formula1>"售价,租金"</formula1>
    </dataValidation>
    <dataValidation type="list" allowBlank="1" showInputMessage="1" showErrorMessage="1" sqref="C2" xr:uid="{00000000-0002-0000-1300-000014000000}">
      <formula1>"需扣减承租人权益,——"</formula1>
    </dataValidation>
    <dataValidation type="list" allowBlank="1" showInputMessage="1" showErrorMessage="1" sqref="F2" xr:uid="{00000000-0002-0000-1300-000015000000}">
      <formula1>估价方法</formula1>
    </dataValidation>
    <dataValidation type="list" allowBlank="1" showInputMessage="1" showErrorMessage="1" sqref="D49" xr:uid="{00000000-0002-0000-1300-000016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dimension ref="A1:J12"/>
  <sheetViews>
    <sheetView workbookViewId="0">
      <selection activeCell="J10" sqref="J10"/>
    </sheetView>
  </sheetViews>
  <sheetFormatPr defaultColWidth="8.875" defaultRowHeight="14.25"/>
  <cols>
    <col min="1" max="1" width="15.75" style="3218" customWidth="1"/>
    <col min="2" max="2" width="27.875" style="3218" customWidth="1"/>
    <col min="3" max="3" width="6.125" style="3218" customWidth="1"/>
    <col min="4" max="4" width="8.75" style="3218" customWidth="1"/>
    <col min="5" max="5" width="10.5" style="3218" customWidth="1"/>
    <col min="6" max="6" width="7.125" style="3218" hidden="1" customWidth="1"/>
    <col min="7" max="7" width="15.875" style="3218" customWidth="1"/>
    <col min="8" max="8" width="10.625" style="3218" hidden="1" customWidth="1"/>
    <col min="9" max="9" width="16.125" style="3218" hidden="1" customWidth="1"/>
    <col min="10" max="10" width="13.25" style="3218" customWidth="1"/>
    <col min="11" max="16384" width="8.875" style="3218"/>
  </cols>
  <sheetData>
    <row r="1" spans="1:10" ht="27" customHeight="1">
      <c r="A1" s="3462" t="s">
        <v>3343</v>
      </c>
      <c r="B1" s="3462"/>
      <c r="C1" s="3462"/>
      <c r="D1" s="3462"/>
      <c r="E1" s="3462"/>
      <c r="F1" s="3462"/>
      <c r="G1" s="3462"/>
      <c r="H1" s="3462"/>
      <c r="I1" s="3462"/>
    </row>
    <row r="2" spans="1:10" ht="25.5" customHeight="1">
      <c r="A2" s="3218" t="s">
        <v>3280</v>
      </c>
      <c r="B2" s="3218" t="s">
        <v>3279</v>
      </c>
      <c r="C2" s="3218" t="s">
        <v>3281</v>
      </c>
      <c r="D2" s="3218" t="s">
        <v>3307</v>
      </c>
      <c r="E2" s="3218" t="s">
        <v>3287</v>
      </c>
      <c r="F2" s="3218" t="s">
        <v>3282</v>
      </c>
      <c r="G2" s="3218" t="s">
        <v>3288</v>
      </c>
      <c r="H2" s="3217" t="s">
        <v>3286</v>
      </c>
      <c r="I2" s="3217" t="s">
        <v>3289</v>
      </c>
    </row>
    <row r="3" spans="1:10" ht="28.5">
      <c r="A3" s="3218" t="s">
        <v>3328</v>
      </c>
      <c r="B3" s="3218" t="s">
        <v>3329</v>
      </c>
      <c r="C3" s="3218" t="s">
        <v>3283</v>
      </c>
      <c r="D3" s="3218" t="s">
        <v>3308</v>
      </c>
      <c r="E3" s="3218">
        <v>50</v>
      </c>
      <c r="F3" s="3218" t="s">
        <v>3284</v>
      </c>
      <c r="G3" s="3218">
        <v>15</v>
      </c>
      <c r="H3" s="3219">
        <v>0.7</v>
      </c>
      <c r="I3" s="3217">
        <f>ROUND(G3/H3,2)</f>
        <v>21.43</v>
      </c>
    </row>
    <row r="4" spans="1:10" ht="28.5">
      <c r="A4" s="3620" t="s">
        <v>3330</v>
      </c>
      <c r="B4" s="3620" t="s">
        <v>3331</v>
      </c>
      <c r="C4" s="3620" t="s">
        <v>3283</v>
      </c>
      <c r="D4" s="3620" t="s">
        <v>3308</v>
      </c>
      <c r="E4" s="3620">
        <v>66</v>
      </c>
      <c r="F4" s="3620" t="s">
        <v>3284</v>
      </c>
      <c r="G4" s="3620">
        <v>16.829999999999998</v>
      </c>
      <c r="H4" s="3219">
        <v>0.7</v>
      </c>
      <c r="I4" s="3217">
        <f t="shared" ref="I4:I5" si="0">ROUND(G4/H4,2)</f>
        <v>24.04</v>
      </c>
      <c r="J4" s="3218" t="s">
        <v>3354</v>
      </c>
    </row>
    <row r="5" spans="1:10">
      <c r="A5" s="3218" t="s">
        <v>3332</v>
      </c>
      <c r="B5" s="3218" t="s">
        <v>3342</v>
      </c>
      <c r="C5" s="3218" t="s">
        <v>3283</v>
      </c>
      <c r="D5" s="3218" t="s">
        <v>3308</v>
      </c>
      <c r="E5" s="3218">
        <v>230</v>
      </c>
      <c r="F5" s="3218" t="s">
        <v>3284</v>
      </c>
      <c r="G5" s="3218">
        <v>14</v>
      </c>
      <c r="H5" s="3219">
        <v>0.7</v>
      </c>
      <c r="I5" s="3217">
        <f t="shared" si="0"/>
        <v>20</v>
      </c>
    </row>
    <row r="6" spans="1:10">
      <c r="A6" s="3218" t="s">
        <v>3339</v>
      </c>
      <c r="B6" s="3218" t="s">
        <v>3340</v>
      </c>
      <c r="C6" s="3218" t="s">
        <v>3283</v>
      </c>
      <c r="D6" s="3218" t="s">
        <v>3341</v>
      </c>
      <c r="E6" s="3218">
        <v>200</v>
      </c>
      <c r="G6" s="3218">
        <v>15</v>
      </c>
      <c r="H6" s="3219"/>
      <c r="I6" s="3217"/>
    </row>
    <row r="7" spans="1:10">
      <c r="A7" s="3218" t="s">
        <v>3333</v>
      </c>
      <c r="B7" s="3218" t="s">
        <v>3334</v>
      </c>
      <c r="C7" s="3218" t="s">
        <v>3283</v>
      </c>
      <c r="D7" s="3218">
        <v>1</v>
      </c>
      <c r="E7" s="3218">
        <v>45</v>
      </c>
      <c r="G7" s="3218">
        <v>14.81</v>
      </c>
    </row>
    <row r="8" spans="1:10">
      <c r="A8" s="3218" t="s">
        <v>3335</v>
      </c>
      <c r="B8" s="3218" t="s">
        <v>3336</v>
      </c>
      <c r="C8" s="3218" t="s">
        <v>3283</v>
      </c>
      <c r="D8" s="3218">
        <v>1</v>
      </c>
      <c r="E8" s="3218">
        <v>867</v>
      </c>
      <c r="G8" s="3218">
        <v>16</v>
      </c>
    </row>
    <row r="9" spans="1:10">
      <c r="A9" s="3620" t="s">
        <v>3337</v>
      </c>
      <c r="B9" s="3620" t="s">
        <v>3338</v>
      </c>
      <c r="C9" s="3620" t="s">
        <v>3283</v>
      </c>
      <c r="D9" s="3620">
        <v>1</v>
      </c>
      <c r="E9" s="3620">
        <v>400</v>
      </c>
      <c r="F9" s="3620"/>
      <c r="G9" s="3620">
        <v>16</v>
      </c>
      <c r="J9" s="3218" t="s">
        <v>3355</v>
      </c>
    </row>
    <row r="10" spans="1:10" ht="28.5">
      <c r="A10" s="3620" t="s">
        <v>3344</v>
      </c>
      <c r="B10" s="3620" t="s">
        <v>3345</v>
      </c>
      <c r="C10" s="3620" t="s">
        <v>3346</v>
      </c>
      <c r="D10" s="3620">
        <v>1</v>
      </c>
      <c r="E10" s="3620">
        <v>850</v>
      </c>
      <c r="F10" s="3620"/>
      <c r="G10" s="3620">
        <v>15</v>
      </c>
      <c r="J10" s="3218" t="s">
        <v>3356</v>
      </c>
    </row>
    <row r="11" spans="1:10">
      <c r="A11" s="3218" t="s">
        <v>3347</v>
      </c>
      <c r="B11" s="3218" t="s">
        <v>3348</v>
      </c>
      <c r="C11" s="3218" t="s">
        <v>3283</v>
      </c>
      <c r="D11" s="3218">
        <v>1</v>
      </c>
      <c r="E11" s="3218">
        <v>170</v>
      </c>
      <c r="G11" s="3218">
        <v>14</v>
      </c>
    </row>
    <row r="12" spans="1:10">
      <c r="A12" s="3218" t="s">
        <v>3349</v>
      </c>
      <c r="B12" s="3218" t="s">
        <v>3350</v>
      </c>
      <c r="C12" s="3218" t="s">
        <v>3283</v>
      </c>
      <c r="D12" s="3218">
        <v>1</v>
      </c>
      <c r="E12" s="3218">
        <v>50</v>
      </c>
      <c r="G12" s="3218">
        <v>16</v>
      </c>
    </row>
  </sheetData>
  <mergeCells count="1">
    <mergeCell ref="A1:I1"/>
  </mergeCells>
  <phoneticPr fontId="140" type="noConversion"/>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dimension ref="D22:P171"/>
  <sheetViews>
    <sheetView topLeftCell="A10" zoomScale="85" zoomScaleNormal="85" workbookViewId="0">
      <selection activeCell="AC36" sqref="AC36"/>
    </sheetView>
  </sheetViews>
  <sheetFormatPr defaultColWidth="8.875" defaultRowHeight="14.25"/>
  <cols>
    <col min="1" max="16384" width="8.875" style="3184"/>
  </cols>
  <sheetData>
    <row r="22" spans="4:5">
      <c r="E22" s="3185"/>
    </row>
    <row r="24" spans="4:5">
      <c r="D24" s="3186"/>
    </row>
    <row r="57" spans="4:16">
      <c r="E57" s="3185"/>
    </row>
    <row r="59" spans="4:16">
      <c r="D59" s="3186"/>
    </row>
    <row r="63" spans="4:16">
      <c r="P63" s="3216"/>
    </row>
    <row r="73" spans="16:16">
      <c r="P73" s="3216"/>
    </row>
    <row r="91" spans="4:15">
      <c r="E91" s="3185"/>
    </row>
    <row r="92" spans="4:15">
      <c r="O92" s="3216"/>
    </row>
    <row r="93" spans="4:15">
      <c r="D93" s="3186"/>
    </row>
    <row r="99" spans="16:16">
      <c r="P99" s="3184" t="s">
        <v>3326</v>
      </c>
    </row>
    <row r="150" spans="15:15">
      <c r="O150" s="3216"/>
    </row>
    <row r="171" spans="15:15">
      <c r="O171" s="3216"/>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FF0000"/>
  </sheetPr>
  <dimension ref="A1:P43"/>
  <sheetViews>
    <sheetView view="pageBreakPreview" zoomScale="110" zoomScaleSheetLayoutView="110" workbookViewId="0">
      <selection activeCell="I36" sqref="I36"/>
    </sheetView>
  </sheetViews>
  <sheetFormatPr defaultColWidth="9" defaultRowHeight="14.25"/>
  <cols>
    <col min="1" max="1" width="6.375" style="3054" customWidth="1"/>
    <col min="2" max="2" width="19.375" style="3116" customWidth="1"/>
    <col min="3" max="3" width="7.125" style="3117" customWidth="1"/>
    <col min="4" max="4" width="6.375" style="3117" customWidth="1"/>
    <col min="5" max="5" width="7.375" style="3117" customWidth="1"/>
    <col min="6" max="6" width="6.5" style="3117" customWidth="1"/>
    <col min="7" max="7" width="19.375" style="3118" customWidth="1"/>
    <col min="8" max="8" width="19.5" style="3054" customWidth="1"/>
    <col min="9" max="9" width="8.625" style="3054" customWidth="1"/>
    <col min="10" max="10" width="10.5" style="3050" customWidth="1"/>
    <col min="11" max="11" width="4.875" style="3081" customWidth="1"/>
    <col min="12" max="12" width="16.375" style="3081" customWidth="1"/>
    <col min="13" max="16" width="8.125" style="3054" customWidth="1"/>
    <col min="17" max="16384" width="9" style="3054"/>
  </cols>
  <sheetData>
    <row r="1" spans="1:16">
      <c r="A1" s="3463" t="s">
        <v>3057</v>
      </c>
      <c r="B1" s="3463"/>
      <c r="C1" s="3463"/>
      <c r="D1" s="3463"/>
      <c r="E1" s="3463"/>
      <c r="F1" s="3463"/>
      <c r="G1" s="3463"/>
      <c r="H1" s="3463"/>
      <c r="I1" s="3463"/>
      <c r="K1" s="3464" t="s">
        <v>3058</v>
      </c>
      <c r="L1" s="3051" t="s">
        <v>3059</v>
      </c>
      <c r="M1" s="3052">
        <v>0</v>
      </c>
      <c r="N1" s="3053"/>
      <c r="O1" s="3053"/>
    </row>
    <row r="2" spans="1:16" ht="15.75" customHeight="1">
      <c r="A2" s="3055" t="s">
        <v>3060</v>
      </c>
      <c r="B2" s="3056" t="s">
        <v>3061</v>
      </c>
      <c r="C2" s="3465" t="s">
        <v>3062</v>
      </c>
      <c r="D2" s="3466"/>
      <c r="E2" s="3466"/>
      <c r="F2" s="3467"/>
      <c r="G2" s="3057" t="s">
        <v>3063</v>
      </c>
      <c r="H2" s="3468" t="s">
        <v>3064</v>
      </c>
      <c r="I2" s="3468"/>
      <c r="K2" s="3464"/>
      <c r="L2" s="3051" t="s">
        <v>3065</v>
      </c>
      <c r="M2" s="3058" t="s">
        <v>3066</v>
      </c>
      <c r="N2" s="3059"/>
      <c r="O2" s="3059"/>
    </row>
    <row r="3" spans="1:16">
      <c r="A3" s="3060" t="s">
        <v>3067</v>
      </c>
      <c r="B3" s="3061" t="s">
        <v>3068</v>
      </c>
      <c r="C3" s="3465">
        <f>ROUND('比较法-商业'!C49*'收益法倒推-商业'!I3,0)</f>
        <v>26041257</v>
      </c>
      <c r="D3" s="3466"/>
      <c r="E3" s="3466"/>
      <c r="F3" s="3467"/>
      <c r="G3" s="3060" t="s">
        <v>3069</v>
      </c>
      <c r="H3" s="3062" t="s">
        <v>3070</v>
      </c>
      <c r="I3" s="3063">
        <f>'数据-汇总表'!E3</f>
        <v>445.5</v>
      </c>
      <c r="K3" s="3464"/>
      <c r="L3" s="3051" t="s">
        <v>3071</v>
      </c>
      <c r="M3" s="3058" t="s">
        <v>3072</v>
      </c>
      <c r="N3" s="3059"/>
      <c r="O3" s="3064"/>
    </row>
    <row r="4" spans="1:16">
      <c r="A4" s="3469" t="s">
        <v>3073</v>
      </c>
      <c r="B4" s="3470" t="s">
        <v>3074</v>
      </c>
      <c r="C4" s="3471">
        <f>ROUND(C3*(I4-I6)/(1-((1+I6)/(1+I4))^I5),0)</f>
        <v>1616702</v>
      </c>
      <c r="D4" s="3472"/>
      <c r="E4" s="3472"/>
      <c r="F4" s="3473"/>
      <c r="G4" s="3469" t="s">
        <v>3075</v>
      </c>
      <c r="H4" s="3065" t="s">
        <v>3076</v>
      </c>
      <c r="I4" s="3206">
        <v>6.5000000000000002E-2</v>
      </c>
      <c r="K4" s="3464"/>
      <c r="L4" s="3051" t="s">
        <v>3077</v>
      </c>
      <c r="M4" s="3066">
        <f>ROUND(1-(1-M1)*M2/M3,2)</f>
        <v>0.57999999999999996</v>
      </c>
      <c r="N4" s="3059"/>
      <c r="O4" s="3059"/>
    </row>
    <row r="5" spans="1:16" s="3070" customFormat="1" ht="18" customHeight="1">
      <c r="A5" s="3469"/>
      <c r="B5" s="3470"/>
      <c r="C5" s="3474"/>
      <c r="D5" s="3475"/>
      <c r="E5" s="3475"/>
      <c r="F5" s="3476"/>
      <c r="G5" s="3469"/>
      <c r="H5" s="3061" t="s">
        <v>3078</v>
      </c>
      <c r="I5" s="3067">
        <f>项目基本情况!E15</f>
        <v>29.89</v>
      </c>
      <c r="J5" s="3068"/>
      <c r="K5" s="3464"/>
      <c r="L5" s="3051" t="s">
        <v>3080</v>
      </c>
      <c r="M5" s="3069">
        <v>0.5</v>
      </c>
      <c r="N5" s="3059"/>
      <c r="O5" s="3059"/>
    </row>
    <row r="6" spans="1:16" s="3070" customFormat="1" ht="18" customHeight="1">
      <c r="A6" s="3469"/>
      <c r="B6" s="3470"/>
      <c r="C6" s="3477"/>
      <c r="D6" s="3478"/>
      <c r="E6" s="3478"/>
      <c r="F6" s="3479"/>
      <c r="G6" s="3469"/>
      <c r="H6" s="3061" t="s">
        <v>3081</v>
      </c>
      <c r="I6" s="3206">
        <v>0.02</v>
      </c>
      <c r="J6" s="3071"/>
      <c r="K6" s="3480" t="s">
        <v>3082</v>
      </c>
      <c r="L6" s="3072" t="s">
        <v>3083</v>
      </c>
      <c r="M6" s="3073" t="s">
        <v>3084</v>
      </c>
      <c r="N6" s="3073" t="s">
        <v>3085</v>
      </c>
      <c r="O6" s="3073" t="s">
        <v>3086</v>
      </c>
      <c r="P6" s="3073" t="s">
        <v>3087</v>
      </c>
    </row>
    <row r="7" spans="1:16" s="3070" customFormat="1" ht="17.25" customHeight="1">
      <c r="A7" s="3060" t="s">
        <v>3088</v>
      </c>
      <c r="B7" s="3061" t="s">
        <v>3089</v>
      </c>
      <c r="C7" s="3465">
        <f ca="1">ROUND(C23*I7,0)</f>
        <v>1971367</v>
      </c>
      <c r="D7" s="3466"/>
      <c r="E7" s="3466"/>
      <c r="F7" s="3467"/>
      <c r="G7" s="3057" t="s">
        <v>3090</v>
      </c>
      <c r="H7" s="3061" t="s">
        <v>3091</v>
      </c>
      <c r="I7" s="3074">
        <v>0.95</v>
      </c>
      <c r="K7" s="3480"/>
      <c r="L7" s="3072" t="s">
        <v>3092</v>
      </c>
      <c r="M7" s="3073">
        <v>100</v>
      </c>
      <c r="N7" s="3073" t="s">
        <v>3093</v>
      </c>
      <c r="O7" s="3073">
        <v>60</v>
      </c>
      <c r="P7" s="3075">
        <v>0.3</v>
      </c>
    </row>
    <row r="8" spans="1:16" s="3070" customFormat="1" ht="23.25" customHeight="1">
      <c r="A8" s="3055" t="s">
        <v>3094</v>
      </c>
      <c r="B8" s="3061" t="s">
        <v>3095</v>
      </c>
      <c r="C8" s="3465">
        <f>ROUND(I8*I3,0)</f>
        <v>1336500</v>
      </c>
      <c r="D8" s="3466"/>
      <c r="E8" s="3466"/>
      <c r="F8" s="3467"/>
      <c r="G8" s="3057" t="s">
        <v>3096</v>
      </c>
      <c r="H8" s="3061" t="s">
        <v>3097</v>
      </c>
      <c r="I8" s="3207">
        <v>3000</v>
      </c>
      <c r="J8" s="3076">
        <f>D36</f>
        <v>16.3</v>
      </c>
      <c r="K8" s="3480"/>
      <c r="L8" s="3072" t="s">
        <v>3098</v>
      </c>
      <c r="M8" s="3073">
        <v>100</v>
      </c>
      <c r="N8" s="3073" t="s">
        <v>3093</v>
      </c>
      <c r="O8" s="3073">
        <v>60</v>
      </c>
      <c r="P8" s="3075">
        <v>0.5</v>
      </c>
    </row>
    <row r="9" spans="1:16" s="3070" customFormat="1" ht="18" customHeight="1">
      <c r="A9" s="3055" t="s">
        <v>3099</v>
      </c>
      <c r="B9" s="3061" t="s">
        <v>3100</v>
      </c>
      <c r="C9" s="3465">
        <f>ROUND(C8*H9,0)</f>
        <v>40095</v>
      </c>
      <c r="D9" s="3466"/>
      <c r="E9" s="3466"/>
      <c r="F9" s="3467"/>
      <c r="G9" s="3057" t="s">
        <v>3101</v>
      </c>
      <c r="H9" s="3481">
        <v>0.03</v>
      </c>
      <c r="I9" s="3481"/>
      <c r="J9" s="3076">
        <f ca="1">D37</f>
        <v>15.15</v>
      </c>
      <c r="K9" s="3480"/>
      <c r="L9" s="3072" t="s">
        <v>3102</v>
      </c>
      <c r="M9" s="3073">
        <v>100</v>
      </c>
      <c r="N9" s="3073" t="s">
        <v>3093</v>
      </c>
      <c r="O9" s="3073">
        <v>60</v>
      </c>
      <c r="P9" s="3075">
        <f>1-P7-P8</f>
        <v>0.19999999999999996</v>
      </c>
    </row>
    <row r="10" spans="1:16" s="3070" customFormat="1" ht="18" customHeight="1">
      <c r="A10" s="3055" t="s">
        <v>3103</v>
      </c>
      <c r="B10" s="3061" t="s">
        <v>3104</v>
      </c>
      <c r="C10" s="3465">
        <f>ROUND(C8*H10,0)</f>
        <v>0</v>
      </c>
      <c r="D10" s="3466"/>
      <c r="E10" s="3466"/>
      <c r="F10" s="3467"/>
      <c r="G10" s="3057" t="s">
        <v>3101</v>
      </c>
      <c r="H10" s="3481">
        <v>0</v>
      </c>
      <c r="I10" s="3481"/>
      <c r="J10" s="3076">
        <f ca="1">D38</f>
        <v>15.73</v>
      </c>
      <c r="K10" s="3480"/>
      <c r="L10" s="3077" t="s">
        <v>3079</v>
      </c>
      <c r="M10" s="3078">
        <f>1-M5</f>
        <v>0.5</v>
      </c>
      <c r="N10" s="3073" t="s">
        <v>3077</v>
      </c>
      <c r="O10" s="3079">
        <f>ROUND((O7*P7+O8*P8+O9*P9)/100,2)</f>
        <v>0.6</v>
      </c>
      <c r="P10" s="3080"/>
    </row>
    <row r="11" spans="1:16" s="3070" customFormat="1" ht="29.25" customHeight="1">
      <c r="A11" s="3055" t="s">
        <v>3105</v>
      </c>
      <c r="B11" s="3061" t="s">
        <v>3106</v>
      </c>
      <c r="C11" s="3465">
        <f>ROUND(I11*I3,0)</f>
        <v>89100</v>
      </c>
      <c r="D11" s="3466"/>
      <c r="E11" s="3466"/>
      <c r="F11" s="3467"/>
      <c r="G11" s="3057" t="s">
        <v>3107</v>
      </c>
      <c r="H11" s="3061" t="s">
        <v>3108</v>
      </c>
      <c r="I11" s="3057">
        <v>200</v>
      </c>
      <c r="J11" s="3068"/>
      <c r="K11" s="3081"/>
      <c r="L11" s="3081"/>
      <c r="N11" s="3070">
        <f>(M4+O10)/2</f>
        <v>0.59</v>
      </c>
    </row>
    <row r="12" spans="1:16" s="3070" customFormat="1" ht="18" customHeight="1">
      <c r="A12" s="3055" t="s">
        <v>3109</v>
      </c>
      <c r="B12" s="3061" t="s">
        <v>3110</v>
      </c>
      <c r="C12" s="3465">
        <f>ROUND(C8*H12,0)</f>
        <v>20048</v>
      </c>
      <c r="D12" s="3466"/>
      <c r="E12" s="3466"/>
      <c r="F12" s="3467"/>
      <c r="G12" s="3057" t="s">
        <v>3101</v>
      </c>
      <c r="H12" s="3481">
        <f>'数据-取费表'!B36</f>
        <v>1.4999999999999999E-2</v>
      </c>
      <c r="I12" s="3481"/>
      <c r="J12" s="3082" t="s">
        <v>3111</v>
      </c>
      <c r="L12" s="3083"/>
    </row>
    <row r="13" spans="1:16" s="3070" customFormat="1" ht="18" customHeight="1">
      <c r="A13" s="3055" t="s">
        <v>3112</v>
      </c>
      <c r="B13" s="3061" t="s">
        <v>3113</v>
      </c>
      <c r="C13" s="3465">
        <f>SUM(C8:F12)</f>
        <v>1485743</v>
      </c>
      <c r="D13" s="3466"/>
      <c r="E13" s="3466"/>
      <c r="F13" s="3467"/>
      <c r="G13" s="3468" t="s">
        <v>3114</v>
      </c>
      <c r="H13" s="3468"/>
      <c r="I13" s="3468"/>
      <c r="J13" s="3082" t="s">
        <v>3115</v>
      </c>
      <c r="L13" s="3083"/>
    </row>
    <row r="14" spans="1:16" s="3070" customFormat="1" ht="18" customHeight="1">
      <c r="A14" s="3055" t="s">
        <v>3117</v>
      </c>
      <c r="B14" s="3061" t="s">
        <v>3118</v>
      </c>
      <c r="C14" s="3465">
        <f>ROUND(C13*H14,0)</f>
        <v>37144</v>
      </c>
      <c r="D14" s="3466"/>
      <c r="E14" s="3466"/>
      <c r="F14" s="3467"/>
      <c r="G14" s="3057" t="s">
        <v>3119</v>
      </c>
      <c r="H14" s="3481">
        <v>2.5000000000000001E-2</v>
      </c>
      <c r="I14" s="3481"/>
      <c r="J14" s="3068"/>
      <c r="L14" s="3083"/>
    </row>
    <row r="15" spans="1:16" s="3070" customFormat="1" ht="18" customHeight="1">
      <c r="A15" s="3055" t="s">
        <v>3120</v>
      </c>
      <c r="B15" s="3061" t="s">
        <v>3121</v>
      </c>
      <c r="C15" s="3486">
        <f>H15</f>
        <v>2.5000000000000001E-2</v>
      </c>
      <c r="D15" s="3487"/>
      <c r="E15" s="3484" t="str">
        <f>E18</f>
        <v>V</v>
      </c>
      <c r="F15" s="3485"/>
      <c r="G15" s="3057" t="s">
        <v>3122</v>
      </c>
      <c r="H15" s="3481">
        <v>2.5000000000000001E-2</v>
      </c>
      <c r="I15" s="3481"/>
      <c r="J15" s="3084"/>
      <c r="K15" s="3085"/>
    </row>
    <row r="16" spans="1:16" s="3070" customFormat="1" ht="18" customHeight="1">
      <c r="A16" s="3086" t="s">
        <v>999</v>
      </c>
      <c r="B16" s="3087" t="s">
        <v>3123</v>
      </c>
      <c r="C16" s="3088">
        <f ca="1">C17</f>
        <v>72337</v>
      </c>
      <c r="D16" s="3089" t="s">
        <v>3124</v>
      </c>
      <c r="E16" s="3090">
        <f ca="1">C18</f>
        <v>1.1875000000000002E-3</v>
      </c>
      <c r="F16" s="3091" t="str">
        <f>E18</f>
        <v>V</v>
      </c>
      <c r="G16" s="3465" t="s">
        <v>3125</v>
      </c>
      <c r="H16" s="3466"/>
      <c r="I16" s="3467"/>
      <c r="J16" s="3068"/>
      <c r="K16" s="3081"/>
    </row>
    <row r="17" spans="1:12" s="3070" customFormat="1" ht="18" customHeight="1">
      <c r="A17" s="3055" t="s">
        <v>3126</v>
      </c>
      <c r="B17" s="3061" t="s">
        <v>3127</v>
      </c>
      <c r="C17" s="3465">
        <f ca="1">ROUND((C13+C14)*I18*(I17/2),0)</f>
        <v>72337</v>
      </c>
      <c r="D17" s="3466"/>
      <c r="E17" s="3466"/>
      <c r="F17" s="3467"/>
      <c r="G17" s="3088" t="s">
        <v>3128</v>
      </c>
      <c r="H17" s="3061" t="s">
        <v>3129</v>
      </c>
      <c r="I17" s="3092">
        <v>2</v>
      </c>
      <c r="J17" s="3082" t="s">
        <v>3130</v>
      </c>
      <c r="K17" s="3081"/>
      <c r="L17" s="3081"/>
    </row>
    <row r="18" spans="1:12" s="3070" customFormat="1" ht="18" customHeight="1">
      <c r="A18" s="3055" t="s">
        <v>3131</v>
      </c>
      <c r="B18" s="3061" t="s">
        <v>3132</v>
      </c>
      <c r="C18" s="3482">
        <f ca="1">H15*I18*I17/2</f>
        <v>1.1875000000000002E-3</v>
      </c>
      <c r="D18" s="3483"/>
      <c r="E18" s="3484" t="s">
        <v>3133</v>
      </c>
      <c r="F18" s="3485"/>
      <c r="G18" s="3088" t="s">
        <v>3134</v>
      </c>
      <c r="H18" s="3061" t="s">
        <v>3135</v>
      </c>
      <c r="I18" s="3093">
        <f ca="1">'数据-取费表'!B40</f>
        <v>4.7500000000000001E-2</v>
      </c>
      <c r="J18" s="3082" t="s">
        <v>3136</v>
      </c>
      <c r="K18" s="3081"/>
      <c r="L18" s="3081"/>
    </row>
    <row r="19" spans="1:12" s="3070" customFormat="1" ht="27" customHeight="1">
      <c r="A19" s="3055" t="s">
        <v>3137</v>
      </c>
      <c r="B19" s="3061" t="s">
        <v>3138</v>
      </c>
      <c r="C19" s="3088">
        <f>C20</f>
        <v>304577</v>
      </c>
      <c r="D19" s="3089" t="s">
        <v>3139</v>
      </c>
      <c r="E19" s="3089">
        <f>C21</f>
        <v>5.000000000000001E-3</v>
      </c>
      <c r="F19" s="3091" t="str">
        <f>E21</f>
        <v>V</v>
      </c>
      <c r="G19" s="3465" t="s">
        <v>3140</v>
      </c>
      <c r="H19" s="3466"/>
      <c r="I19" s="3467"/>
      <c r="J19" s="3068"/>
      <c r="K19" s="3081"/>
      <c r="L19" s="3081"/>
    </row>
    <row r="20" spans="1:12" s="3070" customFormat="1" ht="26.25" customHeight="1">
      <c r="A20" s="3055" t="s">
        <v>3141</v>
      </c>
      <c r="B20" s="3061" t="s">
        <v>3142</v>
      </c>
      <c r="C20" s="3465">
        <f>ROUND((C13+C14)*I20,0)</f>
        <v>304577</v>
      </c>
      <c r="D20" s="3466"/>
      <c r="E20" s="3466"/>
      <c r="F20" s="3467"/>
      <c r="G20" s="3057" t="s">
        <v>3143</v>
      </c>
      <c r="H20" s="3490" t="s">
        <v>3144</v>
      </c>
      <c r="I20" s="3492">
        <v>0.2</v>
      </c>
      <c r="J20" s="3082" t="s">
        <v>3145</v>
      </c>
      <c r="K20" s="3081"/>
      <c r="L20" s="3081"/>
    </row>
    <row r="21" spans="1:12" s="3070" customFormat="1" ht="27" customHeight="1">
      <c r="A21" s="3055" t="s">
        <v>3141</v>
      </c>
      <c r="B21" s="3061" t="s">
        <v>3146</v>
      </c>
      <c r="C21" s="3493">
        <f>H15*I20</f>
        <v>5.000000000000001E-3</v>
      </c>
      <c r="D21" s="3494"/>
      <c r="E21" s="3484" t="s">
        <v>3133</v>
      </c>
      <c r="F21" s="3485"/>
      <c r="G21" s="3057" t="s">
        <v>3147</v>
      </c>
      <c r="H21" s="3491"/>
      <c r="I21" s="3492"/>
      <c r="J21" s="3068"/>
      <c r="K21" s="3081"/>
      <c r="L21" s="3081"/>
    </row>
    <row r="22" spans="1:12" s="3070" customFormat="1" ht="18" customHeight="1">
      <c r="A22" s="3055" t="s">
        <v>1001</v>
      </c>
      <c r="B22" s="3061" t="s">
        <v>3148</v>
      </c>
      <c r="C22" s="3493">
        <f>ROUND(H22/1.05,4)</f>
        <v>5.33E-2</v>
      </c>
      <c r="D22" s="3494"/>
      <c r="E22" s="3484" t="s">
        <v>3133</v>
      </c>
      <c r="F22" s="3485"/>
      <c r="G22" s="3057" t="s">
        <v>3149</v>
      </c>
      <c r="H22" s="3481">
        <v>5.6000000000000001E-2</v>
      </c>
      <c r="I22" s="3481"/>
      <c r="J22" s="3094"/>
      <c r="K22" s="3081"/>
      <c r="L22" s="3081"/>
    </row>
    <row r="23" spans="1:12" s="3070" customFormat="1" ht="18" customHeight="1">
      <c r="A23" s="3055" t="s">
        <v>3150</v>
      </c>
      <c r="B23" s="3061" t="s">
        <v>3151</v>
      </c>
      <c r="C23" s="3465">
        <f ca="1">ROUND((C13+C14+C17+C20)/(1-H15-C18-C21-C22),0)</f>
        <v>2075123</v>
      </c>
      <c r="D23" s="3466"/>
      <c r="E23" s="3466"/>
      <c r="F23" s="3467"/>
      <c r="G23" s="3465" t="s">
        <v>3152</v>
      </c>
      <c r="H23" s="3466"/>
      <c r="I23" s="3467"/>
      <c r="J23" s="3094"/>
      <c r="K23" s="3081"/>
      <c r="L23" s="3081"/>
    </row>
    <row r="24" spans="1:12" s="3070" customFormat="1" ht="18" customHeight="1">
      <c r="A24" s="3055" t="s">
        <v>3153</v>
      </c>
      <c r="B24" s="3061" t="s">
        <v>3154</v>
      </c>
      <c r="C24" s="3095">
        <f ca="1">C27+C28</f>
        <v>56806</v>
      </c>
      <c r="D24" s="3096" t="s">
        <v>3155</v>
      </c>
      <c r="E24" s="3488">
        <f>H29+E26+H25</f>
        <v>0.20099999999999998</v>
      </c>
      <c r="F24" s="3489"/>
      <c r="G24" s="3468" t="s">
        <v>3156</v>
      </c>
      <c r="H24" s="3468"/>
      <c r="I24" s="3468"/>
      <c r="J24" s="3094"/>
      <c r="K24" s="3081"/>
      <c r="L24" s="3081"/>
    </row>
    <row r="25" spans="1:12" s="3070" customFormat="1" ht="18" customHeight="1">
      <c r="A25" s="3055" t="s">
        <v>1103</v>
      </c>
      <c r="B25" s="3061" t="s">
        <v>3157</v>
      </c>
      <c r="C25" s="3486" t="s">
        <v>3158</v>
      </c>
      <c r="D25" s="3487"/>
      <c r="E25" s="3495">
        <f>ROUND(H25/1.05,4)</f>
        <v>5.33E-2</v>
      </c>
      <c r="F25" s="3496"/>
      <c r="G25" s="3057" t="s">
        <v>3159</v>
      </c>
      <c r="H25" s="3497">
        <v>5.6000000000000001E-2</v>
      </c>
      <c r="I25" s="3497"/>
      <c r="J25" s="3084"/>
      <c r="K25" s="3081"/>
      <c r="L25" s="3081"/>
    </row>
    <row r="26" spans="1:12" s="3070" customFormat="1" ht="18" customHeight="1">
      <c r="A26" s="3055" t="s">
        <v>3116</v>
      </c>
      <c r="B26" s="3061" t="s">
        <v>3160</v>
      </c>
      <c r="C26" s="3486" t="s">
        <v>3158</v>
      </c>
      <c r="D26" s="3487"/>
      <c r="E26" s="3498">
        <v>0.12</v>
      </c>
      <c r="F26" s="3489"/>
      <c r="G26" s="3057"/>
      <c r="H26" s="3499">
        <f>'数据-取费表'!B51</f>
        <v>0.12</v>
      </c>
      <c r="I26" s="3500"/>
      <c r="J26" s="3084"/>
      <c r="K26" s="3081"/>
      <c r="L26" s="3081"/>
    </row>
    <row r="27" spans="1:12" s="3070" customFormat="1" ht="18" customHeight="1">
      <c r="A27" s="3055" t="s">
        <v>998</v>
      </c>
      <c r="B27" s="3061" t="s">
        <v>1100</v>
      </c>
      <c r="C27" s="3465">
        <f ca="1">ROUND(C23*H27,0)</f>
        <v>51878</v>
      </c>
      <c r="D27" s="3466"/>
      <c r="E27" s="3466"/>
      <c r="F27" s="3467"/>
      <c r="G27" s="3057" t="s">
        <v>3161</v>
      </c>
      <c r="H27" s="3497">
        <v>2.5000000000000001E-2</v>
      </c>
      <c r="I27" s="3497"/>
      <c r="J27" s="3084"/>
      <c r="K27" s="3081"/>
      <c r="L27" s="3081"/>
    </row>
    <row r="28" spans="1:12" s="3070" customFormat="1" ht="18" customHeight="1">
      <c r="A28" s="3055" t="s">
        <v>999</v>
      </c>
      <c r="B28" s="3061" t="s">
        <v>3162</v>
      </c>
      <c r="C28" s="3465">
        <f ca="1">ROUND(C7*H28,0)</f>
        <v>4928</v>
      </c>
      <c r="D28" s="3466"/>
      <c r="E28" s="3466"/>
      <c r="F28" s="3467"/>
      <c r="G28" s="3057" t="s">
        <v>3163</v>
      </c>
      <c r="H28" s="3501">
        <v>2.5000000000000001E-3</v>
      </c>
      <c r="I28" s="3501"/>
      <c r="J28" s="3068"/>
      <c r="K28" s="3081"/>
      <c r="L28" s="3081"/>
    </row>
    <row r="29" spans="1:12" s="3070" customFormat="1" ht="18" customHeight="1">
      <c r="A29" s="3055" t="s">
        <v>1000</v>
      </c>
      <c r="B29" s="3061" t="s">
        <v>3164</v>
      </c>
      <c r="C29" s="3486" t="s">
        <v>3158</v>
      </c>
      <c r="D29" s="3487"/>
      <c r="E29" s="3498">
        <f>H29</f>
        <v>2.5000000000000001E-2</v>
      </c>
      <c r="F29" s="3489"/>
      <c r="G29" s="3057" t="s">
        <v>3165</v>
      </c>
      <c r="H29" s="3497">
        <v>2.5000000000000001E-2</v>
      </c>
      <c r="I29" s="3497"/>
      <c r="J29" s="3097"/>
      <c r="K29" s="3081"/>
      <c r="L29" s="3081"/>
    </row>
    <row r="30" spans="1:12" s="3070" customFormat="1" ht="18" customHeight="1">
      <c r="A30" s="3060" t="s">
        <v>3166</v>
      </c>
      <c r="B30" s="3061" t="s">
        <v>3167</v>
      </c>
      <c r="C30" s="3465">
        <f ca="1">ROUND((C4+C24)/(1-E24),0)</f>
        <v>2094503</v>
      </c>
      <c r="D30" s="3466"/>
      <c r="E30" s="3466"/>
      <c r="F30" s="3467"/>
      <c r="G30" s="3469" t="s">
        <v>3168</v>
      </c>
      <c r="H30" s="3469"/>
      <c r="I30" s="3469"/>
      <c r="J30" s="3098" t="s">
        <v>3169</v>
      </c>
      <c r="K30" s="3081"/>
      <c r="L30" s="3081"/>
    </row>
    <row r="31" spans="1:12" s="3070" customFormat="1" ht="18" customHeight="1">
      <c r="A31" s="3469" t="s">
        <v>3170</v>
      </c>
      <c r="B31" s="3470" t="s">
        <v>3285</v>
      </c>
      <c r="C31" s="3502">
        <f ca="1">ROUND(C30/I31/I32/'租金比较法-商业'!C47,2)</f>
        <v>15.15</v>
      </c>
      <c r="D31" s="3503"/>
      <c r="E31" s="3503"/>
      <c r="F31" s="3504"/>
      <c r="G31" s="3468" t="s">
        <v>3171</v>
      </c>
      <c r="H31" s="3061" t="s">
        <v>3172</v>
      </c>
      <c r="I31" s="3057">
        <v>365</v>
      </c>
      <c r="J31" s="3099"/>
      <c r="K31" s="3081"/>
      <c r="L31" s="3081"/>
    </row>
    <row r="32" spans="1:12" s="3070" customFormat="1" ht="18" customHeight="1">
      <c r="A32" s="3469"/>
      <c r="B32" s="3470"/>
      <c r="C32" s="3505"/>
      <c r="D32" s="3506"/>
      <c r="E32" s="3506"/>
      <c r="F32" s="3507"/>
      <c r="G32" s="3468"/>
      <c r="H32" s="3061" t="s">
        <v>3173</v>
      </c>
      <c r="I32" s="3205">
        <v>0.85</v>
      </c>
      <c r="J32" s="3100"/>
      <c r="K32" s="3081"/>
      <c r="L32" s="3187"/>
    </row>
    <row r="33" spans="1:13" s="3070" customFormat="1" ht="18" customHeight="1">
      <c r="A33" s="3054"/>
      <c r="B33" s="3101"/>
      <c r="C33" s="3102"/>
      <c r="D33" s="3102"/>
      <c r="E33" s="3102"/>
      <c r="F33" s="3102"/>
      <c r="G33" s="3103"/>
      <c r="H33" s="3104"/>
      <c r="I33" s="3054"/>
      <c r="J33" s="3105"/>
      <c r="K33" s="3081"/>
      <c r="L33" s="3187"/>
    </row>
    <row r="34" spans="1:13" s="3070" customFormat="1" ht="18" customHeight="1">
      <c r="A34" s="3054"/>
      <c r="B34" s="3509" t="s">
        <v>3267</v>
      </c>
      <c r="C34" s="3509"/>
      <c r="D34" s="3509"/>
      <c r="E34" s="3509"/>
      <c r="F34" s="3509"/>
      <c r="G34" s="3183">
        <f ca="1">(D37-D36)/D37</f>
        <v>-7.5907590759075924E-2</v>
      </c>
      <c r="H34" s="3215" t="s">
        <v>3315</v>
      </c>
      <c r="I34" s="3625">
        <f ca="1">D38</f>
        <v>15.73</v>
      </c>
      <c r="J34" s="3068"/>
      <c r="K34" s="3081"/>
      <c r="L34" s="3081"/>
      <c r="M34" s="3054"/>
    </row>
    <row r="35" spans="1:13" s="3070" customFormat="1" ht="18" customHeight="1">
      <c r="A35" s="3054"/>
      <c r="B35" s="3108" t="s">
        <v>3174</v>
      </c>
      <c r="C35" s="3109" t="s">
        <v>3087</v>
      </c>
      <c r="D35" s="3510" t="s">
        <v>3175</v>
      </c>
      <c r="E35" s="3510"/>
      <c r="F35" s="3510"/>
      <c r="G35" s="3178"/>
      <c r="H35" s="3215" t="s">
        <v>3316</v>
      </c>
      <c r="I35" s="3626">
        <f ca="1">ROUND(I34/(569/891),2)</f>
        <v>24.63</v>
      </c>
      <c r="J35" s="3094"/>
      <c r="K35" s="3054"/>
      <c r="L35" s="3054"/>
      <c r="M35" s="3054"/>
    </row>
    <row r="36" spans="1:13">
      <c r="B36" s="3108" t="s">
        <v>3176</v>
      </c>
      <c r="C36" s="3110">
        <v>0.5</v>
      </c>
      <c r="D36" s="3511">
        <f>'租金比较法-商业'!C50</f>
        <v>16.3</v>
      </c>
      <c r="E36" s="3511"/>
      <c r="F36" s="3511"/>
      <c r="G36" s="3178"/>
      <c r="H36" s="3215" t="s">
        <v>3317</v>
      </c>
      <c r="I36" s="3625">
        <f>569/891</f>
        <v>0.63860830527497192</v>
      </c>
      <c r="K36" s="3054"/>
      <c r="L36" s="3054"/>
    </row>
    <row r="37" spans="1:13" ht="20.100000000000001" customHeight="1">
      <c r="B37" s="3108" t="s">
        <v>3177</v>
      </c>
      <c r="C37" s="3110">
        <f>1-C36</f>
        <v>0.5</v>
      </c>
      <c r="D37" s="3511">
        <f ca="1">C31</f>
        <v>15.15</v>
      </c>
      <c r="E37" s="3511"/>
      <c r="F37" s="3511"/>
      <c r="H37" s="3179"/>
      <c r="J37" s="3054"/>
      <c r="K37" s="3054"/>
      <c r="L37" s="3054"/>
    </row>
    <row r="38" spans="1:13" ht="22.5" customHeight="1">
      <c r="B38" s="3512" t="s">
        <v>3178</v>
      </c>
      <c r="C38" s="3512"/>
      <c r="D38" s="3513">
        <f ca="1">ROUND(D36*C36+D37*C37,2)</f>
        <v>15.73</v>
      </c>
      <c r="E38" s="3514"/>
      <c r="F38" s="3515"/>
      <c r="G38" s="3178"/>
      <c r="H38" s="3627">
        <f ca="1">I35*0.9</f>
        <v>22.166999999999998</v>
      </c>
      <c r="I38" s="3627">
        <f ca="1">I35*1.1</f>
        <v>27.093</v>
      </c>
      <c r="J38" s="3054">
        <v>1055.52</v>
      </c>
      <c r="K38" s="3054"/>
      <c r="L38" s="3054"/>
    </row>
    <row r="39" spans="1:13" ht="22.5" customHeight="1">
      <c r="B39" s="3108" t="s">
        <v>3179</v>
      </c>
      <c r="C39" s="3137">
        <f ca="1">ROUND(D38*0.9,1)</f>
        <v>14.2</v>
      </c>
      <c r="D39" s="3138" t="s">
        <v>3180</v>
      </c>
      <c r="E39" s="3508">
        <f ca="1">ROUND(D38*1.1,1)</f>
        <v>17.3</v>
      </c>
      <c r="F39" s="3508"/>
      <c r="G39" s="3106"/>
      <c r="H39" s="3111"/>
      <c r="J39" s="3054"/>
      <c r="K39" s="3054"/>
      <c r="L39" s="3054"/>
    </row>
    <row r="40" spans="1:13" ht="18" customHeight="1">
      <c r="B40" s="3108" t="s">
        <v>3181</v>
      </c>
      <c r="C40" s="3137">
        <f ca="1">ROUND(C39+H40,1)</f>
        <v>14.2</v>
      </c>
      <c r="D40" s="3138" t="s">
        <v>3180</v>
      </c>
      <c r="E40" s="3508">
        <f ca="1">ROUND(E39+H40,1)</f>
        <v>17.3</v>
      </c>
      <c r="F40" s="3508"/>
      <c r="G40" s="3112" t="s">
        <v>3182</v>
      </c>
      <c r="H40" s="3112"/>
      <c r="J40" s="3054"/>
      <c r="K40" s="3054"/>
      <c r="L40" s="3054"/>
    </row>
    <row r="41" spans="1:13" ht="18" customHeight="1">
      <c r="B41" s="3113"/>
      <c r="C41" s="3114"/>
      <c r="D41" s="3115"/>
      <c r="E41" s="3115"/>
      <c r="F41" s="3115"/>
      <c r="G41" s="3106"/>
      <c r="H41" s="3107"/>
      <c r="J41" s="3054"/>
    </row>
    <row r="42" spans="1:13" ht="18" customHeight="1">
      <c r="B42" s="3106" t="s">
        <v>3183</v>
      </c>
      <c r="C42" s="3115"/>
      <c r="D42" s="3115"/>
      <c r="E42" s="3106" t="s">
        <v>3184</v>
      </c>
      <c r="F42" s="3115"/>
      <c r="G42" s="3106"/>
      <c r="H42" s="3106" t="s">
        <v>3185</v>
      </c>
      <c r="J42" s="3054"/>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0" orientation="portrait" r:id="rId1"/>
  <colBreaks count="1" manualBreakCount="1">
    <brk id="10" max="1048575"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4" customWidth="1"/>
    <col min="12" max="12" width="16.375" style="264" customWidth="1"/>
    <col min="13" max="13" width="13" style="264" customWidth="1"/>
    <col min="14" max="14" width="13.625" style="1570" customWidth="1"/>
    <col min="15" max="15" width="5.125" style="1570" customWidth="1"/>
    <col min="16" max="16" width="25.625" style="1570" customWidth="1"/>
    <col min="17" max="17" width="13.62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5"/>
      <c r="H2" s="2924"/>
      <c r="I2" s="2924"/>
      <c r="J2" s="2924"/>
      <c r="K2" s="2925"/>
      <c r="L2" s="2924"/>
      <c r="M2" s="2924"/>
    </row>
    <row r="3" spans="1:37" ht="18" customHeight="1" thickBot="1">
      <c r="A3" s="1576" t="s">
        <v>1482</v>
      </c>
      <c r="B3" s="1577">
        <f ca="1">IF(ISERROR(B2*10000/F43),0,ROUND(B2*10000/F43,0))</f>
        <v>0</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518" t="s">
        <v>1368</v>
      </c>
      <c r="C6" s="1206">
        <f ca="1">ROUND(F6*F8*F7*(1-F9)/10000,0)</f>
        <v>0</v>
      </c>
      <c r="D6" s="160" t="s">
        <v>2849</v>
      </c>
      <c r="E6" s="308" t="s">
        <v>1370</v>
      </c>
      <c r="F6" s="309">
        <f ca="1">INDIRECT("'数据-取费表'!u"&amp;$G$1)</f>
        <v>0</v>
      </c>
      <c r="G6" s="1570"/>
      <c r="H6" s="1201" t="s">
        <v>1003</v>
      </c>
      <c r="I6" s="3518" t="s">
        <v>1368</v>
      </c>
      <c r="J6" s="307">
        <f ca="1">ROUND(M6*M8*M7*(1-M9)/10000,0)</f>
        <v>0</v>
      </c>
      <c r="K6" s="160" t="s">
        <v>2848</v>
      </c>
      <c r="L6" s="308" t="s">
        <v>1370</v>
      </c>
      <c r="M6" s="309">
        <f ca="1">INDIRECT("'数据-取费表'!z"&amp;$G$1)</f>
        <v>0</v>
      </c>
    </row>
    <row r="7" spans="1:37" ht="18" customHeight="1">
      <c r="A7" s="1205"/>
      <c r="B7" s="3519"/>
      <c r="C7" s="1207"/>
      <c r="D7" s="313"/>
      <c r="E7" s="1208" t="s">
        <v>1371</v>
      </c>
      <c r="F7" s="309">
        <f ca="1">IF(INDIRECT("'数据-取费表'!ah"&amp;$G$1)="",INDIRECT("'数据-取费表'!k"&amp;$G$1),INDIRECT("'数据-取费表'!ah"&amp;$G$1))</f>
        <v>0</v>
      </c>
      <c r="G7" s="1570"/>
      <c r="H7" s="310"/>
      <c r="I7" s="3519"/>
      <c r="J7" s="312"/>
      <c r="K7" s="313"/>
      <c r="L7" s="308" t="s">
        <v>1371</v>
      </c>
      <c r="M7" s="309">
        <f ca="1">F7</f>
        <v>0</v>
      </c>
    </row>
    <row r="8" spans="1:37" ht="18" customHeight="1">
      <c r="A8" s="310"/>
      <c r="B8" s="3519"/>
      <c r="C8" s="312"/>
      <c r="D8" s="313"/>
      <c r="E8" s="308" t="s">
        <v>1372</v>
      </c>
      <c r="F8" s="309">
        <f ca="1">INDIRECT("'数据-取费表'!ai"&amp;$G$1)</f>
        <v>0</v>
      </c>
      <c r="G8" s="1570"/>
      <c r="H8" s="310"/>
      <c r="I8" s="3519"/>
      <c r="J8" s="312"/>
      <c r="K8" s="313"/>
      <c r="L8" s="308" t="s">
        <v>1372</v>
      </c>
      <c r="M8" s="309">
        <f ca="1">INDIRECT("'数据-取费表'!ai"&amp;$G$1)</f>
        <v>0</v>
      </c>
    </row>
    <row r="9" spans="1:37" ht="18" customHeight="1">
      <c r="A9" s="310"/>
      <c r="B9" s="3520"/>
      <c r="C9" s="312"/>
      <c r="D9" s="313"/>
      <c r="E9" s="308" t="s">
        <v>1373</v>
      </c>
      <c r="F9" s="318">
        <f ca="1">INDIRECT("'数据-取费表'!w"&amp;$G$1)</f>
        <v>0</v>
      </c>
      <c r="G9" s="1570"/>
      <c r="H9" s="310"/>
      <c r="I9" s="352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9" t="s">
        <v>3055</v>
      </c>
      <c r="I31" s="1584"/>
      <c r="J31" s="1585"/>
      <c r="K31" s="2701"/>
      <c r="L31" s="2927"/>
      <c r="M31" s="2928"/>
    </row>
    <row r="32" spans="1:37" ht="18" customHeight="1">
      <c r="A32" s="1113" t="s">
        <v>1002</v>
      </c>
      <c r="B32" s="308" t="s">
        <v>1398</v>
      </c>
      <c r="C32" s="24">
        <f ca="1">IF(项目基本情况!B11="自然人","——",ROUND(C6*F32/(1+'数据-取费表'!C42),2))</f>
        <v>0</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12</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ROUND(C29*F36,1)</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ROUND(C13*F37,1)</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0</v>
      </c>
      <c r="K53" s="3516" t="s">
        <v>1513</v>
      </c>
      <c r="L53" s="3517"/>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12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4" customWidth="1"/>
    <col min="12" max="12" width="16.375" style="264" customWidth="1"/>
    <col min="13" max="13" width="13" style="264" customWidth="1"/>
    <col min="14" max="14" width="13.625" style="1570" customWidth="1"/>
    <col min="15" max="15" width="5.125" style="1570" customWidth="1"/>
    <col min="16" max="16" width="25.625" style="1570" customWidth="1"/>
    <col min="17" max="17" width="13.62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5"/>
      <c r="H2" s="2924"/>
      <c r="I2" s="2924"/>
      <c r="J2" s="2924"/>
      <c r="K2" s="2925"/>
      <c r="L2" s="2924"/>
      <c r="M2" s="2924"/>
    </row>
    <row r="3" spans="1:37" ht="18" customHeight="1" thickBot="1">
      <c r="A3" s="1576" t="s">
        <v>1558</v>
      </c>
      <c r="B3" s="1577">
        <f ca="1">IF(ISERROR(D2/F43),0,ROUND(D2/F43,0))</f>
        <v>0</v>
      </c>
      <c r="C3" s="1573" t="s">
        <v>1559</v>
      </c>
      <c r="D3" s="1573"/>
      <c r="E3" s="1574"/>
      <c r="F3" s="1575"/>
      <c r="G3" s="2935"/>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518" t="s">
        <v>1368</v>
      </c>
      <c r="C6" s="1206">
        <f ca="1">ROUND(F6*F8*F7*(1-F9),0)</f>
        <v>0</v>
      </c>
      <c r="D6" s="160" t="s">
        <v>2846</v>
      </c>
      <c r="E6" s="308" t="s">
        <v>1370</v>
      </c>
      <c r="F6" s="309">
        <f ca="1">INDIRECT("'数据-取费表'!u"&amp;$G$1)</f>
        <v>0</v>
      </c>
      <c r="G6" s="1570"/>
      <c r="H6" s="1201" t="s">
        <v>1003</v>
      </c>
      <c r="I6" s="3518" t="s">
        <v>1368</v>
      </c>
      <c r="J6" s="307">
        <f ca="1">ROUND(M6*M8*M7*(1-M9),0)</f>
        <v>0</v>
      </c>
      <c r="K6" s="1562" t="s">
        <v>2847</v>
      </c>
      <c r="L6" s="308" t="s">
        <v>1370</v>
      </c>
      <c r="M6" s="309">
        <f ca="1">INDIRECT("'数据-取费表'!z"&amp;$G$1)</f>
        <v>0</v>
      </c>
    </row>
    <row r="7" spans="1:37" ht="18" customHeight="1">
      <c r="A7" s="1205"/>
      <c r="B7" s="3519"/>
      <c r="C7" s="1207"/>
      <c r="D7" s="313"/>
      <c r="E7" s="1208" t="s">
        <v>1371</v>
      </c>
      <c r="F7" s="309">
        <f ca="1">IF(INDIRECT("'数据-取费表'!ah"&amp;$G$1)="",INDIRECT("'数据-取费表'!k"&amp;$G$1),INDIRECT("'数据-取费表'!ah"&amp;$G$1))</f>
        <v>0</v>
      </c>
      <c r="G7" s="1570"/>
      <c r="H7" s="310"/>
      <c r="I7" s="3519"/>
      <c r="J7" s="312"/>
      <c r="K7" s="313"/>
      <c r="L7" s="308" t="s">
        <v>1371</v>
      </c>
      <c r="M7" s="309">
        <f ca="1">F7</f>
        <v>0</v>
      </c>
    </row>
    <row r="8" spans="1:37" ht="18" customHeight="1">
      <c r="A8" s="310"/>
      <c r="B8" s="3519"/>
      <c r="C8" s="312"/>
      <c r="D8" s="313"/>
      <c r="E8" s="308" t="s">
        <v>1372</v>
      </c>
      <c r="F8" s="309">
        <f ca="1">INDIRECT("'数据-取费表'!ai"&amp;$G$1)</f>
        <v>0</v>
      </c>
      <c r="G8" s="1570"/>
      <c r="H8" s="310"/>
      <c r="I8" s="3519"/>
      <c r="J8" s="312"/>
      <c r="K8" s="313"/>
      <c r="L8" s="308" t="s">
        <v>1372</v>
      </c>
      <c r="M8" s="309">
        <f ca="1">INDIRECT("'数据-取费表'!ai"&amp;$G$1)</f>
        <v>0</v>
      </c>
    </row>
    <row r="9" spans="1:37" ht="18" customHeight="1">
      <c r="A9" s="310"/>
      <c r="B9" s="3520"/>
      <c r="C9" s="312"/>
      <c r="D9" s="313"/>
      <c r="E9" s="308" t="s">
        <v>1373</v>
      </c>
      <c r="F9" s="318">
        <f ca="1">INDIRECT("'数据-取费表'!w"&amp;$G$1)</f>
        <v>0</v>
      </c>
      <c r="G9" s="1570"/>
      <c r="H9" s="310"/>
      <c r="I9" s="352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9" t="s">
        <v>3055</v>
      </c>
      <c r="I31" s="1584"/>
      <c r="J31" s="1585"/>
      <c r="K31" s="2701"/>
      <c r="L31" s="2927"/>
      <c r="M31" s="2928"/>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f>
        <v>0</v>
      </c>
      <c r="D34" s="330" t="s">
        <v>1407</v>
      </c>
      <c r="E34" s="308" t="s">
        <v>1408</v>
      </c>
      <c r="F34" s="331">
        <f>'数据-取费表'!B52</f>
        <v>12</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ROUND(C29*F36,0)</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ROUND(C13*F37,0)</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0</v>
      </c>
      <c r="K53" s="3516" t="s">
        <v>1513</v>
      </c>
      <c r="L53" s="3517"/>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V31"/>
  <sheetViews>
    <sheetView view="pageBreakPreview"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6"/>
      <c r="G1" s="1676"/>
      <c r="H1" s="1676"/>
      <c r="I1" s="1676"/>
      <c r="J1" s="1676"/>
      <c r="K1" s="1676"/>
      <c r="L1" s="1676"/>
      <c r="M1" s="1676"/>
      <c r="N1" s="1676"/>
      <c r="O1" s="1676"/>
      <c r="P1" s="1676"/>
      <c r="Q1" s="1676"/>
      <c r="R1" s="1676"/>
      <c r="S1" s="1676"/>
    </row>
    <row r="2" spans="1:22" ht="15.75">
      <c r="A2" s="2058" t="s">
        <v>2148</v>
      </c>
      <c r="B2" s="2059">
        <f ca="1">SUMIF(B6:B13,"&lt;&gt;#ref!",B6:B13)</f>
        <v>0</v>
      </c>
      <c r="C2" s="2060" t="s">
        <v>2340</v>
      </c>
      <c r="D2" s="2061" t="s">
        <v>2341</v>
      </c>
      <c r="E2" s="2833">
        <f>SUM(E6:E13)</f>
        <v>0</v>
      </c>
      <c r="F2" s="2936"/>
      <c r="G2" s="1676"/>
      <c r="H2" s="1676"/>
      <c r="I2" s="1676"/>
      <c r="J2" s="1676"/>
      <c r="K2" s="1676"/>
      <c r="L2" s="1676"/>
      <c r="M2" s="1676"/>
      <c r="N2" s="1676"/>
      <c r="O2" s="1676"/>
      <c r="P2" s="1676"/>
      <c r="Q2" s="1676"/>
      <c r="R2" s="1676"/>
      <c r="S2" s="1676"/>
    </row>
    <row r="3" spans="1:22" ht="15.75">
      <c r="A3" s="2058" t="s">
        <v>1360</v>
      </c>
      <c r="B3" s="2827" t="e">
        <f ca="1">ROUND(B2*10000/E2,0)</f>
        <v>#DIV/0!</v>
      </c>
      <c r="C3" s="2060" t="s">
        <v>2348</v>
      </c>
      <c r="D3" s="2938"/>
      <c r="E3" s="2940"/>
      <c r="F3" s="2936"/>
      <c r="G3" s="1676"/>
      <c r="H3" s="1676"/>
      <c r="I3" s="1676"/>
      <c r="J3" s="1676"/>
      <c r="K3" s="1676"/>
      <c r="L3" s="1676"/>
      <c r="M3" s="1676"/>
      <c r="N3" s="1676"/>
      <c r="O3" s="1676"/>
      <c r="P3" s="1676"/>
      <c r="Q3" s="1676"/>
      <c r="R3" s="1676"/>
      <c r="S3" s="1676"/>
    </row>
    <row r="4" spans="1:22" ht="15.75">
      <c r="A4" s="2941"/>
      <c r="B4" s="2938"/>
      <c r="C4" s="2938"/>
      <c r="D4" s="2938"/>
      <c r="E4" s="2940"/>
      <c r="F4" s="2936"/>
      <c r="G4" s="1676"/>
      <c r="H4" s="1676"/>
      <c r="I4" s="1676"/>
      <c r="J4" s="1676"/>
      <c r="K4" s="1676"/>
      <c r="L4" s="1676"/>
      <c r="M4" s="1676"/>
      <c r="N4" s="1676"/>
      <c r="O4" s="1676"/>
      <c r="P4" s="1676"/>
      <c r="Q4" s="1676"/>
      <c r="R4" s="1676"/>
      <c r="S4" s="1676"/>
    </row>
    <row r="5" spans="1:22" ht="15">
      <c r="A5" s="2829" t="s">
        <v>2342</v>
      </c>
      <c r="B5" s="3521" t="s">
        <v>2343</v>
      </c>
      <c r="C5" s="3522"/>
      <c r="D5" s="2937"/>
      <c r="E5" s="2062" t="s">
        <v>2344</v>
      </c>
      <c r="F5" s="2063" t="s">
        <v>2345</v>
      </c>
      <c r="G5" s="1676"/>
      <c r="H5" s="1676"/>
      <c r="I5" s="1676"/>
      <c r="J5" s="1676"/>
      <c r="K5" s="1676"/>
      <c r="L5" s="1676"/>
      <c r="M5" s="1676"/>
      <c r="N5" s="1676"/>
      <c r="O5" s="1676"/>
      <c r="P5" s="1676"/>
      <c r="Q5" s="1676"/>
      <c r="R5" s="1676"/>
      <c r="S5" s="1676"/>
    </row>
    <row r="6" spans="1:22">
      <c r="A6" s="2830">
        <f>'数据-取费表'!AN6</f>
        <v>0</v>
      </c>
      <c r="B6" s="2828" t="e">
        <f ca="1">IF(F6="是",'数据-取费表'!AO6,0)</f>
        <v>#REF!</v>
      </c>
      <c r="C6" s="2060" t="s">
        <v>2340</v>
      </c>
      <c r="D6" s="2938"/>
      <c r="E6" s="2832">
        <f>IF(OR(A6=0,F6="否"),0,'数据-取费表'!K6+'数据-取费表'!S6)</f>
        <v>0</v>
      </c>
      <c r="F6" s="2064" t="s">
        <v>2346</v>
      </c>
      <c r="G6" s="1676"/>
      <c r="H6" s="1676"/>
      <c r="I6" s="1676"/>
      <c r="J6" s="1676"/>
      <c r="K6" s="1676"/>
      <c r="L6" s="1676"/>
      <c r="M6" s="1676"/>
      <c r="N6" s="1676"/>
      <c r="O6" s="1676"/>
      <c r="P6" s="1676"/>
      <c r="Q6" s="1676"/>
      <c r="R6" s="1676"/>
      <c r="S6" s="1676"/>
    </row>
    <row r="7" spans="1:22">
      <c r="A7" s="2830">
        <f>'数据-取费表'!AN7</f>
        <v>0</v>
      </c>
      <c r="B7" s="2828" t="e">
        <f ca="1">IF(F7="是",'数据-取费表'!AO7,0)</f>
        <v>#REF!</v>
      </c>
      <c r="C7" s="2060" t="s">
        <v>2340</v>
      </c>
      <c r="D7" s="2938"/>
      <c r="E7" s="2832">
        <f>IF(OR(A7=0,F7="否"),0,'数据-取费表'!K7+'数据-取费表'!S7)</f>
        <v>0</v>
      </c>
      <c r="F7" s="2064" t="s">
        <v>2346</v>
      </c>
      <c r="G7" s="1676"/>
      <c r="H7" s="1676"/>
      <c r="I7" s="1676"/>
      <c r="J7" s="1676"/>
      <c r="K7" s="1676"/>
      <c r="L7" s="1676"/>
      <c r="M7" s="1676"/>
      <c r="N7" s="1676"/>
      <c r="O7" s="1676"/>
      <c r="P7" s="1676"/>
      <c r="Q7" s="1676"/>
      <c r="R7" s="1676"/>
      <c r="S7" s="1676"/>
    </row>
    <row r="8" spans="1:22">
      <c r="A8" s="2830">
        <f>'数据-取费表'!AN8</f>
        <v>0</v>
      </c>
      <c r="B8" s="2828" t="e">
        <f ca="1">IF(F8="是",'数据-取费表'!AO8,0)</f>
        <v>#REF!</v>
      </c>
      <c r="C8" s="2060" t="s">
        <v>2340</v>
      </c>
      <c r="D8" s="2938"/>
      <c r="E8" s="2832">
        <f>IF(OR(A8=0,F8="否"),0,'数据-取费表'!K8+'数据-取费表'!S8)</f>
        <v>0</v>
      </c>
      <c r="F8" s="2064" t="s">
        <v>2346</v>
      </c>
      <c r="G8" s="1676"/>
      <c r="H8" s="1676"/>
      <c r="I8" s="1676"/>
      <c r="J8" s="1676"/>
      <c r="K8" s="1676"/>
      <c r="L8" s="1676"/>
      <c r="M8" s="1676"/>
      <c r="N8" s="1676"/>
      <c r="O8" s="1676"/>
      <c r="P8" s="1676"/>
      <c r="Q8" s="1676"/>
      <c r="R8" s="1676"/>
      <c r="S8" s="1676"/>
    </row>
    <row r="9" spans="1:22">
      <c r="A9" s="2830">
        <f>'数据-取费表'!AN9</f>
        <v>0</v>
      </c>
      <c r="B9" s="2828" t="e">
        <f ca="1">IF(F9="是",'数据-取费表'!AO9,0)</f>
        <v>#REF!</v>
      </c>
      <c r="C9" s="2060" t="s">
        <v>2340</v>
      </c>
      <c r="D9" s="2938"/>
      <c r="E9" s="2832">
        <f>IF(OR(A9=0,F9="否"),0,'数据-取费表'!K9+'数据-取费表'!S9)</f>
        <v>0</v>
      </c>
      <c r="F9" s="2064" t="s">
        <v>2346</v>
      </c>
      <c r="G9" s="1676"/>
      <c r="H9" s="1676"/>
      <c r="I9" s="1676"/>
      <c r="J9" s="1676"/>
      <c r="K9" s="1676"/>
      <c r="L9" s="1676"/>
      <c r="M9" s="1676"/>
      <c r="N9" s="1676"/>
      <c r="O9" s="1676"/>
      <c r="P9" s="1676"/>
      <c r="Q9" s="1676"/>
      <c r="R9" s="1676"/>
      <c r="S9" s="1676"/>
    </row>
    <row r="10" spans="1:22">
      <c r="A10" s="2830">
        <f>'数据-取费表'!AN10</f>
        <v>0</v>
      </c>
      <c r="B10" s="2828" t="e">
        <f ca="1">IF(F10="是",'数据-取费表'!AO10,0)</f>
        <v>#REF!</v>
      </c>
      <c r="C10" s="2060" t="s">
        <v>2340</v>
      </c>
      <c r="D10" s="2938"/>
      <c r="E10" s="2832">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30">
        <f>'数据-取费表'!AN11</f>
        <v>0</v>
      </c>
      <c r="B11" s="2828" t="e">
        <f ca="1">IF(F11="是",'数据-取费表'!AO11,0)</f>
        <v>#REF!</v>
      </c>
      <c r="C11" s="2060" t="s">
        <v>2340</v>
      </c>
      <c r="D11" s="2938"/>
      <c r="E11" s="2832">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30">
        <f>'数据-取费表'!AN12</f>
        <v>0</v>
      </c>
      <c r="B12" s="2828" t="e">
        <f ca="1">IF(F12="是",'数据-取费表'!AO12,0)</f>
        <v>#REF!</v>
      </c>
      <c r="C12" s="2060" t="s">
        <v>2340</v>
      </c>
      <c r="D12" s="2938"/>
      <c r="E12" s="2832">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31">
        <f>'数据-取费表'!AN13</f>
        <v>0</v>
      </c>
      <c r="B13" s="2828" t="e">
        <f ca="1">IF(F13="是",'数据-取费表'!AO13,0)</f>
        <v>#REF!</v>
      </c>
      <c r="C13" s="2065" t="s">
        <v>2340</v>
      </c>
      <c r="D13" s="2939"/>
      <c r="E13" s="2832">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topLeftCell="A7" workbookViewId="0">
      <selection activeCell="C31" sqref="C31"/>
    </sheetView>
  </sheetViews>
  <sheetFormatPr defaultColWidth="8.875" defaultRowHeight="14.25"/>
  <cols>
    <col min="1" max="1" width="10.5" customWidth="1"/>
    <col min="2" max="2" width="12.875" customWidth="1"/>
    <col min="3" max="3" width="8.625" customWidth="1"/>
  </cols>
  <sheetData>
    <row r="1" spans="1:9">
      <c r="A1" s="3539" t="s">
        <v>1044</v>
      </c>
      <c r="B1" s="3540"/>
      <c r="C1" s="3541"/>
      <c r="D1" s="3542">
        <f>SUM(I10,I15,I20,I21,I23)</f>
        <v>0</v>
      </c>
      <c r="E1" s="3542"/>
      <c r="F1" s="3542"/>
      <c r="G1" s="3542"/>
      <c r="H1" s="3542"/>
      <c r="I1" s="3543"/>
    </row>
    <row r="2" spans="1:9">
      <c r="A2" s="3529" t="s">
        <v>1045</v>
      </c>
      <c r="B2" s="3530" t="s">
        <v>1046</v>
      </c>
      <c r="C2" s="3530"/>
      <c r="D2" s="1211" t="s">
        <v>1047</v>
      </c>
      <c r="E2" s="1211" t="s">
        <v>1048</v>
      </c>
      <c r="F2" s="1211" t="s">
        <v>1049</v>
      </c>
      <c r="G2" s="1211" t="s">
        <v>1050</v>
      </c>
      <c r="H2" s="1211" t="s">
        <v>1051</v>
      </c>
      <c r="I2" s="1212" t="s">
        <v>1052</v>
      </c>
    </row>
    <row r="3" spans="1:9">
      <c r="A3" s="3529"/>
      <c r="B3" s="3530" t="s">
        <v>1053</v>
      </c>
      <c r="C3" s="3530"/>
      <c r="D3" s="1213"/>
      <c r="E3" s="1211"/>
      <c r="F3" s="1214"/>
      <c r="G3" s="1214"/>
      <c r="H3" s="1215"/>
      <c r="I3" s="1216">
        <f>ROUND(D3*E3*F3*G3*H3/10000,0)</f>
        <v>0</v>
      </c>
    </row>
    <row r="4" spans="1:9">
      <c r="A4" s="3529"/>
      <c r="B4" s="3530" t="s">
        <v>1054</v>
      </c>
      <c r="C4" s="3530"/>
      <c r="D4" s="1213"/>
      <c r="E4" s="1211"/>
      <c r="F4" s="1214"/>
      <c r="G4" s="1214"/>
      <c r="H4" s="1215"/>
      <c r="I4" s="1216">
        <f t="shared" ref="I4:I9" si="0">ROUND(D4*E4*F4*G4*H4/10000,0)</f>
        <v>0</v>
      </c>
    </row>
    <row r="5" spans="1:9">
      <c r="A5" s="3529"/>
      <c r="B5" s="3530" t="s">
        <v>1055</v>
      </c>
      <c r="C5" s="3530"/>
      <c r="D5" s="1213"/>
      <c r="E5" s="1211"/>
      <c r="F5" s="1214"/>
      <c r="G5" s="1214"/>
      <c r="H5" s="1215"/>
      <c r="I5" s="1216">
        <f t="shared" si="0"/>
        <v>0</v>
      </c>
    </row>
    <row r="6" spans="1:9">
      <c r="A6" s="3529"/>
      <c r="B6" s="3530" t="s">
        <v>1056</v>
      </c>
      <c r="C6" s="3530"/>
      <c r="D6" s="1213"/>
      <c r="E6" s="1211"/>
      <c r="F6" s="1214"/>
      <c r="G6" s="1214"/>
      <c r="H6" s="1215"/>
      <c r="I6" s="1216">
        <f t="shared" si="0"/>
        <v>0</v>
      </c>
    </row>
    <row r="7" spans="1:9">
      <c r="A7" s="3529"/>
      <c r="B7" s="3530" t="s">
        <v>1057</v>
      </c>
      <c r="C7" s="3530"/>
      <c r="D7" s="1213"/>
      <c r="E7" s="1211"/>
      <c r="F7" s="1214"/>
      <c r="G7" s="1214"/>
      <c r="H7" s="1215"/>
      <c r="I7" s="1216">
        <f t="shared" si="0"/>
        <v>0</v>
      </c>
    </row>
    <row r="8" spans="1:9">
      <c r="A8" s="3529"/>
      <c r="B8" s="3530" t="s">
        <v>1058</v>
      </c>
      <c r="C8" s="3530"/>
      <c r="D8" s="1213"/>
      <c r="E8" s="1211"/>
      <c r="F8" s="1214"/>
      <c r="G8" s="1214"/>
      <c r="H8" s="1215"/>
      <c r="I8" s="1216">
        <f t="shared" si="0"/>
        <v>0</v>
      </c>
    </row>
    <row r="9" spans="1:9">
      <c r="A9" s="3529"/>
      <c r="B9" s="3530" t="s">
        <v>1059</v>
      </c>
      <c r="C9" s="3530"/>
      <c r="D9" s="1213"/>
      <c r="E9" s="1211"/>
      <c r="F9" s="1214"/>
      <c r="G9" s="1214"/>
      <c r="H9" s="1215"/>
      <c r="I9" s="1216">
        <f t="shared" si="0"/>
        <v>0</v>
      </c>
    </row>
    <row r="10" spans="1:9">
      <c r="A10" s="3529"/>
      <c r="B10" s="3531" t="s">
        <v>1060</v>
      </c>
      <c r="C10" s="3531"/>
      <c r="D10" s="1217"/>
      <c r="E10" s="1217" t="e">
        <f>ROUND(D1*10000/D10/H9,0)</f>
        <v>#DIV/0!</v>
      </c>
      <c r="F10" s="1218"/>
      <c r="G10" s="1218"/>
      <c r="H10" s="1219"/>
      <c r="I10" s="1220">
        <f>SUM(I3:I9)</f>
        <v>0</v>
      </c>
    </row>
    <row r="11" spans="1:9">
      <c r="A11" s="3529" t="s">
        <v>1061</v>
      </c>
      <c r="B11" s="3530" t="s">
        <v>1062</v>
      </c>
      <c r="C11" s="3530"/>
      <c r="D11" s="1213" t="s">
        <v>1063</v>
      </c>
      <c r="E11" s="1213" t="s">
        <v>1064</v>
      </c>
      <c r="F11" s="1214" t="s">
        <v>1065</v>
      </c>
      <c r="G11" s="1214" t="s">
        <v>1051</v>
      </c>
      <c r="H11" s="1221" t="s">
        <v>1066</v>
      </c>
      <c r="I11" s="1212" t="s">
        <v>1052</v>
      </c>
    </row>
    <row r="12" spans="1:9">
      <c r="A12" s="3529"/>
      <c r="B12" s="3530" t="s">
        <v>1067</v>
      </c>
      <c r="C12" s="3530"/>
      <c r="D12" s="1213"/>
      <c r="E12" s="1213"/>
      <c r="F12" s="1214"/>
      <c r="G12" s="1215"/>
      <c r="H12" s="1222"/>
      <c r="I12" s="1212">
        <f>ROUND(D12*E12*F12*G12/10000,0)</f>
        <v>0</v>
      </c>
    </row>
    <row r="13" spans="1:9">
      <c r="A13" s="3529"/>
      <c r="B13" s="3530" t="s">
        <v>1068</v>
      </c>
      <c r="C13" s="3530"/>
      <c r="D13" s="1213"/>
      <c r="E13" s="1213"/>
      <c r="F13" s="1214"/>
      <c r="G13" s="1215"/>
      <c r="H13" s="1222"/>
      <c r="I13" s="1212">
        <f>ROUND(D13*E13*F13*G13/10000,0)</f>
        <v>0</v>
      </c>
    </row>
    <row r="14" spans="1:9">
      <c r="A14" s="3529"/>
      <c r="B14" s="3530" t="s">
        <v>1069</v>
      </c>
      <c r="C14" s="3530"/>
      <c r="D14" s="1213"/>
      <c r="E14" s="1213"/>
      <c r="F14" s="1214"/>
      <c r="G14" s="1215"/>
      <c r="H14" s="1222"/>
      <c r="I14" s="1212">
        <f>ROUND(D14*E14*F14*G14/10000,0)</f>
        <v>0</v>
      </c>
    </row>
    <row r="15" spans="1:9">
      <c r="A15" s="3529"/>
      <c r="B15" s="3531" t="s">
        <v>1060</v>
      </c>
      <c r="C15" s="3531"/>
      <c r="D15" s="1217"/>
      <c r="E15" s="1217">
        <f>SUM(E12:E14)</f>
        <v>0</v>
      </c>
      <c r="F15" s="1218"/>
      <c r="G15" s="1215"/>
      <c r="H15" s="1222"/>
      <c r="I15" s="1223">
        <f>SUM(I12:I14)</f>
        <v>0</v>
      </c>
    </row>
    <row r="16" spans="1:9" ht="24">
      <c r="A16" s="3529" t="s">
        <v>1070</v>
      </c>
      <c r="B16" s="3530" t="s">
        <v>1071</v>
      </c>
      <c r="C16" s="3530"/>
      <c r="D16" s="1213" t="s">
        <v>1047</v>
      </c>
      <c r="E16" s="1224" t="s">
        <v>1072</v>
      </c>
      <c r="F16" s="1214" t="s">
        <v>1073</v>
      </c>
      <c r="G16" s="1215" t="s">
        <v>1051</v>
      </c>
      <c r="H16" s="1221" t="s">
        <v>1066</v>
      </c>
      <c r="I16" s="1212" t="s">
        <v>1052</v>
      </c>
    </row>
    <row r="17" spans="1:9">
      <c r="A17" s="3529"/>
      <c r="B17" s="3530" t="s">
        <v>1074</v>
      </c>
      <c r="C17" s="3530"/>
      <c r="D17" s="1213"/>
      <c r="E17" s="1213"/>
      <c r="F17" s="1214"/>
      <c r="G17" s="1215"/>
      <c r="H17" s="1225"/>
      <c r="I17" s="1226">
        <f>ROUND(D17*E17*F17*G17/10000,0)</f>
        <v>0</v>
      </c>
    </row>
    <row r="18" spans="1:9">
      <c r="A18" s="3529"/>
      <c r="B18" s="3530" t="s">
        <v>1075</v>
      </c>
      <c r="C18" s="3530"/>
      <c r="D18" s="1213"/>
      <c r="E18" s="1213"/>
      <c r="F18" s="1214"/>
      <c r="G18" s="1215"/>
      <c r="H18" s="1225"/>
      <c r="I18" s="1226">
        <f>ROUND(D18*E18*F18*G18/10000,0)</f>
        <v>0</v>
      </c>
    </row>
    <row r="19" spans="1:9">
      <c r="A19" s="3529"/>
      <c r="B19" s="3530" t="s">
        <v>1076</v>
      </c>
      <c r="C19" s="3530"/>
      <c r="D19" s="1213"/>
      <c r="E19" s="1213"/>
      <c r="F19" s="1214"/>
      <c r="G19" s="1215"/>
      <c r="H19" s="1225"/>
      <c r="I19" s="1226">
        <f>ROUND(D19*E19*F19*G19/10000,0)</f>
        <v>0</v>
      </c>
    </row>
    <row r="20" spans="1:9">
      <c r="A20" s="3529"/>
      <c r="B20" s="3531" t="s">
        <v>1060</v>
      </c>
      <c r="C20" s="3531"/>
      <c r="D20" s="1217">
        <f>SUM(D17:D19)</f>
        <v>0</v>
      </c>
      <c r="E20" s="1217"/>
      <c r="F20" s="1218"/>
      <c r="G20" s="1215"/>
      <c r="H20" s="1222"/>
      <c r="I20" s="1223">
        <f>SUM(I17:I19)</f>
        <v>0</v>
      </c>
    </row>
    <row r="21" spans="1:9">
      <c r="A21" s="3529" t="s">
        <v>1077</v>
      </c>
      <c r="B21" s="3532"/>
      <c r="C21" s="3532"/>
      <c r="D21" s="3532"/>
      <c r="E21" s="3532"/>
      <c r="F21" s="3532"/>
      <c r="G21" s="3532"/>
      <c r="H21" s="1504">
        <v>0.1</v>
      </c>
      <c r="I21" s="1220">
        <f>ROUND(I10*H21,0)</f>
        <v>0</v>
      </c>
    </row>
    <row r="22" spans="1:9">
      <c r="A22" s="3533" t="s">
        <v>1078</v>
      </c>
      <c r="B22" s="3534"/>
      <c r="C22" s="3535"/>
      <c r="D22" s="1227" t="s">
        <v>1079</v>
      </c>
      <c r="E22" s="1227" t="s">
        <v>1080</v>
      </c>
      <c r="F22" s="1228" t="s">
        <v>1081</v>
      </c>
      <c r="G22" s="1228" t="s">
        <v>1082</v>
      </c>
      <c r="H22" s="1221" t="s">
        <v>1083</v>
      </c>
      <c r="I22" s="1212" t="s">
        <v>1084</v>
      </c>
    </row>
    <row r="23" spans="1:9" ht="15" thickBot="1">
      <c r="A23" s="3536"/>
      <c r="B23" s="3537"/>
      <c r="C23" s="3538"/>
      <c r="D23" s="1229"/>
      <c r="E23" s="1229"/>
      <c r="F23" s="1229"/>
      <c r="G23" s="1230"/>
      <c r="H23" s="1231"/>
      <c r="I23" s="1232">
        <f>ROUND(E23*D23*F23*(1-G23)/10000,0)</f>
        <v>0</v>
      </c>
    </row>
    <row r="26" spans="1:9">
      <c r="A26" s="1233" t="s">
        <v>1085</v>
      </c>
      <c r="B26" s="1233"/>
      <c r="C26" s="1233"/>
      <c r="D26" s="1233"/>
      <c r="E26" s="3526">
        <f>C27-C30-C31-C32</f>
        <v>0</v>
      </c>
      <c r="F26" s="3526"/>
      <c r="G26" s="3526"/>
      <c r="H26" s="1501" t="s">
        <v>1306</v>
      </c>
    </row>
    <row r="27" spans="1:9">
      <c r="A27" s="1234">
        <v>1</v>
      </c>
      <c r="B27" s="1235" t="s">
        <v>1086</v>
      </c>
      <c r="C27" s="1235">
        <f>C28+C29</f>
        <v>0</v>
      </c>
      <c r="D27" s="1235"/>
      <c r="E27" s="3527"/>
      <c r="F27" s="3527"/>
      <c r="G27" s="3527"/>
    </row>
    <row r="28" spans="1:9">
      <c r="A28" s="1236" t="s">
        <v>1087</v>
      </c>
      <c r="B28" s="1235" t="s">
        <v>1088</v>
      </c>
      <c r="C28" s="1235"/>
      <c r="D28" s="1235"/>
      <c r="E28" s="3527"/>
      <c r="F28" s="3527"/>
      <c r="G28" s="352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28"/>
      <c r="F32" s="3528"/>
      <c r="G32" s="3528"/>
    </row>
    <row r="33" spans="1:7" hidden="1">
      <c r="A33" s="3523" t="s">
        <v>1097</v>
      </c>
      <c r="B33" s="3524"/>
      <c r="C33" s="3524"/>
      <c r="D33" s="3525"/>
      <c r="E33" s="3526"/>
      <c r="F33" s="3526"/>
      <c r="G33" s="3526"/>
    </row>
    <row r="34" spans="1:7" hidden="1">
      <c r="A34" s="1238">
        <v>1</v>
      </c>
      <c r="B34" s="1235" t="s">
        <v>1098</v>
      </c>
      <c r="C34" s="1235"/>
      <c r="D34" s="1235"/>
      <c r="E34" s="3527"/>
      <c r="F34" s="3527"/>
      <c r="G34" s="3527"/>
    </row>
    <row r="35" spans="1:7" hidden="1">
      <c r="A35" s="1238">
        <v>2</v>
      </c>
      <c r="B35" s="1235" t="s">
        <v>1099</v>
      </c>
      <c r="C35" s="1235"/>
      <c r="D35" s="1235"/>
      <c r="E35" s="3527"/>
      <c r="F35" s="3527"/>
      <c r="G35" s="3527"/>
    </row>
    <row r="36" spans="1:7" hidden="1">
      <c r="A36" s="1238">
        <v>3</v>
      </c>
      <c r="B36" s="1235" t="s">
        <v>1100</v>
      </c>
      <c r="C36" s="1235"/>
      <c r="D36" s="1235"/>
      <c r="E36" s="3527"/>
      <c r="F36" s="3527"/>
      <c r="G36" s="3527"/>
    </row>
    <row r="37" spans="1:7" hidden="1">
      <c r="A37" s="1238">
        <v>4</v>
      </c>
      <c r="B37" s="1235" t="s">
        <v>1101</v>
      </c>
      <c r="C37" s="1235"/>
      <c r="D37" s="1235"/>
      <c r="E37" s="3527"/>
      <c r="F37" s="3527"/>
      <c r="G37" s="3527"/>
    </row>
    <row r="38" spans="1:7" hidden="1">
      <c r="A38" s="3523" t="s">
        <v>1102</v>
      </c>
      <c r="B38" s="3524"/>
      <c r="C38" s="3524"/>
      <c r="D38" s="3525"/>
      <c r="E38" s="3526"/>
      <c r="F38" s="3526"/>
      <c r="G38" s="35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2"/>
      <c r="M2" s="2943"/>
      <c r="N2" s="2943"/>
      <c r="O2" s="2943"/>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445.5</v>
      </c>
      <c r="E3" s="1038"/>
      <c r="F3" s="2076"/>
      <c r="G3" s="1038"/>
      <c r="H3" s="1038"/>
      <c r="I3" s="1038"/>
      <c r="J3" s="1038"/>
      <c r="K3" s="2072"/>
      <c r="L3" s="2942"/>
      <c r="M3" s="2943"/>
      <c r="N3" s="2943"/>
      <c r="O3" s="2943"/>
      <c r="P3" s="2073"/>
      <c r="Q3" s="2074"/>
      <c r="R3" s="2074"/>
      <c r="S3" s="2074"/>
      <c r="T3" s="2074"/>
      <c r="U3" s="2074"/>
      <c r="V3" s="2074"/>
      <c r="W3" s="2074"/>
      <c r="X3" s="2074"/>
      <c r="Y3" s="2074"/>
      <c r="Z3" s="2074"/>
      <c r="AA3" s="2074"/>
      <c r="AB3" s="2074"/>
      <c r="AC3" s="1192"/>
    </row>
    <row r="4" spans="1:29" ht="15">
      <c r="A4" s="361" t="s">
        <v>2356</v>
      </c>
      <c r="B4" s="362"/>
      <c r="C4" s="3431" t="s">
        <v>2357</v>
      </c>
      <c r="D4" s="3432"/>
      <c r="E4" s="3433" t="s">
        <v>2358</v>
      </c>
      <c r="F4" s="3434"/>
      <c r="G4" s="3431" t="s">
        <v>2359</v>
      </c>
      <c r="H4" s="3432"/>
      <c r="I4" s="3431" t="s">
        <v>2360</v>
      </c>
      <c r="J4" s="3432"/>
      <c r="K4" s="2077" t="s">
        <v>2361</v>
      </c>
      <c r="L4" s="2944"/>
      <c r="M4" s="2945"/>
      <c r="N4" s="2945"/>
      <c r="O4" s="2945"/>
      <c r="P4" s="3548" t="s">
        <v>2362</v>
      </c>
      <c r="Q4" s="3549"/>
      <c r="R4" s="3552" t="s">
        <v>2358</v>
      </c>
      <c r="S4" s="3553"/>
      <c r="T4" s="3552" t="s">
        <v>2359</v>
      </c>
      <c r="U4" s="3553"/>
      <c r="V4" s="3448" t="s">
        <v>2360</v>
      </c>
      <c r="W4" s="3448"/>
      <c r="X4" s="1541"/>
      <c r="Y4" s="3552" t="s">
        <v>2362</v>
      </c>
      <c r="Z4" s="3553"/>
      <c r="AA4" s="3547" t="s">
        <v>2358</v>
      </c>
      <c r="AB4" s="3547" t="s">
        <v>2359</v>
      </c>
      <c r="AC4" s="3547" t="s">
        <v>2360</v>
      </c>
    </row>
    <row r="5" spans="1:29" ht="15">
      <c r="A5" s="364"/>
      <c r="B5" s="365"/>
      <c r="C5" s="3556" t="s">
        <v>2363</v>
      </c>
      <c r="D5" s="3557"/>
      <c r="E5" s="3559" t="s">
        <v>2364</v>
      </c>
      <c r="F5" s="3456"/>
      <c r="G5" s="3556" t="s">
        <v>2365</v>
      </c>
      <c r="H5" s="3557"/>
      <c r="I5" s="3556" t="s">
        <v>2366</v>
      </c>
      <c r="J5" s="3557"/>
      <c r="K5" s="2078"/>
      <c r="L5" s="2944"/>
      <c r="M5" s="2945"/>
      <c r="N5" s="2945"/>
      <c r="O5" s="2945"/>
      <c r="P5" s="3550"/>
      <c r="Q5" s="3438"/>
      <c r="R5" s="3443"/>
      <c r="S5" s="3444"/>
      <c r="T5" s="3443"/>
      <c r="U5" s="3444"/>
      <c r="V5" s="3448"/>
      <c r="W5" s="3448"/>
      <c r="X5" s="1541"/>
      <c r="Y5" s="3443"/>
      <c r="Z5" s="3444"/>
      <c r="AA5" s="3460"/>
      <c r="AB5" s="3460"/>
      <c r="AC5" s="3460"/>
    </row>
    <row r="6" spans="1:29" ht="15.75" thickBot="1">
      <c r="A6" s="366"/>
      <c r="B6" s="367"/>
      <c r="C6" s="3554" t="s">
        <v>2367</v>
      </c>
      <c r="D6" s="3555"/>
      <c r="E6" s="3558" t="s">
        <v>2367</v>
      </c>
      <c r="F6" s="3458"/>
      <c r="G6" s="3554" t="s">
        <v>2367</v>
      </c>
      <c r="H6" s="3555"/>
      <c r="I6" s="3554" t="s">
        <v>2367</v>
      </c>
      <c r="J6" s="3555"/>
      <c r="K6" s="2078" t="s">
        <v>2368</v>
      </c>
      <c r="L6" s="2944"/>
      <c r="M6" s="2945"/>
      <c r="N6" s="2945"/>
      <c r="O6" s="2945"/>
      <c r="P6" s="3551"/>
      <c r="Q6" s="3440"/>
      <c r="R6" s="3443"/>
      <c r="S6" s="3444"/>
      <c r="T6" s="3445"/>
      <c r="U6" s="3446"/>
      <c r="V6" s="3448"/>
      <c r="W6" s="3448"/>
      <c r="X6" s="1541"/>
      <c r="Y6" s="3445"/>
      <c r="Z6" s="3446"/>
      <c r="AA6" s="3461"/>
      <c r="AB6" s="3461"/>
      <c r="AC6" s="3461"/>
    </row>
    <row r="7" spans="1:29" s="113" customFormat="1" ht="15.75" thickBot="1">
      <c r="A7" s="368" t="s">
        <v>2369</v>
      </c>
      <c r="B7" s="369"/>
      <c r="C7" s="370">
        <f>'数据-取费表'!B2</f>
        <v>44959</v>
      </c>
      <c r="D7" s="371">
        <v>100</v>
      </c>
      <c r="E7" s="372"/>
      <c r="F7" s="373">
        <f>SUMIF(58:58,YEAR(E7)&amp;"-"&amp;MONTH(E7),59:59)</f>
        <v>0</v>
      </c>
      <c r="G7" s="372"/>
      <c r="H7" s="371">
        <f>SUMIF(58:58,YEAR(G7)&amp;"-"&amp;MONTH(G7),59:59)</f>
        <v>0</v>
      </c>
      <c r="I7" s="372"/>
      <c r="J7" s="371">
        <f>SUMIF(58:58,YEAR(I7)&amp;"-"&amp;MONTH(I7),59:59)</f>
        <v>0</v>
      </c>
      <c r="K7" s="2079"/>
      <c r="L7" s="2946"/>
      <c r="M7" s="2947"/>
      <c r="N7" s="2947"/>
      <c r="O7" s="2947"/>
      <c r="P7" s="3453" t="s">
        <v>2370</v>
      </c>
      <c r="Q7" s="3454"/>
      <c r="R7" s="710" t="s">
        <v>23</v>
      </c>
      <c r="S7" s="711">
        <f t="shared" ref="S7:S15" si="0">F7</f>
        <v>0</v>
      </c>
      <c r="T7" s="710" t="s">
        <v>23</v>
      </c>
      <c r="U7" s="711">
        <f t="shared" ref="U7:U15" si="1">H7</f>
        <v>0</v>
      </c>
      <c r="V7" s="710" t="s">
        <v>23</v>
      </c>
      <c r="W7" s="711">
        <f t="shared" ref="W7:W15" si="2">J7</f>
        <v>0</v>
      </c>
      <c r="X7" s="712"/>
      <c r="Y7" s="3453" t="s">
        <v>2370</v>
      </c>
      <c r="Z7" s="3452"/>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6"/>
      <c r="M8" s="2947"/>
      <c r="N8" s="2947"/>
      <c r="O8" s="2947"/>
      <c r="P8" s="3453" t="s">
        <v>2373</v>
      </c>
      <c r="Q8" s="3452"/>
      <c r="R8" s="710" t="s">
        <v>23</v>
      </c>
      <c r="S8" s="711">
        <f t="shared" si="0"/>
        <v>0</v>
      </c>
      <c r="T8" s="710" t="s">
        <v>23</v>
      </c>
      <c r="U8" s="711">
        <f t="shared" si="1"/>
        <v>0</v>
      </c>
      <c r="V8" s="710" t="s">
        <v>23</v>
      </c>
      <c r="W8" s="711">
        <f t="shared" si="2"/>
        <v>0</v>
      </c>
      <c r="X8" s="712"/>
      <c r="Y8" s="3453" t="s">
        <v>2373</v>
      </c>
      <c r="Z8" s="345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6"/>
      <c r="M9" s="2947"/>
      <c r="N9" s="2947"/>
      <c r="O9" s="2947"/>
      <c r="P9" s="3412"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412"/>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412"/>
      <c r="Q11" s="1529" t="str">
        <f t="shared" si="6"/>
        <v>容积率</v>
      </c>
      <c r="R11" s="710" t="s">
        <v>21</v>
      </c>
      <c r="S11" s="711" t="e">
        <f t="shared" si="0"/>
        <v>#N/A</v>
      </c>
      <c r="T11" s="710" t="s">
        <v>21</v>
      </c>
      <c r="U11" s="711" t="e">
        <f t="shared" si="1"/>
        <v>#N/A</v>
      </c>
      <c r="V11" s="710" t="s">
        <v>21</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6"/>
      <c r="M12" s="2947"/>
      <c r="N12" s="2947"/>
      <c r="O12" s="2947"/>
      <c r="P12" s="3412"/>
      <c r="Q12" s="1529">
        <f t="shared" si="6"/>
        <v>111</v>
      </c>
      <c r="R12" s="710" t="s">
        <v>21</v>
      </c>
      <c r="S12" s="711">
        <f t="shared" si="0"/>
        <v>100</v>
      </c>
      <c r="T12" s="710" t="s">
        <v>21</v>
      </c>
      <c r="U12" s="711">
        <f t="shared" si="1"/>
        <v>100</v>
      </c>
      <c r="V12" s="710" t="s">
        <v>21</v>
      </c>
      <c r="W12" s="711">
        <f t="shared" si="2"/>
        <v>100</v>
      </c>
      <c r="X12" s="712"/>
      <c r="Y12" s="331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1"/>
      <c r="M13" s="2945"/>
      <c r="N13" s="2945"/>
      <c r="O13" s="2945"/>
      <c r="P13" s="3412"/>
      <c r="Q13" s="1529">
        <f t="shared" si="6"/>
        <v>111</v>
      </c>
      <c r="R13" s="710" t="s">
        <v>21</v>
      </c>
      <c r="S13" s="711">
        <f t="shared" si="0"/>
        <v>100</v>
      </c>
      <c r="T13" s="710" t="s">
        <v>21</v>
      </c>
      <c r="U13" s="711">
        <f t="shared" si="1"/>
        <v>100</v>
      </c>
      <c r="V13" s="710" t="s">
        <v>21</v>
      </c>
      <c r="W13" s="711">
        <f t="shared" si="2"/>
        <v>100</v>
      </c>
      <c r="X13" s="712"/>
      <c r="Y13" s="3313"/>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1"/>
      <c r="M14" s="2945"/>
      <c r="N14" s="2945"/>
      <c r="O14" s="2945"/>
      <c r="P14" s="3412"/>
      <c r="Q14" s="1529">
        <f t="shared" si="6"/>
        <v>111</v>
      </c>
      <c r="R14" s="710" t="s">
        <v>21</v>
      </c>
      <c r="S14" s="711">
        <f t="shared" si="0"/>
        <v>100</v>
      </c>
      <c r="T14" s="710" t="s">
        <v>21</v>
      </c>
      <c r="U14" s="711">
        <f t="shared" si="1"/>
        <v>100</v>
      </c>
      <c r="V14" s="710" t="s">
        <v>21</v>
      </c>
      <c r="W14" s="711">
        <f t="shared" si="2"/>
        <v>100</v>
      </c>
      <c r="X14" s="712"/>
      <c r="Y14" s="3313"/>
      <c r="Z14" s="55">
        <f t="shared" si="7"/>
        <v>111</v>
      </c>
      <c r="AA14" s="713">
        <f t="shared" si="3"/>
        <v>1</v>
      </c>
      <c r="AB14" s="713">
        <f t="shared" si="4"/>
        <v>1</v>
      </c>
      <c r="AC14" s="713">
        <f t="shared" si="5"/>
        <v>1</v>
      </c>
    </row>
    <row r="15" spans="1:29" ht="99.75">
      <c r="A15" s="399" t="s">
        <v>2380</v>
      </c>
      <c r="B15" s="65" t="s">
        <v>1943</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18" t="s">
        <v>2381</v>
      </c>
      <c r="Q15" s="1538" t="str">
        <f t="shared" si="6"/>
        <v>居住社区成熟度</v>
      </c>
      <c r="R15" s="714" t="s">
        <v>21</v>
      </c>
      <c r="S15" s="715">
        <f t="shared" si="0"/>
        <v>100</v>
      </c>
      <c r="T15" s="714" t="s">
        <v>21</v>
      </c>
      <c r="U15" s="715">
        <f t="shared" si="1"/>
        <v>100</v>
      </c>
      <c r="V15" s="714" t="s">
        <v>21</v>
      </c>
      <c r="W15" s="715">
        <f t="shared" si="2"/>
        <v>100</v>
      </c>
      <c r="X15" s="1541"/>
      <c r="Y15" s="3420"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1"/>
      <c r="M16" s="2945"/>
      <c r="N16" s="2945"/>
      <c r="O16" s="2945"/>
      <c r="P16" s="3419"/>
      <c r="Q16" s="1538"/>
      <c r="R16" s="714"/>
      <c r="S16" s="715"/>
      <c r="T16" s="714"/>
      <c r="U16" s="715"/>
      <c r="V16" s="714"/>
      <c r="W16" s="715"/>
      <c r="X16" s="1541"/>
      <c r="Y16" s="3421"/>
      <c r="Z16" s="1542"/>
      <c r="AA16" s="1539">
        <v>1</v>
      </c>
      <c r="AB16" s="1539">
        <v>1</v>
      </c>
      <c r="AC16" s="1539">
        <v>1</v>
      </c>
    </row>
    <row r="17" spans="1:29" ht="85.5">
      <c r="A17" s="387"/>
      <c r="B17" s="410" t="s">
        <v>1945</v>
      </c>
      <c r="C17" s="2088" t="str">
        <f>估价对象房地状况!C6</f>
        <v>好-估价对象临近城市主干道—安定路，临近地铁10号线（安贞门站）有18路、108路、124路、380路、387路等10余条公交线路</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19"/>
      <c r="Q17" s="1538" t="str">
        <f>B17</f>
        <v>交通便捷度</v>
      </c>
      <c r="R17" s="714" t="s">
        <v>21</v>
      </c>
      <c r="S17" s="715">
        <f>F17</f>
        <v>100</v>
      </c>
      <c r="T17" s="714" t="s">
        <v>21</v>
      </c>
      <c r="U17" s="715">
        <f>H17</f>
        <v>100</v>
      </c>
      <c r="V17" s="714" t="s">
        <v>21</v>
      </c>
      <c r="W17" s="715">
        <f>J17</f>
        <v>100</v>
      </c>
      <c r="X17" s="1541"/>
      <c r="Y17" s="342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1"/>
      <c r="M18" s="2945"/>
      <c r="N18" s="2945"/>
      <c r="O18" s="2945"/>
      <c r="P18" s="3419"/>
      <c r="Q18" s="1538"/>
      <c r="R18" s="714"/>
      <c r="S18" s="715"/>
      <c r="T18" s="714"/>
      <c r="U18" s="715"/>
      <c r="V18" s="714"/>
      <c r="W18" s="715"/>
      <c r="X18" s="1541"/>
      <c r="Y18" s="3421"/>
      <c r="Z18" s="1542"/>
      <c r="AA18" s="1539">
        <v>1</v>
      </c>
      <c r="AB18" s="1539">
        <v>1</v>
      </c>
      <c r="AC18" s="1539">
        <v>1</v>
      </c>
    </row>
    <row r="19" spans="1:29" ht="42.75">
      <c r="A19" s="387"/>
      <c r="B19" s="410" t="s">
        <v>1944</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19"/>
      <c r="Q19" s="1538" t="str">
        <f>B19</f>
        <v>公共配套设施</v>
      </c>
      <c r="R19" s="714" t="s">
        <v>21</v>
      </c>
      <c r="S19" s="715">
        <f>F19</f>
        <v>100</v>
      </c>
      <c r="T19" s="714" t="s">
        <v>21</v>
      </c>
      <c r="U19" s="715">
        <f>H19</f>
        <v>100</v>
      </c>
      <c r="V19" s="714" t="s">
        <v>21</v>
      </c>
      <c r="W19" s="715">
        <f>J19</f>
        <v>100</v>
      </c>
      <c r="X19" s="1541"/>
      <c r="Y19" s="342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1"/>
      <c r="M20" s="2945"/>
      <c r="N20" s="2945"/>
      <c r="O20" s="2945"/>
      <c r="P20" s="3419"/>
      <c r="Q20" s="1538"/>
      <c r="R20" s="714"/>
      <c r="S20" s="715"/>
      <c r="T20" s="714"/>
      <c r="U20" s="715"/>
      <c r="V20" s="714"/>
      <c r="W20" s="715"/>
      <c r="X20" s="1541"/>
      <c r="Y20" s="3421"/>
      <c r="Z20" s="1542"/>
      <c r="AA20" s="1539">
        <v>1</v>
      </c>
      <c r="AB20" s="1539">
        <v>1</v>
      </c>
      <c r="AC20" s="1539">
        <v>1</v>
      </c>
    </row>
    <row r="21" spans="1:29" ht="28.5">
      <c r="A21" s="387"/>
      <c r="B21" s="1293" t="s">
        <v>1946</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19"/>
      <c r="Q21" s="1538" t="str">
        <f>B21</f>
        <v>基础设施水平</v>
      </c>
      <c r="R21" s="714" t="s">
        <v>17</v>
      </c>
      <c r="S21" s="715">
        <f>F21</f>
        <v>100</v>
      </c>
      <c r="T21" s="714" t="s">
        <v>17</v>
      </c>
      <c r="U21" s="715">
        <f>H21</f>
        <v>100</v>
      </c>
      <c r="V21" s="714" t="s">
        <v>17</v>
      </c>
      <c r="W21" s="715">
        <f>J21</f>
        <v>100</v>
      </c>
      <c r="X21" s="1541"/>
      <c r="Y21" s="342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1"/>
      <c r="M22" s="2945"/>
      <c r="N22" s="2945"/>
      <c r="O22" s="2945"/>
      <c r="P22" s="3419"/>
      <c r="Q22" s="1538"/>
      <c r="R22" s="714"/>
      <c r="S22" s="715"/>
      <c r="T22" s="714"/>
      <c r="U22" s="715"/>
      <c r="V22" s="714"/>
      <c r="W22" s="715"/>
      <c r="X22" s="1541"/>
      <c r="Y22" s="3421"/>
      <c r="Z22" s="1542"/>
      <c r="AA22" s="1539">
        <v>1</v>
      </c>
      <c r="AB22" s="1539">
        <v>1</v>
      </c>
      <c r="AC22" s="1539">
        <v>1</v>
      </c>
    </row>
    <row r="23" spans="1:29" ht="57">
      <c r="A23" s="387"/>
      <c r="B23" s="410" t="s">
        <v>1947</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19"/>
      <c r="Q23" s="1538" t="str">
        <f>B23</f>
        <v>自然及人文环境</v>
      </c>
      <c r="R23" s="714" t="s">
        <v>21</v>
      </c>
      <c r="S23" s="715">
        <f>F23</f>
        <v>100</v>
      </c>
      <c r="T23" s="714" t="s">
        <v>21</v>
      </c>
      <c r="U23" s="715">
        <f>H23</f>
        <v>100</v>
      </c>
      <c r="V23" s="714" t="s">
        <v>21</v>
      </c>
      <c r="W23" s="715">
        <f>J23</f>
        <v>100</v>
      </c>
      <c r="X23" s="1541"/>
      <c r="Y23" s="342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1"/>
      <c r="M24" s="2945"/>
      <c r="N24" s="2945"/>
      <c r="O24" s="2945"/>
      <c r="P24" s="3419"/>
      <c r="Q24" s="1538"/>
      <c r="R24" s="714"/>
      <c r="S24" s="715"/>
      <c r="T24" s="714"/>
      <c r="U24" s="715"/>
      <c r="V24" s="714"/>
      <c r="W24" s="715"/>
      <c r="X24" s="1541"/>
      <c r="Y24" s="3421"/>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51"/>
      <c r="M25" s="2945"/>
      <c r="N25" s="2945"/>
      <c r="O25" s="2945"/>
      <c r="P25" s="341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421"/>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51"/>
      <c r="M26" s="2945"/>
      <c r="N26" s="2945"/>
      <c r="O26" s="2945"/>
      <c r="P26" s="3419"/>
      <c r="Q26" s="1538" t="str">
        <f t="shared" si="11"/>
        <v>朝向</v>
      </c>
      <c r="R26" s="714" t="s">
        <v>21</v>
      </c>
      <c r="S26" s="715">
        <f t="shared" si="12"/>
        <v>100</v>
      </c>
      <c r="T26" s="714" t="s">
        <v>21</v>
      </c>
      <c r="U26" s="715">
        <f t="shared" si="13"/>
        <v>100</v>
      </c>
      <c r="V26" s="714" t="s">
        <v>21</v>
      </c>
      <c r="W26" s="715">
        <f t="shared" si="14"/>
        <v>100</v>
      </c>
      <c r="X26" s="1541"/>
      <c r="Y26" s="342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6"/>
      <c r="M27" s="2947"/>
      <c r="N27" s="2947"/>
      <c r="O27" s="2947"/>
      <c r="P27" s="3419"/>
      <c r="Q27" s="1529">
        <f t="shared" si="11"/>
        <v>111</v>
      </c>
      <c r="R27" s="710" t="s">
        <v>21</v>
      </c>
      <c r="S27" s="711">
        <f t="shared" si="12"/>
        <v>100</v>
      </c>
      <c r="T27" s="710" t="s">
        <v>21</v>
      </c>
      <c r="U27" s="711">
        <f t="shared" si="13"/>
        <v>100</v>
      </c>
      <c r="V27" s="710" t="s">
        <v>21</v>
      </c>
      <c r="W27" s="711">
        <f t="shared" si="14"/>
        <v>100</v>
      </c>
      <c r="X27" s="712"/>
      <c r="Y27" s="342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1"/>
      <c r="M28" s="2945"/>
      <c r="N28" s="2945"/>
      <c r="O28" s="2945"/>
      <c r="P28" s="3419"/>
      <c r="Q28" s="1538">
        <f t="shared" si="11"/>
        <v>111</v>
      </c>
      <c r="R28" s="714" t="s">
        <v>21</v>
      </c>
      <c r="S28" s="715">
        <f t="shared" si="12"/>
        <v>100</v>
      </c>
      <c r="T28" s="714" t="s">
        <v>21</v>
      </c>
      <c r="U28" s="715">
        <f t="shared" si="13"/>
        <v>100</v>
      </c>
      <c r="V28" s="714" t="s">
        <v>21</v>
      </c>
      <c r="W28" s="715">
        <f t="shared" si="14"/>
        <v>100</v>
      </c>
      <c r="X28" s="1541"/>
      <c r="Y28" s="342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1"/>
      <c r="M29" s="2945"/>
      <c r="N29" s="2945"/>
      <c r="O29" s="2945"/>
      <c r="P29" s="3419"/>
      <c r="Q29" s="1538">
        <f t="shared" si="11"/>
        <v>111</v>
      </c>
      <c r="R29" s="714" t="s">
        <v>21</v>
      </c>
      <c r="S29" s="715">
        <f t="shared" si="12"/>
        <v>100</v>
      </c>
      <c r="T29" s="714" t="s">
        <v>21</v>
      </c>
      <c r="U29" s="715">
        <f t="shared" si="13"/>
        <v>100</v>
      </c>
      <c r="V29" s="714" t="s">
        <v>21</v>
      </c>
      <c r="W29" s="715">
        <f t="shared" si="14"/>
        <v>100</v>
      </c>
      <c r="X29" s="1541"/>
      <c r="Y29" s="342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1"/>
      <c r="M30" s="2945"/>
      <c r="N30" s="2945"/>
      <c r="O30" s="2945"/>
      <c r="P30" s="3419"/>
      <c r="Q30" s="1538">
        <f t="shared" si="11"/>
        <v>111</v>
      </c>
      <c r="R30" s="714" t="s">
        <v>21</v>
      </c>
      <c r="S30" s="715">
        <f t="shared" si="12"/>
        <v>100</v>
      </c>
      <c r="T30" s="714" t="s">
        <v>21</v>
      </c>
      <c r="U30" s="715">
        <f t="shared" si="13"/>
        <v>100</v>
      </c>
      <c r="V30" s="714" t="s">
        <v>21</v>
      </c>
      <c r="W30" s="715">
        <f t="shared" si="14"/>
        <v>100</v>
      </c>
      <c r="X30" s="1541"/>
      <c r="Y30" s="342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1"/>
      <c r="M31" s="2945"/>
      <c r="N31" s="2945"/>
      <c r="O31" s="2945"/>
      <c r="P31" s="3419"/>
      <c r="Q31" s="1538">
        <f t="shared" si="11"/>
        <v>111</v>
      </c>
      <c r="R31" s="714" t="s">
        <v>21</v>
      </c>
      <c r="S31" s="715">
        <f t="shared" si="12"/>
        <v>100</v>
      </c>
      <c r="T31" s="714" t="s">
        <v>21</v>
      </c>
      <c r="U31" s="715">
        <f t="shared" si="13"/>
        <v>100</v>
      </c>
      <c r="V31" s="714" t="s">
        <v>21</v>
      </c>
      <c r="W31" s="715">
        <f t="shared" si="14"/>
        <v>100</v>
      </c>
      <c r="X31" s="1541"/>
      <c r="Y31" s="3421"/>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1"/>
      <c r="M32" s="2945"/>
      <c r="N32" s="2945"/>
      <c r="O32" s="2945"/>
      <c r="P32" s="3422" t="s">
        <v>2386</v>
      </c>
      <c r="Q32" s="1538" t="str">
        <f t="shared" si="11"/>
        <v>建筑类型</v>
      </c>
      <c r="R32" s="714" t="s">
        <v>21</v>
      </c>
      <c r="S32" s="715">
        <f t="shared" si="12"/>
        <v>100</v>
      </c>
      <c r="T32" s="714" t="s">
        <v>21</v>
      </c>
      <c r="U32" s="715">
        <f t="shared" si="13"/>
        <v>100</v>
      </c>
      <c r="V32" s="714" t="s">
        <v>21</v>
      </c>
      <c r="W32" s="715">
        <f t="shared" si="14"/>
        <v>100</v>
      </c>
      <c r="X32" s="1541"/>
      <c r="Y32" s="3425"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0"/>
      <c r="M33" s="2952"/>
      <c r="N33" s="2952"/>
      <c r="O33" s="2952"/>
      <c r="P33" s="3423"/>
      <c r="Q33" s="716" t="str">
        <f t="shared" si="11"/>
        <v>项目建筑规模</v>
      </c>
      <c r="R33" s="717" t="s">
        <v>21</v>
      </c>
      <c r="S33" s="718" t="e">
        <f t="shared" si="12"/>
        <v>#N/A</v>
      </c>
      <c r="T33" s="717" t="s">
        <v>21</v>
      </c>
      <c r="U33" s="718" t="e">
        <f t="shared" si="13"/>
        <v>#N/A</v>
      </c>
      <c r="V33" s="717" t="s">
        <v>21</v>
      </c>
      <c r="W33" s="718" t="e">
        <f t="shared" si="14"/>
        <v>#N/A</v>
      </c>
      <c r="X33" s="719"/>
      <c r="Y33" s="3425"/>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1"/>
      <c r="M34" s="2945"/>
      <c r="N34" s="2945"/>
      <c r="O34" s="2945"/>
      <c r="P34" s="3423"/>
      <c r="Q34" s="1538" t="str">
        <f t="shared" si="11"/>
        <v>建筑结构</v>
      </c>
      <c r="R34" s="714" t="s">
        <v>21</v>
      </c>
      <c r="S34" s="715">
        <f t="shared" si="12"/>
        <v>100</v>
      </c>
      <c r="T34" s="714" t="s">
        <v>21</v>
      </c>
      <c r="U34" s="715">
        <f t="shared" si="13"/>
        <v>100</v>
      </c>
      <c r="V34" s="714" t="s">
        <v>21</v>
      </c>
      <c r="W34" s="715">
        <f t="shared" si="14"/>
        <v>100</v>
      </c>
      <c r="X34" s="1541"/>
      <c r="Y34" s="3425"/>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1"/>
      <c r="M35" s="2945"/>
      <c r="N35" s="2945"/>
      <c r="O35" s="2945"/>
      <c r="P35" s="3423"/>
      <c r="Q35" s="1538" t="str">
        <f t="shared" si="11"/>
        <v>建筑品质</v>
      </c>
      <c r="R35" s="714" t="s">
        <v>21</v>
      </c>
      <c r="S35" s="715">
        <f t="shared" si="12"/>
        <v>100</v>
      </c>
      <c r="T35" s="714" t="s">
        <v>21</v>
      </c>
      <c r="U35" s="715">
        <f t="shared" si="13"/>
        <v>100</v>
      </c>
      <c r="V35" s="714" t="s">
        <v>21</v>
      </c>
      <c r="W35" s="715">
        <f t="shared" si="14"/>
        <v>100</v>
      </c>
      <c r="X35" s="1541"/>
      <c r="Y35" s="3425"/>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1"/>
      <c r="M36" s="2945"/>
      <c r="N36" s="2945"/>
      <c r="O36" s="2945"/>
      <c r="P36" s="3423"/>
      <c r="Q36" s="1538" t="str">
        <f t="shared" si="11"/>
        <v>公共部分装修</v>
      </c>
      <c r="R36" s="714" t="s">
        <v>21</v>
      </c>
      <c r="S36" s="715">
        <f t="shared" si="12"/>
        <v>100</v>
      </c>
      <c r="T36" s="714" t="s">
        <v>21</v>
      </c>
      <c r="U36" s="715">
        <f t="shared" si="13"/>
        <v>100</v>
      </c>
      <c r="V36" s="714" t="s">
        <v>21</v>
      </c>
      <c r="W36" s="715">
        <f t="shared" si="14"/>
        <v>100</v>
      </c>
      <c r="X36" s="1541"/>
      <c r="Y36" s="3425"/>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23"/>
      <c r="Q37" s="1529" t="str">
        <f t="shared" si="11"/>
        <v>成新度</v>
      </c>
      <c r="R37" s="710" t="s">
        <v>21</v>
      </c>
      <c r="S37" s="711" t="e">
        <f t="shared" si="12"/>
        <v>#N/A</v>
      </c>
      <c r="T37" s="710" t="s">
        <v>21</v>
      </c>
      <c r="U37" s="711" t="e">
        <f t="shared" si="13"/>
        <v>#N/A</v>
      </c>
      <c r="V37" s="710" t="s">
        <v>21</v>
      </c>
      <c r="W37" s="711" t="e">
        <f t="shared" si="14"/>
        <v>#N/A</v>
      </c>
      <c r="X37" s="712"/>
      <c r="Y37" s="3425"/>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1"/>
      <c r="M38" s="2945"/>
      <c r="N38" s="2945"/>
      <c r="O38" s="2945"/>
      <c r="P38" s="3423" t="s">
        <v>2386</v>
      </c>
      <c r="Q38" s="1538" t="str">
        <f t="shared" si="11"/>
        <v>物业管理</v>
      </c>
      <c r="R38" s="714" t="s">
        <v>21</v>
      </c>
      <c r="S38" s="715">
        <f t="shared" si="12"/>
        <v>100</v>
      </c>
      <c r="T38" s="714" t="s">
        <v>21</v>
      </c>
      <c r="U38" s="715">
        <f t="shared" si="13"/>
        <v>100</v>
      </c>
      <c r="V38" s="714" t="s">
        <v>21</v>
      </c>
      <c r="W38" s="715">
        <f t="shared" si="14"/>
        <v>100</v>
      </c>
      <c r="X38" s="1541"/>
      <c r="Y38" s="3425"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1"/>
      <c r="M39" s="2945"/>
      <c r="N39" s="2945"/>
      <c r="O39" s="2945"/>
      <c r="P39" s="3423"/>
      <c r="Q39" s="1538" t="str">
        <f t="shared" si="11"/>
        <v>市政基础设施</v>
      </c>
      <c r="R39" s="714" t="s">
        <v>21</v>
      </c>
      <c r="S39" s="715">
        <f t="shared" si="12"/>
        <v>100</v>
      </c>
      <c r="T39" s="714" t="s">
        <v>21</v>
      </c>
      <c r="U39" s="715">
        <f t="shared" si="13"/>
        <v>100</v>
      </c>
      <c r="V39" s="714" t="s">
        <v>21</v>
      </c>
      <c r="W39" s="715">
        <f t="shared" si="14"/>
        <v>100</v>
      </c>
      <c r="X39" s="1541"/>
      <c r="Y39" s="3425"/>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1"/>
      <c r="M40" s="2945"/>
      <c r="N40" s="2945"/>
      <c r="O40" s="2945"/>
      <c r="P40" s="3423"/>
      <c r="Q40" s="1538" t="str">
        <f t="shared" si="11"/>
        <v>房型</v>
      </c>
      <c r="R40" s="714" t="s">
        <v>21</v>
      </c>
      <c r="S40" s="715">
        <f t="shared" si="12"/>
        <v>100</v>
      </c>
      <c r="T40" s="714" t="s">
        <v>21</v>
      </c>
      <c r="U40" s="715">
        <f t="shared" si="13"/>
        <v>100</v>
      </c>
      <c r="V40" s="714" t="s">
        <v>21</v>
      </c>
      <c r="W40" s="715">
        <f t="shared" si="14"/>
        <v>100</v>
      </c>
      <c r="X40" s="1541"/>
      <c r="Y40" s="3425"/>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0"/>
      <c r="M41" s="2952"/>
      <c r="N41" s="2952"/>
      <c r="O41" s="2952"/>
      <c r="P41" s="3423"/>
      <c r="Q41" s="716" t="str">
        <f t="shared" si="11"/>
        <v>单套/主力户型建筑面积</v>
      </c>
      <c r="R41" s="717" t="s">
        <v>21</v>
      </c>
      <c r="S41" s="718">
        <f t="shared" si="12"/>
        <v>100</v>
      </c>
      <c r="T41" s="717" t="s">
        <v>21</v>
      </c>
      <c r="U41" s="718">
        <f t="shared" si="13"/>
        <v>100</v>
      </c>
      <c r="V41" s="717" t="s">
        <v>21</v>
      </c>
      <c r="W41" s="718">
        <f t="shared" si="14"/>
        <v>100</v>
      </c>
      <c r="X41" s="719"/>
      <c r="Y41" s="3425"/>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1"/>
      <c r="M42" s="2945"/>
      <c r="N42" s="2945"/>
      <c r="O42" s="2945"/>
      <c r="P42" s="3423"/>
      <c r="Q42" s="1538" t="str">
        <f t="shared" si="11"/>
        <v>内部装修</v>
      </c>
      <c r="R42" s="714" t="s">
        <v>21</v>
      </c>
      <c r="S42" s="715">
        <f t="shared" si="12"/>
        <v>100</v>
      </c>
      <c r="T42" s="714" t="s">
        <v>21</v>
      </c>
      <c r="U42" s="715">
        <f t="shared" si="13"/>
        <v>100</v>
      </c>
      <c r="V42" s="714" t="s">
        <v>21</v>
      </c>
      <c r="W42" s="715">
        <f t="shared" si="14"/>
        <v>100</v>
      </c>
      <c r="X42" s="1541"/>
      <c r="Y42" s="3425"/>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1"/>
      <c r="M43" s="2945"/>
      <c r="N43" s="2945"/>
      <c r="O43" s="2945"/>
      <c r="P43" s="3423"/>
      <c r="Q43" s="1538" t="str">
        <f t="shared" si="11"/>
        <v>内部装修维护情况</v>
      </c>
      <c r="R43" s="714" t="s">
        <v>21</v>
      </c>
      <c r="S43" s="715">
        <f t="shared" si="12"/>
        <v>100</v>
      </c>
      <c r="T43" s="714" t="s">
        <v>21</v>
      </c>
      <c r="U43" s="715">
        <f t="shared" si="13"/>
        <v>100</v>
      </c>
      <c r="V43" s="714" t="s">
        <v>21</v>
      </c>
      <c r="W43" s="715">
        <f t="shared" si="14"/>
        <v>100</v>
      </c>
      <c r="X43" s="1541"/>
      <c r="Y43" s="342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6"/>
      <c r="M44" s="2947"/>
      <c r="N44" s="2947"/>
      <c r="O44" s="2947"/>
      <c r="P44" s="3423"/>
      <c r="Q44" s="1529">
        <f t="shared" si="11"/>
        <v>111</v>
      </c>
      <c r="R44" s="710" t="s">
        <v>21</v>
      </c>
      <c r="S44" s="711">
        <f t="shared" si="12"/>
        <v>100</v>
      </c>
      <c r="T44" s="710" t="s">
        <v>21</v>
      </c>
      <c r="U44" s="711">
        <f t="shared" si="13"/>
        <v>100</v>
      </c>
      <c r="V44" s="710" t="s">
        <v>21</v>
      </c>
      <c r="W44" s="711">
        <f t="shared" si="14"/>
        <v>100</v>
      </c>
      <c r="X44" s="712"/>
      <c r="Y44" s="34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1"/>
      <c r="M45" s="2945"/>
      <c r="N45" s="2945"/>
      <c r="O45" s="2945"/>
      <c r="P45" s="3423"/>
      <c r="Q45" s="1538">
        <f t="shared" si="11"/>
        <v>111</v>
      </c>
      <c r="R45" s="714" t="s">
        <v>21</v>
      </c>
      <c r="S45" s="715">
        <f t="shared" si="12"/>
        <v>100</v>
      </c>
      <c r="T45" s="714" t="s">
        <v>21</v>
      </c>
      <c r="U45" s="715">
        <f t="shared" si="13"/>
        <v>100</v>
      </c>
      <c r="V45" s="714" t="s">
        <v>21</v>
      </c>
      <c r="W45" s="715">
        <f t="shared" si="14"/>
        <v>100</v>
      </c>
      <c r="X45" s="1541"/>
      <c r="Y45" s="342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1"/>
      <c r="M46" s="2945"/>
      <c r="N46" s="2945"/>
      <c r="O46" s="2945"/>
      <c r="P46" s="3424"/>
      <c r="Q46" s="1538">
        <f t="shared" si="11"/>
        <v>111</v>
      </c>
      <c r="R46" s="714" t="s">
        <v>20</v>
      </c>
      <c r="S46" s="715">
        <f t="shared" si="12"/>
        <v>100</v>
      </c>
      <c r="T46" s="714" t="s">
        <v>20</v>
      </c>
      <c r="U46" s="715">
        <f t="shared" si="13"/>
        <v>100</v>
      </c>
      <c r="V46" s="714" t="s">
        <v>20</v>
      </c>
      <c r="W46" s="715">
        <f t="shared" si="14"/>
        <v>100</v>
      </c>
      <c r="X46" s="1541"/>
      <c r="Y46" s="3426"/>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3"/>
      <c r="M47" s="2954"/>
      <c r="N47" s="2945"/>
      <c r="O47" s="2954"/>
      <c r="P47" s="3413" t="str">
        <f>A47</f>
        <v>成交单价（元/平方米）</v>
      </c>
      <c r="Q47" s="3413"/>
      <c r="R47" s="3427">
        <f>E47</f>
        <v>0</v>
      </c>
      <c r="S47" s="3427"/>
      <c r="T47" s="3427">
        <f>G47</f>
        <v>0</v>
      </c>
      <c r="U47" s="3427"/>
      <c r="V47" s="3427">
        <f>I47</f>
        <v>0</v>
      </c>
      <c r="W47" s="3427"/>
      <c r="X47" s="699"/>
      <c r="Y47" s="721"/>
      <c r="Z47" s="699"/>
      <c r="AA47" s="699"/>
      <c r="AB47" s="699"/>
      <c r="AC47" s="699"/>
    </row>
    <row r="48" spans="1:29" ht="15.75" thickBot="1">
      <c r="A48" s="445" t="s">
        <v>2399</v>
      </c>
      <c r="B48" s="446"/>
      <c r="C48" s="1322" t="e">
        <f>R49</f>
        <v>#DIV/0!</v>
      </c>
      <c r="D48" s="2540" t="s">
        <v>2879</v>
      </c>
      <c r="E48" s="1323" t="e">
        <f>R48</f>
        <v>#DIV/0!</v>
      </c>
      <c r="F48" s="2541"/>
      <c r="G48" s="1322" t="e">
        <f>T48</f>
        <v>#DIV/0!</v>
      </c>
      <c r="H48" s="2541"/>
      <c r="I48" s="1323" t="e">
        <f>V48</f>
        <v>#DIV/0!</v>
      </c>
      <c r="J48" s="2541"/>
      <c r="K48" s="2542">
        <f>F48+H48+J48</f>
        <v>0</v>
      </c>
      <c r="L48" s="2953"/>
      <c r="M48" s="2954"/>
      <c r="N48" s="2954"/>
      <c r="O48" s="2954"/>
      <c r="P48" s="3413" t="str">
        <f>A48</f>
        <v>比较价值（元/平方米）</v>
      </c>
      <c r="Q48" s="3413"/>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3"/>
      <c r="M49" s="2954"/>
      <c r="N49" s="2954"/>
      <c r="O49" s="2954"/>
      <c r="P49" s="3544" t="str">
        <f>A49</f>
        <v>估价对象XX用房的比较价值（楼面单价，元/平方米）</v>
      </c>
      <c r="Q49" s="3545"/>
      <c r="R49" s="3546" t="e">
        <f>IF(F1="售价",ROUND(IF(D48="简单平均",AVERAGE(R48:V48),R48*F48+T48*H48+V48*J48),0),ROUND(IF(D48="简单平均",AVERAGE(R48:V48),R48*F48+T48*H48+V48*J48),1))</f>
        <v>#DIV/0!</v>
      </c>
      <c r="S49" s="3546"/>
      <c r="T49" s="3546"/>
      <c r="U49" s="3546"/>
      <c r="V49" s="3546"/>
      <c r="W49" s="354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5"/>
    </row>
    <row r="55" spans="1:29" s="459"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2023-2</v>
      </c>
      <c r="D58" s="1347">
        <f>EDATE(C58,-1)</f>
        <v>44927</v>
      </c>
      <c r="E58" s="1347">
        <f>EDATE(D58,-1)</f>
        <v>44896</v>
      </c>
      <c r="F58" s="1347">
        <f t="shared" ref="F58:O58" si="19">EDATE(E58,-1)</f>
        <v>44866</v>
      </c>
      <c r="G58" s="1347">
        <f t="shared" si="19"/>
        <v>44835</v>
      </c>
      <c r="H58" s="1347">
        <f t="shared" si="19"/>
        <v>44805</v>
      </c>
      <c r="I58" s="1347">
        <f t="shared" si="19"/>
        <v>44774</v>
      </c>
      <c r="J58" s="1347">
        <f t="shared" si="19"/>
        <v>44743</v>
      </c>
      <c r="K58" s="1347">
        <f t="shared" si="19"/>
        <v>44713</v>
      </c>
      <c r="L58" s="1347">
        <f t="shared" si="19"/>
        <v>44682</v>
      </c>
      <c r="M58" s="1347">
        <f t="shared" si="19"/>
        <v>44652</v>
      </c>
      <c r="N58" s="1347">
        <f t="shared" si="19"/>
        <v>44621</v>
      </c>
      <c r="O58" s="1347">
        <f t="shared" si="19"/>
        <v>44593</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445.5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1044"/>
      <c r="M4" s="1045"/>
      <c r="N4" s="1045"/>
      <c r="O4" s="1045"/>
      <c r="P4" s="3548" t="s">
        <v>2472</v>
      </c>
      <c r="Q4" s="3549"/>
      <c r="R4" s="3552" t="s">
        <v>2468</v>
      </c>
      <c r="S4" s="3553"/>
      <c r="T4" s="3552" t="s">
        <v>2469</v>
      </c>
      <c r="U4" s="3553"/>
      <c r="V4" s="3448" t="s">
        <v>2470</v>
      </c>
      <c r="W4" s="3448"/>
      <c r="X4" s="1541"/>
      <c r="Y4" s="3552" t="s">
        <v>2472</v>
      </c>
      <c r="Z4" s="3553"/>
      <c r="AA4" s="3547" t="s">
        <v>2468</v>
      </c>
      <c r="AB4" s="3460" t="s">
        <v>2469</v>
      </c>
      <c r="AC4" s="3547" t="s">
        <v>2470</v>
      </c>
    </row>
    <row r="5" spans="1:29" ht="15">
      <c r="A5" s="364"/>
      <c r="B5" s="365"/>
      <c r="C5" s="3556" t="s">
        <v>2363</v>
      </c>
      <c r="D5" s="3557"/>
      <c r="E5" s="3559" t="s">
        <v>2364</v>
      </c>
      <c r="F5" s="3456"/>
      <c r="G5" s="3556" t="s">
        <v>2365</v>
      </c>
      <c r="H5" s="3557"/>
      <c r="I5" s="3556" t="s">
        <v>2366</v>
      </c>
      <c r="J5" s="3557"/>
      <c r="K5" s="567"/>
      <c r="L5" s="1044"/>
      <c r="M5" s="1045"/>
      <c r="N5" s="1045"/>
      <c r="O5" s="1045"/>
      <c r="P5" s="3550"/>
      <c r="Q5" s="3438"/>
      <c r="R5" s="3443"/>
      <c r="S5" s="3444"/>
      <c r="T5" s="3443"/>
      <c r="U5" s="3444"/>
      <c r="V5" s="3448"/>
      <c r="W5" s="3448"/>
      <c r="X5" s="1541"/>
      <c r="Y5" s="3443"/>
      <c r="Z5" s="3444"/>
      <c r="AA5" s="3460"/>
      <c r="AB5" s="3460"/>
      <c r="AC5" s="3460"/>
    </row>
    <row r="6" spans="1:29" ht="15.75" thickBot="1">
      <c r="A6" s="366"/>
      <c r="B6" s="367"/>
      <c r="C6" s="3554" t="s">
        <v>2367</v>
      </c>
      <c r="D6" s="3555"/>
      <c r="E6" s="3558" t="s">
        <v>2367</v>
      </c>
      <c r="F6" s="3458"/>
      <c r="G6" s="3554" t="s">
        <v>2367</v>
      </c>
      <c r="H6" s="3555"/>
      <c r="I6" s="3554" t="s">
        <v>2367</v>
      </c>
      <c r="J6" s="3555"/>
      <c r="K6" s="567" t="s">
        <v>2368</v>
      </c>
      <c r="L6" s="1044"/>
      <c r="M6" s="1045"/>
      <c r="N6" s="1045"/>
      <c r="O6" s="1045"/>
      <c r="P6" s="3551"/>
      <c r="Q6" s="3440"/>
      <c r="R6" s="3443"/>
      <c r="S6" s="3444"/>
      <c r="T6" s="3445"/>
      <c r="U6" s="3446"/>
      <c r="V6" s="3448"/>
      <c r="W6" s="3448"/>
      <c r="X6" s="1541"/>
      <c r="Y6" s="3445"/>
      <c r="Z6" s="3446"/>
      <c r="AA6" s="3461"/>
      <c r="AB6" s="3461"/>
      <c r="AC6" s="3461"/>
    </row>
    <row r="7" spans="1:29" s="113" customFormat="1" ht="15.75" thickBot="1">
      <c r="A7" s="368" t="s">
        <v>2369</v>
      </c>
      <c r="B7" s="369"/>
      <c r="C7" s="370">
        <f>'数据-取费表'!B2</f>
        <v>44959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3" t="s">
        <v>2370</v>
      </c>
      <c r="Q7" s="3454"/>
      <c r="R7" s="710" t="s">
        <v>17</v>
      </c>
      <c r="S7" s="711">
        <f t="shared" ref="S7:S15" si="0">F7</f>
        <v>0</v>
      </c>
      <c r="T7" s="710" t="s">
        <v>17</v>
      </c>
      <c r="U7" s="711">
        <f t="shared" ref="U7:U15" si="1">H7</f>
        <v>0</v>
      </c>
      <c r="V7" s="710" t="s">
        <v>17</v>
      </c>
      <c r="W7" s="711">
        <f t="shared" ref="W7:W15" si="2">J7</f>
        <v>0</v>
      </c>
      <c r="X7" s="712"/>
      <c r="Y7" s="3453" t="s">
        <v>2370</v>
      </c>
      <c r="Z7" s="345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3" t="s">
        <v>2373</v>
      </c>
      <c r="Q8" s="3452"/>
      <c r="R8" s="710" t="s">
        <v>17</v>
      </c>
      <c r="S8" s="711">
        <f t="shared" si="0"/>
        <v>0</v>
      </c>
      <c r="T8" s="710" t="s">
        <v>17</v>
      </c>
      <c r="U8" s="711">
        <f t="shared" si="1"/>
        <v>0</v>
      </c>
      <c r="V8" s="710" t="s">
        <v>17</v>
      </c>
      <c r="W8" s="711">
        <f t="shared" si="2"/>
        <v>0</v>
      </c>
      <c r="X8" s="712"/>
      <c r="Y8" s="3453" t="s">
        <v>2373</v>
      </c>
      <c r="Z8" s="345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3"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3"/>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3"/>
      <c r="Q11" s="1529"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413"/>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413"/>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413"/>
      <c r="Q14" s="1529">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0" t="s">
        <v>2381</v>
      </c>
      <c r="Q15" s="1538" t="str">
        <f t="shared" si="6"/>
        <v>产业集聚程度</v>
      </c>
      <c r="R15" s="714" t="s">
        <v>17</v>
      </c>
      <c r="S15" s="715">
        <f t="shared" si="0"/>
        <v>100</v>
      </c>
      <c r="T15" s="714" t="s">
        <v>17</v>
      </c>
      <c r="U15" s="715">
        <f t="shared" si="1"/>
        <v>100</v>
      </c>
      <c r="V15" s="714" t="s">
        <v>17</v>
      </c>
      <c r="W15" s="715">
        <f t="shared" si="2"/>
        <v>100</v>
      </c>
      <c r="X15" s="1541"/>
      <c r="Y15" s="3420"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421"/>
      <c r="Q16" s="1538"/>
      <c r="R16" s="714"/>
      <c r="S16" s="715"/>
      <c r="T16" s="714"/>
      <c r="U16" s="715"/>
      <c r="V16" s="714"/>
      <c r="W16" s="715"/>
      <c r="X16" s="1541"/>
      <c r="Y16" s="3421"/>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1"/>
      <c r="Q17" s="1538" t="str">
        <f>B17</f>
        <v>交通便捷度</v>
      </c>
      <c r="R17" s="714" t="s">
        <v>17</v>
      </c>
      <c r="S17" s="715">
        <f>F17</f>
        <v>100</v>
      </c>
      <c r="T17" s="714" t="s">
        <v>17</v>
      </c>
      <c r="U17" s="715">
        <f>H17</f>
        <v>100</v>
      </c>
      <c r="V17" s="714" t="s">
        <v>17</v>
      </c>
      <c r="W17" s="715">
        <f>J17</f>
        <v>100</v>
      </c>
      <c r="X17" s="1541"/>
      <c r="Y17" s="342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421"/>
      <c r="Q18" s="1538"/>
      <c r="R18" s="714"/>
      <c r="S18" s="715"/>
      <c r="T18" s="714"/>
      <c r="U18" s="715"/>
      <c r="V18" s="714"/>
      <c r="W18" s="715"/>
      <c r="X18" s="1541"/>
      <c r="Y18" s="3421"/>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1"/>
      <c r="Q19" s="1538" t="str">
        <f>B19</f>
        <v>公共配套设施</v>
      </c>
      <c r="R19" s="714" t="s">
        <v>17</v>
      </c>
      <c r="S19" s="715">
        <f>F19</f>
        <v>100</v>
      </c>
      <c r="T19" s="714" t="s">
        <v>17</v>
      </c>
      <c r="U19" s="715">
        <f>H19</f>
        <v>100</v>
      </c>
      <c r="V19" s="714" t="s">
        <v>17</v>
      </c>
      <c r="W19" s="715">
        <f>J19</f>
        <v>100</v>
      </c>
      <c r="X19" s="1541"/>
      <c r="Y19" s="342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421"/>
      <c r="Q20" s="1538"/>
      <c r="R20" s="714"/>
      <c r="S20" s="715"/>
      <c r="T20" s="714"/>
      <c r="U20" s="715"/>
      <c r="V20" s="714"/>
      <c r="W20" s="715"/>
      <c r="X20" s="1541"/>
      <c r="Y20" s="3421"/>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1"/>
      <c r="Q21" s="1538" t="str">
        <f>B21</f>
        <v>基础设施水平</v>
      </c>
      <c r="R21" s="714" t="s">
        <v>17</v>
      </c>
      <c r="S21" s="715">
        <f>F21</f>
        <v>100</v>
      </c>
      <c r="T21" s="714" t="s">
        <v>17</v>
      </c>
      <c r="U21" s="715">
        <f>H21</f>
        <v>100</v>
      </c>
      <c r="V21" s="714" t="s">
        <v>17</v>
      </c>
      <c r="W21" s="715">
        <f>J21</f>
        <v>100</v>
      </c>
      <c r="X21" s="1541"/>
      <c r="Y21" s="342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421"/>
      <c r="Q22" s="1538"/>
      <c r="R22" s="714"/>
      <c r="S22" s="715"/>
      <c r="T22" s="714"/>
      <c r="U22" s="715"/>
      <c r="V22" s="714"/>
      <c r="W22" s="715"/>
      <c r="X22" s="1541"/>
      <c r="Y22" s="3421"/>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1"/>
      <c r="Q23" s="1538" t="str">
        <f>B23</f>
        <v>环境质量</v>
      </c>
      <c r="R23" s="714" t="s">
        <v>17</v>
      </c>
      <c r="S23" s="715">
        <f>F23</f>
        <v>100</v>
      </c>
      <c r="T23" s="714" t="s">
        <v>17</v>
      </c>
      <c r="U23" s="715">
        <f>H23</f>
        <v>100</v>
      </c>
      <c r="V23" s="714" t="s">
        <v>17</v>
      </c>
      <c r="W23" s="715">
        <f>J23</f>
        <v>100</v>
      </c>
      <c r="X23" s="1541"/>
      <c r="Y23" s="342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421"/>
      <c r="Q24" s="1538"/>
      <c r="R24" s="714"/>
      <c r="S24" s="715"/>
      <c r="T24" s="714"/>
      <c r="U24" s="715"/>
      <c r="V24" s="714"/>
      <c r="W24" s="715"/>
      <c r="X24" s="1541"/>
      <c r="Y24" s="342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1"/>
      <c r="Q25" s="1538">
        <f>B25</f>
        <v>111</v>
      </c>
      <c r="R25" s="714" t="s">
        <v>17</v>
      </c>
      <c r="S25" s="715">
        <f>F25</f>
        <v>100</v>
      </c>
      <c r="T25" s="714" t="s">
        <v>17</v>
      </c>
      <c r="U25" s="715">
        <f>H25</f>
        <v>100</v>
      </c>
      <c r="V25" s="714" t="s">
        <v>17</v>
      </c>
      <c r="W25" s="715">
        <f>J25</f>
        <v>100</v>
      </c>
      <c r="X25" s="1541"/>
      <c r="Y25" s="342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1"/>
      <c r="Q26" s="1538">
        <f t="shared" ref="Q26:Q40" si="11">B26</f>
        <v>111</v>
      </c>
      <c r="R26" s="714" t="s">
        <v>17</v>
      </c>
      <c r="S26" s="715">
        <f>F26</f>
        <v>100</v>
      </c>
      <c r="T26" s="714" t="s">
        <v>17</v>
      </c>
      <c r="U26" s="715">
        <f>H26</f>
        <v>100</v>
      </c>
      <c r="V26" s="714" t="s">
        <v>17</v>
      </c>
      <c r="W26" s="715">
        <f>J26</f>
        <v>100</v>
      </c>
      <c r="X26" s="1541"/>
      <c r="Y26" s="342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1"/>
      <c r="Q27" s="1529">
        <f t="shared" si="11"/>
        <v>111</v>
      </c>
      <c r="R27" s="710" t="s">
        <v>17</v>
      </c>
      <c r="S27" s="711">
        <f>F27</f>
        <v>100</v>
      </c>
      <c r="T27" s="710" t="s">
        <v>17</v>
      </c>
      <c r="U27" s="711">
        <f>H27</f>
        <v>100</v>
      </c>
      <c r="V27" s="710" t="s">
        <v>17</v>
      </c>
      <c r="W27" s="711">
        <f>J27</f>
        <v>100</v>
      </c>
      <c r="X27" s="712"/>
      <c r="Y27" s="342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1"/>
      <c r="Q28" s="1538">
        <f t="shared" si="11"/>
        <v>111</v>
      </c>
      <c r="R28" s="714" t="s">
        <v>17</v>
      </c>
      <c r="S28" s="715">
        <f t="shared" ref="S28:S40" si="12">F28</f>
        <v>100</v>
      </c>
      <c r="T28" s="714" t="s">
        <v>17</v>
      </c>
      <c r="U28" s="715">
        <f t="shared" ref="U28:U40" si="13">H28</f>
        <v>100</v>
      </c>
      <c r="V28" s="714" t="s">
        <v>17</v>
      </c>
      <c r="W28" s="715">
        <f t="shared" ref="W28:W40" si="14">J28</f>
        <v>100</v>
      </c>
      <c r="X28" s="1541"/>
      <c r="Y28" s="3421"/>
      <c r="Z28" s="1542">
        <f t="shared" ref="Z28:Z40" si="15">Q28</f>
        <v>111</v>
      </c>
      <c r="AA28" s="1539">
        <f t="shared" si="3"/>
        <v>1</v>
      </c>
      <c r="AB28" s="1539">
        <f t="shared" si="4"/>
        <v>1</v>
      </c>
      <c r="AC28" s="1539">
        <f t="shared" si="5"/>
        <v>1</v>
      </c>
    </row>
    <row r="29" spans="1:29" ht="1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560" t="s">
        <v>2386</v>
      </c>
      <c r="Q29" s="1538" t="str">
        <f t="shared" si="11"/>
        <v>建筑类型</v>
      </c>
      <c r="R29" s="714" t="s">
        <v>17</v>
      </c>
      <c r="S29" s="715">
        <f t="shared" si="12"/>
        <v>100</v>
      </c>
      <c r="T29" s="714" t="s">
        <v>17</v>
      </c>
      <c r="U29" s="715">
        <f t="shared" si="13"/>
        <v>100</v>
      </c>
      <c r="V29" s="714" t="s">
        <v>17</v>
      </c>
      <c r="W29" s="715">
        <f t="shared" si="14"/>
        <v>100</v>
      </c>
      <c r="X29" s="1541"/>
      <c r="Y29" s="3425"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5"/>
      <c r="Q30" s="716" t="str">
        <f t="shared" si="11"/>
        <v>项目建筑规模</v>
      </c>
      <c r="R30" s="717" t="s">
        <v>17</v>
      </c>
      <c r="S30" s="718" t="e">
        <f t="shared" si="12"/>
        <v>#N/A</v>
      </c>
      <c r="T30" s="717" t="s">
        <v>17</v>
      </c>
      <c r="U30" s="718" t="e">
        <f t="shared" si="13"/>
        <v>#N/A</v>
      </c>
      <c r="V30" s="717" t="s">
        <v>17</v>
      </c>
      <c r="W30" s="718" t="e">
        <f t="shared" si="14"/>
        <v>#N/A</v>
      </c>
      <c r="X30" s="719"/>
      <c r="Y30" s="3425"/>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5"/>
      <c r="Q31" s="1538" t="str">
        <f t="shared" si="11"/>
        <v>建筑结构</v>
      </c>
      <c r="R31" s="714" t="s">
        <v>17</v>
      </c>
      <c r="S31" s="715">
        <f t="shared" si="12"/>
        <v>100</v>
      </c>
      <c r="T31" s="714" t="s">
        <v>17</v>
      </c>
      <c r="U31" s="715">
        <f t="shared" si="13"/>
        <v>100</v>
      </c>
      <c r="V31" s="714" t="s">
        <v>17</v>
      </c>
      <c r="W31" s="715">
        <f t="shared" si="14"/>
        <v>100</v>
      </c>
      <c r="X31" s="1541"/>
      <c r="Y31" s="3425"/>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5"/>
      <c r="Q32" s="1538" t="str">
        <f t="shared" si="11"/>
        <v>公共部分装修</v>
      </c>
      <c r="R32" s="714" t="s">
        <v>17</v>
      </c>
      <c r="S32" s="715">
        <f t="shared" si="12"/>
        <v>100</v>
      </c>
      <c r="T32" s="714" t="s">
        <v>17</v>
      </c>
      <c r="U32" s="715">
        <f t="shared" si="13"/>
        <v>100</v>
      </c>
      <c r="V32" s="714" t="s">
        <v>17</v>
      </c>
      <c r="W32" s="715">
        <f t="shared" si="14"/>
        <v>100</v>
      </c>
      <c r="X32" s="1541"/>
      <c r="Y32" s="3425"/>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5"/>
      <c r="Q33" s="1538" t="str">
        <f t="shared" si="11"/>
        <v>成新度</v>
      </c>
      <c r="R33" s="714" t="s">
        <v>17</v>
      </c>
      <c r="S33" s="715" t="e">
        <f t="shared" si="12"/>
        <v>#N/A</v>
      </c>
      <c r="T33" s="714" t="s">
        <v>17</v>
      </c>
      <c r="U33" s="715" t="e">
        <f t="shared" si="13"/>
        <v>#N/A</v>
      </c>
      <c r="V33" s="714" t="s">
        <v>17</v>
      </c>
      <c r="W33" s="715" t="e">
        <f t="shared" si="14"/>
        <v>#N/A</v>
      </c>
      <c r="X33" s="1541"/>
      <c r="Y33" s="3425"/>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5"/>
      <c r="Q34" s="1529" t="str">
        <f t="shared" si="11"/>
        <v>物业管理</v>
      </c>
      <c r="R34" s="710" t="s">
        <v>17</v>
      </c>
      <c r="S34" s="711">
        <f t="shared" si="12"/>
        <v>100</v>
      </c>
      <c r="T34" s="710" t="s">
        <v>17</v>
      </c>
      <c r="U34" s="711">
        <f t="shared" si="13"/>
        <v>100</v>
      </c>
      <c r="V34" s="710" t="s">
        <v>17</v>
      </c>
      <c r="W34" s="711">
        <f t="shared" si="14"/>
        <v>100</v>
      </c>
      <c r="X34" s="712"/>
      <c r="Y34" s="342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5" t="s">
        <v>2386</v>
      </c>
      <c r="Q35" s="1538" t="str">
        <f t="shared" si="11"/>
        <v>市政基础设施</v>
      </c>
      <c r="R35" s="714" t="s">
        <v>17</v>
      </c>
      <c r="S35" s="715">
        <f t="shared" si="12"/>
        <v>100</v>
      </c>
      <c r="T35" s="714" t="s">
        <v>17</v>
      </c>
      <c r="U35" s="715">
        <f t="shared" si="13"/>
        <v>100</v>
      </c>
      <c r="V35" s="714" t="s">
        <v>17</v>
      </c>
      <c r="W35" s="715">
        <f t="shared" si="14"/>
        <v>100</v>
      </c>
      <c r="X35" s="1541"/>
      <c r="Y35" s="3425"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5"/>
      <c r="Q36" s="1538" t="str">
        <f t="shared" si="11"/>
        <v>内部装修</v>
      </c>
      <c r="R36" s="714" t="s">
        <v>17</v>
      </c>
      <c r="S36" s="715">
        <f t="shared" si="12"/>
        <v>100</v>
      </c>
      <c r="T36" s="714" t="s">
        <v>17</v>
      </c>
      <c r="U36" s="715">
        <f t="shared" si="13"/>
        <v>100</v>
      </c>
      <c r="V36" s="714" t="s">
        <v>17</v>
      </c>
      <c r="W36" s="715">
        <f t="shared" si="14"/>
        <v>100</v>
      </c>
      <c r="X36" s="1541"/>
      <c r="Y36" s="3425"/>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5"/>
      <c r="Q37" s="1538" t="str">
        <f t="shared" si="11"/>
        <v>内部装修状况</v>
      </c>
      <c r="R37" s="714" t="s">
        <v>17</v>
      </c>
      <c r="S37" s="715">
        <f t="shared" si="12"/>
        <v>100</v>
      </c>
      <c r="T37" s="714" t="s">
        <v>17</v>
      </c>
      <c r="U37" s="715">
        <f t="shared" si="13"/>
        <v>100</v>
      </c>
      <c r="V37" s="714" t="s">
        <v>17</v>
      </c>
      <c r="W37" s="715">
        <f t="shared" si="14"/>
        <v>100</v>
      </c>
      <c r="X37" s="1541"/>
      <c r="Y37" s="342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5"/>
      <c r="Q38" s="716">
        <f t="shared" si="11"/>
        <v>111</v>
      </c>
      <c r="R38" s="717" t="s">
        <v>17</v>
      </c>
      <c r="S38" s="718">
        <f t="shared" si="12"/>
        <v>100</v>
      </c>
      <c r="T38" s="717" t="s">
        <v>17</v>
      </c>
      <c r="U38" s="718">
        <f t="shared" si="13"/>
        <v>100</v>
      </c>
      <c r="V38" s="717" t="s">
        <v>17</v>
      </c>
      <c r="W38" s="718">
        <f t="shared" si="14"/>
        <v>100</v>
      </c>
      <c r="X38" s="719"/>
      <c r="Y38" s="342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5"/>
      <c r="Q39" s="1538">
        <f t="shared" si="11"/>
        <v>111</v>
      </c>
      <c r="R39" s="714" t="s">
        <v>17</v>
      </c>
      <c r="S39" s="715">
        <f t="shared" si="12"/>
        <v>100</v>
      </c>
      <c r="T39" s="714" t="s">
        <v>17</v>
      </c>
      <c r="U39" s="715">
        <f t="shared" si="13"/>
        <v>100</v>
      </c>
      <c r="V39" s="714" t="s">
        <v>17</v>
      </c>
      <c r="W39" s="715">
        <f t="shared" si="14"/>
        <v>100</v>
      </c>
      <c r="X39" s="1541"/>
      <c r="Y39" s="342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6"/>
      <c r="Q40" s="1538">
        <f t="shared" si="11"/>
        <v>111</v>
      </c>
      <c r="R40" s="714" t="s">
        <v>17</v>
      </c>
      <c r="S40" s="715">
        <f t="shared" si="12"/>
        <v>100</v>
      </c>
      <c r="T40" s="714" t="s">
        <v>17</v>
      </c>
      <c r="U40" s="715">
        <f t="shared" si="13"/>
        <v>100</v>
      </c>
      <c r="V40" s="714" t="s">
        <v>17</v>
      </c>
      <c r="W40" s="715">
        <f t="shared" si="14"/>
        <v>100</v>
      </c>
      <c r="X40" s="1541"/>
      <c r="Y40" s="3426"/>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413" t="str">
        <f>A41</f>
        <v>成交单价（元/平方米）</v>
      </c>
      <c r="Q41" s="3413"/>
      <c r="R41" s="3427">
        <f>E41</f>
        <v>0</v>
      </c>
      <c r="S41" s="3427"/>
      <c r="T41" s="3427">
        <f>G41</f>
        <v>0</v>
      </c>
      <c r="U41" s="3427"/>
      <c r="V41" s="3427">
        <f>I41</f>
        <v>0</v>
      </c>
      <c r="W41" s="3427"/>
      <c r="X41" s="699"/>
      <c r="Y41" s="721"/>
      <c r="Z41" s="699"/>
      <c r="AA41" s="699"/>
      <c r="AB41" s="699"/>
      <c r="AC41" s="699"/>
    </row>
    <row r="42" spans="1:29" ht="15.75" thickBot="1">
      <c r="A42" s="445" t="s">
        <v>2490</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413" t="str">
        <f>A42</f>
        <v>比较价值（元/平方米）</v>
      </c>
      <c r="Q42" s="3413"/>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544" t="str">
        <f>A43</f>
        <v>估价对象XX用房的比较价值（楼面单价，元/平方米）</v>
      </c>
      <c r="Q43" s="3545"/>
      <c r="R43" s="3546" t="e">
        <f>IF(F1="售价",ROUND(IF(D42="简单平均",AVERAGE(R42:V42),R42*F42+T42*H42+V42*J42),0),ROUND(IF(D42="简单平均",AVERAGE(R42:V42),R42*F42+T42*H42+V42*J42),1))</f>
        <v>#DIV/0!</v>
      </c>
      <c r="S43" s="3546"/>
      <c r="T43" s="3546"/>
      <c r="U43" s="3546"/>
      <c r="V43" s="3546"/>
      <c r="W43" s="3546"/>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2023-2</v>
      </c>
      <c r="D52" s="1347">
        <f>EDATE(C52,-1)</f>
        <v>44927</v>
      </c>
      <c r="E52" s="1347">
        <f t="shared" ref="E52:O52" si="16">EDATE(D52,-1)</f>
        <v>44896</v>
      </c>
      <c r="F52" s="1347">
        <f t="shared" si="16"/>
        <v>44866</v>
      </c>
      <c r="G52" s="1347">
        <f t="shared" si="16"/>
        <v>44835</v>
      </c>
      <c r="H52" s="1347">
        <f t="shared" si="16"/>
        <v>44805</v>
      </c>
      <c r="I52" s="1347">
        <f t="shared" si="16"/>
        <v>44774</v>
      </c>
      <c r="J52" s="1347">
        <f t="shared" si="16"/>
        <v>44743</v>
      </c>
      <c r="K52" s="1347">
        <f t="shared" si="16"/>
        <v>44713</v>
      </c>
      <c r="L52" s="1347">
        <f t="shared" si="16"/>
        <v>44682</v>
      </c>
      <c r="M52" s="1347">
        <f t="shared" si="16"/>
        <v>44652</v>
      </c>
      <c r="N52" s="1347">
        <f t="shared" si="16"/>
        <v>44621</v>
      </c>
      <c r="O52" s="1347">
        <f t="shared" si="16"/>
        <v>44593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7" priority="20" stopIfTrue="1" operator="containsText" text="超过">
      <formula>NOT(ISERROR(SEARCH("超过",F46)))</formula>
    </cfRule>
  </conditionalFormatting>
  <conditionalFormatting sqref="H48">
    <cfRule type="containsText" dxfId="136" priority="19" stopIfTrue="1" operator="containsText" text="超过">
      <formula>NOT(ISERROR(SEARCH("超过",H48)))</formula>
    </cfRule>
  </conditionalFormatting>
  <conditionalFormatting sqref="F48">
    <cfRule type="containsText" dxfId="135" priority="18" stopIfTrue="1" operator="containsText" text="超过">
      <formula>NOT(ISERROR(SEARCH("超过",F48)))</formula>
    </cfRule>
  </conditionalFormatting>
  <conditionalFormatting sqref="F47 H47">
    <cfRule type="containsText" dxfId="134" priority="17" stopIfTrue="1" operator="containsText" text="超过">
      <formula>NOT(ISERROR(SEARCH("超过",F47)))</formula>
    </cfRule>
  </conditionalFormatting>
  <conditionalFormatting sqref="E46">
    <cfRule type="expression" dxfId="133" priority="16" stopIfTrue="1">
      <formula>$F$46="超过30%"</formula>
    </cfRule>
  </conditionalFormatting>
  <conditionalFormatting sqref="E47">
    <cfRule type="expression" dxfId="132" priority="15" stopIfTrue="1">
      <formula>$F$47="超过20%"</formula>
    </cfRule>
  </conditionalFormatting>
  <conditionalFormatting sqref="E48">
    <cfRule type="expression" dxfId="131" priority="14" stopIfTrue="1">
      <formula>$F$48="超过30%"</formula>
    </cfRule>
  </conditionalFormatting>
  <conditionalFormatting sqref="G48">
    <cfRule type="expression" dxfId="130" priority="13" stopIfTrue="1">
      <formula>$H$48="超过30%"</formula>
    </cfRule>
  </conditionalFormatting>
  <conditionalFormatting sqref="G46">
    <cfRule type="expression" dxfId="129" priority="12" stopIfTrue="1">
      <formula>$H$46="超过30%"</formula>
    </cfRule>
  </conditionalFormatting>
  <conditionalFormatting sqref="G47">
    <cfRule type="expression" dxfId="128" priority="11" stopIfTrue="1">
      <formula>$H$47="超过20%"</formula>
    </cfRule>
  </conditionalFormatting>
  <conditionalFormatting sqref="J46">
    <cfRule type="containsText" dxfId="127" priority="10" stopIfTrue="1" operator="containsText" text="超过">
      <formula>NOT(ISERROR(SEARCH("超过",J46)))</formula>
    </cfRule>
  </conditionalFormatting>
  <conditionalFormatting sqref="J48">
    <cfRule type="containsText" dxfId="126" priority="9" stopIfTrue="1" operator="containsText" text="超过">
      <formula>NOT(ISERROR(SEARCH("超过",J48)))</formula>
    </cfRule>
  </conditionalFormatting>
  <conditionalFormatting sqref="J47">
    <cfRule type="containsText" dxfId="125" priority="8" stopIfTrue="1" operator="containsText" text="超过">
      <formula>NOT(ISERROR(SEARCH("超过",J47)))</formula>
    </cfRule>
  </conditionalFormatting>
  <conditionalFormatting sqref="I46">
    <cfRule type="expression" dxfId="124" priority="7" stopIfTrue="1">
      <formula>$J$46="超过30%"</formula>
    </cfRule>
  </conditionalFormatting>
  <conditionalFormatting sqref="I47">
    <cfRule type="expression" dxfId="123" priority="6" stopIfTrue="1">
      <formula>$J$47="超过20%"</formula>
    </cfRule>
  </conditionalFormatting>
  <conditionalFormatting sqref="I48">
    <cfRule type="expression" dxfId="122" priority="5" stopIfTrue="1">
      <formula>$J$48="超过30%"</formula>
    </cfRule>
  </conditionalFormatting>
  <conditionalFormatting sqref="F42">
    <cfRule type="expression" dxfId="121" priority="4">
      <formula>$D$42="简单平均"</formula>
    </cfRule>
  </conditionalFormatting>
  <conditionalFormatting sqref="H42">
    <cfRule type="expression" dxfId="120" priority="3">
      <formula>$D$42="简单平均"</formula>
    </cfRule>
  </conditionalFormatting>
  <conditionalFormatting sqref="J42">
    <cfRule type="expression" dxfId="119" priority="2">
      <formula>$D$42="简单平均"</formula>
    </cfRule>
  </conditionalFormatting>
  <conditionalFormatting sqref="F7:F40 H7:H40 J7:J40">
    <cfRule type="cellIs" dxfId="11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中行：</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估价对象为北京市房地产，为所有。根据《国有土地使用证》[]，估价对象（分摊）出让国有建设用地使用权面积为0平方米，建筑面积为445.5平方米。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估价对象为北京市房地产,属开发建设的办公项目，该项目尚在开发建设中。根据《国有土地使用证》[]，估价对象（分摊）出让国有建设用地使用权面积为0平方米，规划建筑面积为445.5平方米。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2023年2月2日（评估专业人员实地查勘之日）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2日，估价对象规划用途为，土地取得方式为出让，出让国有建设用地使用权剩余土地使用年限为29.89，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29.89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本次评估采用的主估价方法为收益法和比较法。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2944"/>
      <c r="M4" s="2945"/>
      <c r="N4" s="2945"/>
      <c r="O4" s="2945"/>
      <c r="P4" s="3548" t="s">
        <v>2472</v>
      </c>
      <c r="Q4" s="3549"/>
      <c r="R4" s="3552" t="s">
        <v>2468</v>
      </c>
      <c r="S4" s="3553"/>
      <c r="T4" s="3552" t="s">
        <v>2469</v>
      </c>
      <c r="U4" s="3553"/>
      <c r="V4" s="3448" t="s">
        <v>2470</v>
      </c>
      <c r="W4" s="3448"/>
      <c r="X4" s="1541"/>
      <c r="Y4" s="3552" t="s">
        <v>2472</v>
      </c>
      <c r="Z4" s="3553"/>
      <c r="AA4" s="3547" t="s">
        <v>2468</v>
      </c>
      <c r="AB4" s="3460" t="s">
        <v>2469</v>
      </c>
      <c r="AC4" s="3547" t="s">
        <v>2470</v>
      </c>
    </row>
    <row r="5" spans="1:29" ht="15">
      <c r="A5" s="364"/>
      <c r="B5" s="365"/>
      <c r="C5" s="3556" t="s">
        <v>2363</v>
      </c>
      <c r="D5" s="3557"/>
      <c r="E5" s="3559" t="s">
        <v>2364</v>
      </c>
      <c r="F5" s="3456"/>
      <c r="G5" s="3556" t="s">
        <v>2365</v>
      </c>
      <c r="H5" s="3557"/>
      <c r="I5" s="3556" t="s">
        <v>2366</v>
      </c>
      <c r="J5" s="3557"/>
      <c r="K5" s="567"/>
      <c r="L5" s="2944"/>
      <c r="M5" s="2945"/>
      <c r="N5" s="2945"/>
      <c r="O5" s="2945"/>
      <c r="P5" s="3550"/>
      <c r="Q5" s="3438"/>
      <c r="R5" s="3443"/>
      <c r="S5" s="3444"/>
      <c r="T5" s="3443"/>
      <c r="U5" s="3444"/>
      <c r="V5" s="3448"/>
      <c r="W5" s="3448"/>
      <c r="X5" s="1541"/>
      <c r="Y5" s="3443"/>
      <c r="Z5" s="3444"/>
      <c r="AA5" s="3460"/>
      <c r="AB5" s="3460"/>
      <c r="AC5" s="3460"/>
    </row>
    <row r="6" spans="1:29" ht="15.75" thickBot="1">
      <c r="A6" s="366"/>
      <c r="B6" s="367"/>
      <c r="C6" s="3554" t="s">
        <v>2367</v>
      </c>
      <c r="D6" s="3555"/>
      <c r="E6" s="3558" t="s">
        <v>2367</v>
      </c>
      <c r="F6" s="3458"/>
      <c r="G6" s="3554" t="s">
        <v>2367</v>
      </c>
      <c r="H6" s="3555"/>
      <c r="I6" s="3554" t="s">
        <v>2367</v>
      </c>
      <c r="J6" s="3555"/>
      <c r="K6" s="567" t="s">
        <v>2368</v>
      </c>
      <c r="L6" s="2944"/>
      <c r="M6" s="2945"/>
      <c r="N6" s="2945"/>
      <c r="O6" s="2945"/>
      <c r="P6" s="3551"/>
      <c r="Q6" s="3440"/>
      <c r="R6" s="3443"/>
      <c r="S6" s="3444"/>
      <c r="T6" s="3445"/>
      <c r="U6" s="3446"/>
      <c r="V6" s="3448"/>
      <c r="W6" s="3448"/>
      <c r="X6" s="1541"/>
      <c r="Y6" s="3445"/>
      <c r="Z6" s="3446"/>
      <c r="AA6" s="3461"/>
      <c r="AB6" s="3461"/>
      <c r="AC6" s="3461"/>
    </row>
    <row r="7" spans="1:29" s="113" customFormat="1" ht="15.75" thickBot="1">
      <c r="A7" s="368" t="s">
        <v>2369</v>
      </c>
      <c r="B7" s="369"/>
      <c r="C7" s="370">
        <f>'数据-取费表'!B2</f>
        <v>44959</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53" t="s">
        <v>2370</v>
      </c>
      <c r="Q7" s="3454"/>
      <c r="R7" s="710" t="s">
        <v>17</v>
      </c>
      <c r="S7" s="711">
        <f t="shared" ref="S7:S14" si="0">F7</f>
        <v>0</v>
      </c>
      <c r="T7" s="710" t="s">
        <v>17</v>
      </c>
      <c r="U7" s="711">
        <f t="shared" ref="U7:U14" si="1">H7</f>
        <v>0</v>
      </c>
      <c r="V7" s="710" t="s">
        <v>17</v>
      </c>
      <c r="W7" s="711">
        <f t="shared" ref="W7:W14" si="2">J7</f>
        <v>0</v>
      </c>
      <c r="X7" s="712"/>
      <c r="Y7" s="3453" t="s">
        <v>2370</v>
      </c>
      <c r="Z7" s="345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53" t="s">
        <v>2373</v>
      </c>
      <c r="Q8" s="3452"/>
      <c r="R8" s="710" t="s">
        <v>17</v>
      </c>
      <c r="S8" s="711">
        <f t="shared" si="0"/>
        <v>0</v>
      </c>
      <c r="T8" s="710" t="s">
        <v>17</v>
      </c>
      <c r="U8" s="711">
        <f t="shared" si="1"/>
        <v>0</v>
      </c>
      <c r="V8" s="710" t="s">
        <v>17</v>
      </c>
      <c r="W8" s="711">
        <f t="shared" si="2"/>
        <v>0</v>
      </c>
      <c r="X8" s="712"/>
      <c r="Y8" s="3453" t="s">
        <v>2373</v>
      </c>
      <c r="Z8" s="345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13" t="s">
        <v>2376</v>
      </c>
      <c r="Q9" s="1529" t="str">
        <f t="shared" ref="Q9:Q14" si="6">B9</f>
        <v>用途</v>
      </c>
      <c r="R9" s="710" t="s">
        <v>17</v>
      </c>
      <c r="S9" s="711">
        <f t="shared" si="0"/>
        <v>100</v>
      </c>
      <c r="T9" s="710" t="s">
        <v>17</v>
      </c>
      <c r="U9" s="711">
        <f t="shared" si="1"/>
        <v>100</v>
      </c>
      <c r="V9" s="710" t="s">
        <v>17</v>
      </c>
      <c r="W9" s="711">
        <f t="shared" si="2"/>
        <v>100</v>
      </c>
      <c r="X9" s="712"/>
      <c r="Y9" s="331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13"/>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13"/>
      <c r="Q11" s="1529">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13"/>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13"/>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61" t="s">
        <v>2380</v>
      </c>
      <c r="B14" s="585" t="s">
        <v>2530</v>
      </c>
      <c r="C14" s="2159" t="str">
        <f>IF(B1="工业",估价对象房地状况!G4,估价对象房地状况!C6)</f>
        <v>好-估价对象临近城市主干道—安定路，临近地铁10号线（安贞门站）有18路、108路、124路、380路、387路等10余条公交线路</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20" t="s">
        <v>2381</v>
      </c>
      <c r="Q14" s="1538" t="str">
        <f t="shared" si="6"/>
        <v>交通便捷度</v>
      </c>
      <c r="R14" s="714" t="s">
        <v>17</v>
      </c>
      <c r="S14" s="715">
        <f t="shared" si="0"/>
        <v>100</v>
      </c>
      <c r="T14" s="714" t="s">
        <v>17</v>
      </c>
      <c r="U14" s="715">
        <f t="shared" si="1"/>
        <v>100</v>
      </c>
      <c r="V14" s="714" t="s">
        <v>17</v>
      </c>
      <c r="W14" s="715">
        <f t="shared" si="2"/>
        <v>100</v>
      </c>
      <c r="X14" s="1541"/>
      <c r="Y14" s="3420"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1"/>
      <c r="M15" s="2945"/>
      <c r="N15" s="2945"/>
      <c r="O15" s="2945"/>
      <c r="P15" s="3421"/>
      <c r="Q15" s="1538"/>
      <c r="R15" s="714"/>
      <c r="S15" s="715"/>
      <c r="T15" s="714"/>
      <c r="U15" s="715"/>
      <c r="V15" s="714"/>
      <c r="W15" s="715"/>
      <c r="X15" s="1541"/>
      <c r="Y15" s="3421"/>
      <c r="Z15" s="1542"/>
      <c r="AA15" s="1539">
        <v>1</v>
      </c>
      <c r="AB15" s="1539">
        <v>1</v>
      </c>
      <c r="AC15" s="1539">
        <v>1</v>
      </c>
    </row>
    <row r="16" spans="1:29" ht="42.75">
      <c r="A16" s="364"/>
      <c r="B16" s="587" t="s">
        <v>2509</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21"/>
      <c r="Q16" s="1538" t="str">
        <f>B16</f>
        <v>公共配套设施</v>
      </c>
      <c r="R16" s="714" t="s">
        <v>17</v>
      </c>
      <c r="S16" s="715">
        <f>F16</f>
        <v>100</v>
      </c>
      <c r="T16" s="714" t="s">
        <v>17</v>
      </c>
      <c r="U16" s="715">
        <f>H16</f>
        <v>100</v>
      </c>
      <c r="V16" s="714" t="s">
        <v>17</v>
      </c>
      <c r="W16" s="715">
        <f>J16</f>
        <v>100</v>
      </c>
      <c r="X16" s="1541"/>
      <c r="Y16" s="342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1"/>
      <c r="M17" s="2945"/>
      <c r="N17" s="2945"/>
      <c r="O17" s="2945"/>
      <c r="P17" s="3421"/>
      <c r="Q17" s="1538"/>
      <c r="R17" s="714"/>
      <c r="S17" s="715"/>
      <c r="T17" s="714"/>
      <c r="U17" s="715"/>
      <c r="V17" s="714"/>
      <c r="W17" s="715"/>
      <c r="X17" s="1541"/>
      <c r="Y17" s="3421"/>
      <c r="Z17" s="1542"/>
      <c r="AA17" s="1539">
        <v>1</v>
      </c>
      <c r="AB17" s="1539">
        <v>1</v>
      </c>
      <c r="AC17" s="1539">
        <v>1</v>
      </c>
    </row>
    <row r="18" spans="1:29" ht="28.5">
      <c r="A18" s="364"/>
      <c r="B18" s="589" t="s">
        <v>2510</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21"/>
      <c r="Q18" s="1538" t="str">
        <f>B18</f>
        <v>基础设施水平</v>
      </c>
      <c r="R18" s="714" t="s">
        <v>17</v>
      </c>
      <c r="S18" s="715">
        <f>F18</f>
        <v>100</v>
      </c>
      <c r="T18" s="714" t="s">
        <v>17</v>
      </c>
      <c r="U18" s="715">
        <f>H18</f>
        <v>100</v>
      </c>
      <c r="V18" s="714" t="s">
        <v>17</v>
      </c>
      <c r="W18" s="715">
        <f>J18</f>
        <v>100</v>
      </c>
      <c r="X18" s="1541"/>
      <c r="Y18" s="342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1"/>
      <c r="M19" s="2945"/>
      <c r="N19" s="2945"/>
      <c r="O19" s="2945"/>
      <c r="P19" s="3421"/>
      <c r="Q19" s="1538"/>
      <c r="R19" s="714"/>
      <c r="S19" s="715"/>
      <c r="T19" s="714"/>
      <c r="U19" s="715"/>
      <c r="V19" s="714"/>
      <c r="W19" s="715"/>
      <c r="X19" s="1541"/>
      <c r="Y19" s="3421"/>
      <c r="Z19" s="1542"/>
      <c r="AA19" s="1539">
        <v>1</v>
      </c>
      <c r="AB19" s="1539">
        <v>1</v>
      </c>
      <c r="AC19" s="1539">
        <v>1</v>
      </c>
    </row>
    <row r="20" spans="1:29" ht="57">
      <c r="A20" s="364"/>
      <c r="B20" s="587" t="s">
        <v>2531</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21"/>
      <c r="Q20" s="1538" t="str">
        <f>B20</f>
        <v>自然及人文环境</v>
      </c>
      <c r="R20" s="714" t="s">
        <v>17</v>
      </c>
      <c r="S20" s="715">
        <f>F20</f>
        <v>100</v>
      </c>
      <c r="T20" s="714" t="s">
        <v>17</v>
      </c>
      <c r="U20" s="715">
        <f>H20</f>
        <v>100</v>
      </c>
      <c r="V20" s="714" t="s">
        <v>17</v>
      </c>
      <c r="W20" s="715">
        <f>J20</f>
        <v>100</v>
      </c>
      <c r="X20" s="1541"/>
      <c r="Y20" s="342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1"/>
      <c r="M21" s="2945"/>
      <c r="N21" s="2945"/>
      <c r="O21" s="2945"/>
      <c r="P21" s="3421"/>
      <c r="Q21" s="1538"/>
      <c r="R21" s="714"/>
      <c r="S21" s="715"/>
      <c r="T21" s="714"/>
      <c r="U21" s="715"/>
      <c r="V21" s="714"/>
      <c r="W21" s="715"/>
      <c r="X21" s="1541"/>
      <c r="Y21" s="3421"/>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21"/>
      <c r="Q22" s="1538" t="str">
        <f>B22</f>
        <v>楼层</v>
      </c>
      <c r="R22" s="714" t="s">
        <v>17</v>
      </c>
      <c r="S22" s="715">
        <f>F22</f>
        <v>100</v>
      </c>
      <c r="T22" s="714" t="s">
        <v>17</v>
      </c>
      <c r="U22" s="715">
        <f>H22</f>
        <v>100</v>
      </c>
      <c r="V22" s="714" t="s">
        <v>17</v>
      </c>
      <c r="W22" s="715">
        <f>J22</f>
        <v>100</v>
      </c>
      <c r="X22" s="1541"/>
      <c r="Y22" s="342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21"/>
      <c r="Q23" s="1538">
        <f>B23</f>
        <v>111</v>
      </c>
      <c r="R23" s="714" t="s">
        <v>17</v>
      </c>
      <c r="S23" s="715">
        <f>F23</f>
        <v>100</v>
      </c>
      <c r="T23" s="714" t="s">
        <v>17</v>
      </c>
      <c r="U23" s="715">
        <f>H23</f>
        <v>100</v>
      </c>
      <c r="V23" s="714" t="s">
        <v>17</v>
      </c>
      <c r="W23" s="715">
        <f>J23</f>
        <v>100</v>
      </c>
      <c r="X23" s="1541"/>
      <c r="Y23" s="342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21"/>
      <c r="Q24" s="1538">
        <f t="shared" ref="Q24:Q36" si="11">B24</f>
        <v>111</v>
      </c>
      <c r="R24" s="714" t="s">
        <v>17</v>
      </c>
      <c r="S24" s="715">
        <f>F24</f>
        <v>100</v>
      </c>
      <c r="T24" s="714" t="s">
        <v>17</v>
      </c>
      <c r="U24" s="715">
        <f>H24</f>
        <v>100</v>
      </c>
      <c r="V24" s="714" t="s">
        <v>17</v>
      </c>
      <c r="W24" s="715">
        <f>J24</f>
        <v>100</v>
      </c>
      <c r="X24" s="1541"/>
      <c r="Y24" s="342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21"/>
      <c r="Q25" s="1529">
        <f t="shared" si="11"/>
        <v>111</v>
      </c>
      <c r="R25" s="710" t="s">
        <v>17</v>
      </c>
      <c r="S25" s="711">
        <f>F25</f>
        <v>100</v>
      </c>
      <c r="T25" s="710" t="s">
        <v>17</v>
      </c>
      <c r="U25" s="711">
        <f>H25</f>
        <v>100</v>
      </c>
      <c r="V25" s="710" t="s">
        <v>17</v>
      </c>
      <c r="W25" s="711">
        <f>J25</f>
        <v>100</v>
      </c>
      <c r="X25" s="712"/>
      <c r="Y25" s="3421"/>
      <c r="Z25" s="55">
        <f>Q25</f>
        <v>111</v>
      </c>
      <c r="AA25" s="1539">
        <f>D25/F25</f>
        <v>1</v>
      </c>
      <c r="AB25" s="1539">
        <f>D25/H25</f>
        <v>1</v>
      </c>
      <c r="AC25" s="1539">
        <f>D25/J25</f>
        <v>1</v>
      </c>
    </row>
    <row r="26" spans="1:29" ht="1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560"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425"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25"/>
      <c r="Q27" s="716" t="str">
        <f t="shared" si="11"/>
        <v>项目停车位配比</v>
      </c>
      <c r="R27" s="717" t="s">
        <v>17</v>
      </c>
      <c r="S27" s="718">
        <f t="shared" si="12"/>
        <v>100</v>
      </c>
      <c r="T27" s="717" t="s">
        <v>17</v>
      </c>
      <c r="U27" s="718">
        <f t="shared" si="13"/>
        <v>100</v>
      </c>
      <c r="V27" s="717" t="s">
        <v>17</v>
      </c>
      <c r="W27" s="718">
        <f t="shared" si="14"/>
        <v>100</v>
      </c>
      <c r="X27" s="719"/>
      <c r="Y27" s="3425"/>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25"/>
      <c r="Q28" s="1538" t="str">
        <f t="shared" si="11"/>
        <v>公共部分装修</v>
      </c>
      <c r="R28" s="714" t="s">
        <v>17</v>
      </c>
      <c r="S28" s="715">
        <f t="shared" si="12"/>
        <v>100</v>
      </c>
      <c r="T28" s="714" t="s">
        <v>17</v>
      </c>
      <c r="U28" s="715">
        <f t="shared" si="13"/>
        <v>100</v>
      </c>
      <c r="V28" s="714" t="s">
        <v>17</v>
      </c>
      <c r="W28" s="715">
        <f t="shared" si="14"/>
        <v>100</v>
      </c>
      <c r="X28" s="1541"/>
      <c r="Y28" s="3425"/>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25"/>
      <c r="Q29" s="1538" t="str">
        <f t="shared" si="11"/>
        <v>成新率</v>
      </c>
      <c r="R29" s="714" t="s">
        <v>17</v>
      </c>
      <c r="S29" s="715" t="e">
        <f t="shared" si="12"/>
        <v>#N/A</v>
      </c>
      <c r="T29" s="714" t="s">
        <v>17</v>
      </c>
      <c r="U29" s="715" t="e">
        <f t="shared" si="13"/>
        <v>#N/A</v>
      </c>
      <c r="V29" s="714" t="s">
        <v>17</v>
      </c>
      <c r="W29" s="715" t="e">
        <f t="shared" si="14"/>
        <v>#N/A</v>
      </c>
      <c r="X29" s="1541"/>
      <c r="Y29" s="3425"/>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25"/>
      <c r="Q30" s="1538" t="str">
        <f t="shared" si="11"/>
        <v>物业等级</v>
      </c>
      <c r="R30" s="714" t="s">
        <v>17</v>
      </c>
      <c r="S30" s="715">
        <f t="shared" si="12"/>
        <v>100</v>
      </c>
      <c r="T30" s="714" t="s">
        <v>17</v>
      </c>
      <c r="U30" s="715">
        <f t="shared" si="13"/>
        <v>100</v>
      </c>
      <c r="V30" s="714" t="s">
        <v>17</v>
      </c>
      <c r="W30" s="715">
        <f t="shared" si="14"/>
        <v>100</v>
      </c>
      <c r="X30" s="1541"/>
      <c r="Y30" s="3425"/>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25"/>
      <c r="Q31" s="1529" t="str">
        <f t="shared" si="11"/>
        <v>停车位面积</v>
      </c>
      <c r="R31" s="710" t="s">
        <v>17</v>
      </c>
      <c r="S31" s="711" t="e">
        <f t="shared" si="12"/>
        <v>#N/A</v>
      </c>
      <c r="T31" s="710" t="s">
        <v>17</v>
      </c>
      <c r="U31" s="711" t="e">
        <f t="shared" si="13"/>
        <v>#N/A</v>
      </c>
      <c r="V31" s="710" t="s">
        <v>17</v>
      </c>
      <c r="W31" s="711" t="e">
        <f t="shared" si="14"/>
        <v>#N/A</v>
      </c>
      <c r="X31" s="712"/>
      <c r="Y31" s="342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25" t="s">
        <v>2386</v>
      </c>
      <c r="Q32" s="1538" t="str">
        <f t="shared" si="11"/>
        <v>车位类型</v>
      </c>
      <c r="R32" s="714" t="s">
        <v>17</v>
      </c>
      <c r="S32" s="715">
        <f t="shared" si="12"/>
        <v>100</v>
      </c>
      <c r="T32" s="714" t="s">
        <v>17</v>
      </c>
      <c r="U32" s="715">
        <f t="shared" si="13"/>
        <v>100</v>
      </c>
      <c r="V32" s="714" t="s">
        <v>17</v>
      </c>
      <c r="W32" s="715">
        <f t="shared" si="14"/>
        <v>100</v>
      </c>
      <c r="X32" s="1541"/>
      <c r="Y32" s="3425"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25"/>
      <c r="Q33" s="1538" t="str">
        <f t="shared" si="11"/>
        <v>是否直接入户</v>
      </c>
      <c r="R33" s="714" t="s">
        <v>17</v>
      </c>
      <c r="S33" s="715">
        <f t="shared" si="12"/>
        <v>100</v>
      </c>
      <c r="T33" s="714" t="s">
        <v>17</v>
      </c>
      <c r="U33" s="715">
        <f t="shared" si="13"/>
        <v>100</v>
      </c>
      <c r="V33" s="714" t="s">
        <v>17</v>
      </c>
      <c r="W33" s="715">
        <f t="shared" si="14"/>
        <v>100</v>
      </c>
      <c r="X33" s="1541"/>
      <c r="Y33" s="342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25"/>
      <c r="Q34" s="1538">
        <f t="shared" si="11"/>
        <v>111</v>
      </c>
      <c r="R34" s="714" t="s">
        <v>17</v>
      </c>
      <c r="S34" s="715">
        <f t="shared" si="12"/>
        <v>100</v>
      </c>
      <c r="T34" s="714" t="s">
        <v>17</v>
      </c>
      <c r="U34" s="715">
        <f t="shared" si="13"/>
        <v>100</v>
      </c>
      <c r="V34" s="714" t="s">
        <v>17</v>
      </c>
      <c r="W34" s="715">
        <f t="shared" si="14"/>
        <v>100</v>
      </c>
      <c r="X34" s="1541"/>
      <c r="Y34" s="342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25"/>
      <c r="Q35" s="716">
        <f t="shared" si="11"/>
        <v>111</v>
      </c>
      <c r="R35" s="717" t="s">
        <v>17</v>
      </c>
      <c r="S35" s="718">
        <f t="shared" si="12"/>
        <v>100</v>
      </c>
      <c r="T35" s="717" t="s">
        <v>17</v>
      </c>
      <c r="U35" s="718">
        <f t="shared" si="13"/>
        <v>100</v>
      </c>
      <c r="V35" s="717" t="s">
        <v>17</v>
      </c>
      <c r="W35" s="718">
        <f t="shared" si="14"/>
        <v>100</v>
      </c>
      <c r="X35" s="719"/>
      <c r="Y35" s="342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25"/>
      <c r="Q36" s="1538">
        <f t="shared" si="11"/>
        <v>111</v>
      </c>
      <c r="R36" s="714" t="s">
        <v>17</v>
      </c>
      <c r="S36" s="715">
        <f t="shared" si="12"/>
        <v>100</v>
      </c>
      <c r="T36" s="714" t="s">
        <v>17</v>
      </c>
      <c r="U36" s="715">
        <f t="shared" si="13"/>
        <v>100</v>
      </c>
      <c r="V36" s="714" t="s">
        <v>17</v>
      </c>
      <c r="W36" s="715">
        <f t="shared" si="14"/>
        <v>100</v>
      </c>
      <c r="X36" s="1541"/>
      <c r="Y36" s="3425"/>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3"/>
      <c r="M37" s="2954"/>
      <c r="N37" s="2945"/>
      <c r="O37" s="2954"/>
      <c r="P37" s="3413" t="str">
        <f>A37</f>
        <v>成交单价</v>
      </c>
      <c r="Q37" s="3413"/>
      <c r="R37" s="3427">
        <f>E37</f>
        <v>0</v>
      </c>
      <c r="S37" s="3427"/>
      <c r="T37" s="3427">
        <f>G37</f>
        <v>0</v>
      </c>
      <c r="U37" s="3427"/>
      <c r="V37" s="3427">
        <f>I37</f>
        <v>0</v>
      </c>
      <c r="W37" s="3427"/>
      <c r="X37" s="699"/>
      <c r="Y37" s="721"/>
      <c r="Z37" s="699"/>
      <c r="AA37" s="699"/>
      <c r="AB37" s="699"/>
      <c r="AC37" s="699"/>
    </row>
    <row r="38" spans="1:29" ht="15.75" thickBot="1">
      <c r="A38" s="445" t="s">
        <v>2543</v>
      </c>
      <c r="B38" s="446" t="str">
        <f>B37</f>
        <v>元/车位</v>
      </c>
      <c r="C38" s="1322" t="e">
        <f>R39</f>
        <v>#DIV/0!</v>
      </c>
      <c r="D38" s="2540" t="s">
        <v>2879</v>
      </c>
      <c r="E38" s="1323" t="e">
        <f>R38</f>
        <v>#DIV/0!</v>
      </c>
      <c r="F38" s="2541"/>
      <c r="G38" s="1322" t="e">
        <f>T38</f>
        <v>#DIV/0!</v>
      </c>
      <c r="H38" s="2541"/>
      <c r="I38" s="1323" t="e">
        <f>V38</f>
        <v>#DIV/0!</v>
      </c>
      <c r="J38" s="2541"/>
      <c r="K38" s="2543">
        <f>F38+H38+J38</f>
        <v>0</v>
      </c>
      <c r="L38" s="2953"/>
      <c r="M38" s="2954"/>
      <c r="N38" s="2954"/>
      <c r="O38" s="2954"/>
      <c r="P38" s="3413" t="str">
        <f>A38</f>
        <v>比较价值（元/平方米）</v>
      </c>
      <c r="Q38" s="3413"/>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544" t="str">
        <f>A39</f>
        <v>估价对象XX用房的比较价值（楼面单价，元/平方米）</v>
      </c>
      <c r="Q39" s="3545"/>
      <c r="R39" s="3561" t="e">
        <f>IF(F1="售价",ROUND(IF(D38="简单平均",AVERAGE(R38:W38),R38*F38+T38*H38+V38*J38),0),ROUND(IF(D38="简单平均",AVERAGE(R38:V38),R38*F38+T38*H38+V38*J38),1))</f>
        <v>#DIV/0!</v>
      </c>
      <c r="S39" s="3561"/>
      <c r="T39" s="3561"/>
      <c r="U39" s="3561"/>
      <c r="V39" s="3561"/>
      <c r="W39" s="3561"/>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2023-2</v>
      </c>
      <c r="D48" s="1347">
        <f>EDATE(C48,-1)</f>
        <v>44927</v>
      </c>
      <c r="E48" s="1347">
        <f t="shared" ref="E48:O48" si="16">EDATE(D48,-1)</f>
        <v>44896</v>
      </c>
      <c r="F48" s="1347">
        <f t="shared" si="16"/>
        <v>44866</v>
      </c>
      <c r="G48" s="1347">
        <f t="shared" si="16"/>
        <v>44835</v>
      </c>
      <c r="H48" s="1347">
        <f t="shared" si="16"/>
        <v>44805</v>
      </c>
      <c r="I48" s="1347">
        <f t="shared" si="16"/>
        <v>44774</v>
      </c>
      <c r="J48" s="1347">
        <f t="shared" si="16"/>
        <v>44743</v>
      </c>
      <c r="K48" s="1347">
        <f t="shared" si="16"/>
        <v>44713</v>
      </c>
      <c r="L48" s="1347">
        <f t="shared" si="16"/>
        <v>44682</v>
      </c>
      <c r="M48" s="1347">
        <f t="shared" si="16"/>
        <v>44652</v>
      </c>
      <c r="N48" s="1347">
        <f t="shared" si="16"/>
        <v>44621</v>
      </c>
      <c r="O48" s="1347">
        <f t="shared" si="16"/>
        <v>44593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7" priority="18" stopIfTrue="1" operator="containsText" text="超过">
      <formula>NOT(ISERROR(SEARCH("超过",F42)))</formula>
    </cfRule>
  </conditionalFormatting>
  <conditionalFormatting sqref="J44">
    <cfRule type="containsText" dxfId="116" priority="17" stopIfTrue="1" operator="containsText" text="超过">
      <formula>NOT(ISERROR(SEARCH("超过",J44)))</formula>
    </cfRule>
  </conditionalFormatting>
  <conditionalFormatting sqref="H44">
    <cfRule type="containsText" dxfId="115" priority="16" stopIfTrue="1" operator="containsText" text="超过">
      <formula>NOT(ISERROR(SEARCH("超过",H44)))</formula>
    </cfRule>
  </conditionalFormatting>
  <conditionalFormatting sqref="F44">
    <cfRule type="containsText" dxfId="114" priority="15" stopIfTrue="1" operator="containsText" text="超过">
      <formula>NOT(ISERROR(SEARCH("超过",F44)))</formula>
    </cfRule>
  </conditionalFormatting>
  <conditionalFormatting sqref="F43 H43 J43">
    <cfRule type="containsText" dxfId="113" priority="14" stopIfTrue="1" operator="containsText" text="超过">
      <formula>NOT(ISERROR(SEARCH("超过",F43)))</formula>
    </cfRule>
  </conditionalFormatting>
  <conditionalFormatting sqref="E42">
    <cfRule type="expression" dxfId="112" priority="13" stopIfTrue="1">
      <formula>$F$42="超过30%"</formula>
    </cfRule>
  </conditionalFormatting>
  <conditionalFormatting sqref="G44">
    <cfRule type="expression" dxfId="111" priority="12" stopIfTrue="1">
      <formula>$H$54+$H$44="超过30%"</formula>
    </cfRule>
  </conditionalFormatting>
  <conditionalFormatting sqref="E43">
    <cfRule type="expression" dxfId="110" priority="11" stopIfTrue="1">
      <formula>$F$43="超过20%"</formula>
    </cfRule>
  </conditionalFormatting>
  <conditionalFormatting sqref="E44">
    <cfRule type="expression" dxfId="109" priority="10" stopIfTrue="1">
      <formula>$F$44="超过30%"</formula>
    </cfRule>
  </conditionalFormatting>
  <conditionalFormatting sqref="G42">
    <cfRule type="expression" dxfId="108" priority="9" stopIfTrue="1">
      <formula>$H$52+$H$42="超过30%"</formula>
    </cfRule>
  </conditionalFormatting>
  <conditionalFormatting sqref="G43">
    <cfRule type="expression" dxfId="107" priority="8" stopIfTrue="1">
      <formula>$H$43="超过20%"</formula>
    </cfRule>
  </conditionalFormatting>
  <conditionalFormatting sqref="I42">
    <cfRule type="expression" dxfId="106" priority="7" stopIfTrue="1">
      <formula>$J$52+$J$42="超过30%"</formula>
    </cfRule>
  </conditionalFormatting>
  <conditionalFormatting sqref="I43">
    <cfRule type="expression" dxfId="105" priority="6" stopIfTrue="1">
      <formula>$J$53+$J$43="超过20%"</formula>
    </cfRule>
  </conditionalFormatting>
  <conditionalFormatting sqref="I44">
    <cfRule type="expression" dxfId="104" priority="5" stopIfTrue="1">
      <formula>$J$44="超过30%"</formula>
    </cfRule>
  </conditionalFormatting>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F7:F36 H7:H36 J7:J36">
    <cfRule type="cellIs" dxfId="10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2944"/>
      <c r="M4" s="2945"/>
      <c r="N4" s="2945"/>
      <c r="O4" s="2945"/>
      <c r="P4" s="3548" t="s">
        <v>2472</v>
      </c>
      <c r="Q4" s="3549"/>
      <c r="R4" s="3552" t="s">
        <v>2468</v>
      </c>
      <c r="S4" s="3553"/>
      <c r="T4" s="3552" t="s">
        <v>2469</v>
      </c>
      <c r="U4" s="3553"/>
      <c r="V4" s="3448" t="s">
        <v>2470</v>
      </c>
      <c r="W4" s="3448"/>
      <c r="X4" s="1541"/>
      <c r="Y4" s="3552" t="s">
        <v>2472</v>
      </c>
      <c r="Z4" s="3553"/>
      <c r="AA4" s="3547" t="s">
        <v>2468</v>
      </c>
      <c r="AB4" s="3460" t="s">
        <v>2469</v>
      </c>
      <c r="AC4" s="3547" t="s">
        <v>2470</v>
      </c>
    </row>
    <row r="5" spans="1:29" ht="15">
      <c r="A5" s="364"/>
      <c r="B5" s="365"/>
      <c r="C5" s="3556" t="s">
        <v>2363</v>
      </c>
      <c r="D5" s="3557"/>
      <c r="E5" s="3559" t="s">
        <v>2364</v>
      </c>
      <c r="F5" s="3456"/>
      <c r="G5" s="3556" t="s">
        <v>2365</v>
      </c>
      <c r="H5" s="3557"/>
      <c r="I5" s="3556" t="s">
        <v>2366</v>
      </c>
      <c r="J5" s="3557"/>
      <c r="K5" s="567"/>
      <c r="L5" s="2944"/>
      <c r="M5" s="2945"/>
      <c r="N5" s="2945"/>
      <c r="O5" s="2945"/>
      <c r="P5" s="3550"/>
      <c r="Q5" s="3438"/>
      <c r="R5" s="3443"/>
      <c r="S5" s="3444"/>
      <c r="T5" s="3443"/>
      <c r="U5" s="3444"/>
      <c r="V5" s="3448"/>
      <c r="W5" s="3448"/>
      <c r="X5" s="1541"/>
      <c r="Y5" s="3443"/>
      <c r="Z5" s="3444"/>
      <c r="AA5" s="3460"/>
      <c r="AB5" s="3460"/>
      <c r="AC5" s="3460"/>
    </row>
    <row r="6" spans="1:29" ht="15.75" thickBot="1">
      <c r="A6" s="366"/>
      <c r="B6" s="367"/>
      <c r="C6" s="3554" t="s">
        <v>2367</v>
      </c>
      <c r="D6" s="3555"/>
      <c r="E6" s="3558" t="s">
        <v>2367</v>
      </c>
      <c r="F6" s="3458"/>
      <c r="G6" s="3554" t="s">
        <v>2367</v>
      </c>
      <c r="H6" s="3555"/>
      <c r="I6" s="3554" t="s">
        <v>2367</v>
      </c>
      <c r="J6" s="3555"/>
      <c r="K6" s="567" t="s">
        <v>2368</v>
      </c>
      <c r="L6" s="2944"/>
      <c r="M6" s="2945"/>
      <c r="N6" s="2945"/>
      <c r="O6" s="2945"/>
      <c r="P6" s="3551"/>
      <c r="Q6" s="3440"/>
      <c r="R6" s="3443"/>
      <c r="S6" s="3444"/>
      <c r="T6" s="3445"/>
      <c r="U6" s="3446"/>
      <c r="V6" s="3448"/>
      <c r="W6" s="3448"/>
      <c r="X6" s="1541"/>
      <c r="Y6" s="3445"/>
      <c r="Z6" s="3446"/>
      <c r="AA6" s="3461"/>
      <c r="AB6" s="3461"/>
      <c r="AC6" s="3461"/>
    </row>
    <row r="7" spans="1:29" s="113" customFormat="1" ht="15.75" thickBot="1">
      <c r="A7" s="368" t="s">
        <v>2369</v>
      </c>
      <c r="B7" s="369"/>
      <c r="C7" s="370">
        <f>'数据-取费表'!B2</f>
        <v>44959</v>
      </c>
      <c r="D7" s="371">
        <v>100</v>
      </c>
      <c r="E7" s="372"/>
      <c r="F7" s="373">
        <f>SUMIF(46:46,YEAR(E7)&amp;"-"&amp;MONTH(E7),47:47)</f>
        <v>0</v>
      </c>
      <c r="G7" s="2162"/>
      <c r="H7" s="371">
        <f>SUMIF(46:46,YEAR(G7)&amp;"-"&amp;MONTH(G7),47:47)</f>
        <v>0</v>
      </c>
      <c r="I7" s="372"/>
      <c r="J7" s="371">
        <f>SUMIF(46:46,YEAR(I7)&amp;"-"&amp;MONTH(I7),47:47)</f>
        <v>0</v>
      </c>
      <c r="K7" s="568"/>
      <c r="L7" s="2946"/>
      <c r="M7" s="2947"/>
      <c r="N7" s="2947"/>
      <c r="O7" s="2947"/>
      <c r="P7" s="3453" t="s">
        <v>2370</v>
      </c>
      <c r="Q7" s="3454"/>
      <c r="R7" s="710" t="s">
        <v>17</v>
      </c>
      <c r="S7" s="711">
        <f t="shared" ref="S7:S14" si="0">F7</f>
        <v>0</v>
      </c>
      <c r="T7" s="710" t="s">
        <v>17</v>
      </c>
      <c r="U7" s="711">
        <f t="shared" ref="U7:U14" si="1">H7</f>
        <v>0</v>
      </c>
      <c r="V7" s="710" t="s">
        <v>17</v>
      </c>
      <c r="W7" s="711">
        <f t="shared" ref="W7:W14" si="2">J7</f>
        <v>0</v>
      </c>
      <c r="X7" s="712"/>
      <c r="Y7" s="3453" t="s">
        <v>2370</v>
      </c>
      <c r="Z7" s="345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53" t="s">
        <v>2373</v>
      </c>
      <c r="Q8" s="3452"/>
      <c r="R8" s="710" t="s">
        <v>17</v>
      </c>
      <c r="S8" s="711">
        <f t="shared" si="0"/>
        <v>0</v>
      </c>
      <c r="T8" s="710" t="s">
        <v>17</v>
      </c>
      <c r="U8" s="711">
        <f t="shared" si="1"/>
        <v>0</v>
      </c>
      <c r="V8" s="710" t="s">
        <v>17</v>
      </c>
      <c r="W8" s="711">
        <f t="shared" si="2"/>
        <v>0</v>
      </c>
      <c r="X8" s="712"/>
      <c r="Y8" s="3453" t="s">
        <v>2373</v>
      </c>
      <c r="Z8" s="345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13" t="s">
        <v>2376</v>
      </c>
      <c r="Q9" s="1529" t="str">
        <f t="shared" ref="Q9:Q14" si="6">B9</f>
        <v>用途</v>
      </c>
      <c r="R9" s="710" t="s">
        <v>17</v>
      </c>
      <c r="S9" s="711">
        <f t="shared" si="0"/>
        <v>100</v>
      </c>
      <c r="T9" s="710" t="s">
        <v>17</v>
      </c>
      <c r="U9" s="711">
        <f t="shared" si="1"/>
        <v>100</v>
      </c>
      <c r="V9" s="710" t="s">
        <v>17</v>
      </c>
      <c r="W9" s="711">
        <f t="shared" si="2"/>
        <v>100</v>
      </c>
      <c r="X9" s="712"/>
      <c r="Y9" s="331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13"/>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13"/>
      <c r="Q11" s="1529">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13"/>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1"/>
      <c r="M13" s="2945"/>
      <c r="N13" s="2945"/>
      <c r="O13" s="3003"/>
      <c r="P13" s="3413"/>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99" t="s">
        <v>2380</v>
      </c>
      <c r="B14" s="65" t="s">
        <v>2530</v>
      </c>
      <c r="C14" s="2159" t="str">
        <f>IF(B1="工业",估价对象房地状况!G4,估价对象房地状况!C6)</f>
        <v>好-估价对象临近城市主干道—安定路，临近地铁10号线（安贞门站）有18路、108路、124路、380路、387路等10余条公交线路</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20" t="s">
        <v>2381</v>
      </c>
      <c r="Q14" s="1538" t="str">
        <f t="shared" si="6"/>
        <v>交通便捷度</v>
      </c>
      <c r="R14" s="714" t="s">
        <v>17</v>
      </c>
      <c r="S14" s="715">
        <f t="shared" si="0"/>
        <v>100</v>
      </c>
      <c r="T14" s="714" t="s">
        <v>17</v>
      </c>
      <c r="U14" s="715">
        <f t="shared" si="1"/>
        <v>100</v>
      </c>
      <c r="V14" s="714" t="s">
        <v>17</v>
      </c>
      <c r="W14" s="715">
        <f t="shared" si="2"/>
        <v>100</v>
      </c>
      <c r="X14" s="1541"/>
      <c r="Y14" s="3420"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1"/>
      <c r="M15" s="2945"/>
      <c r="N15" s="2945"/>
      <c r="O15" s="3003"/>
      <c r="P15" s="3421"/>
      <c r="Q15" s="1538"/>
      <c r="R15" s="714"/>
      <c r="S15" s="715"/>
      <c r="T15" s="714"/>
      <c r="U15" s="715"/>
      <c r="V15" s="714"/>
      <c r="W15" s="715"/>
      <c r="X15" s="1541"/>
      <c r="Y15" s="3421"/>
      <c r="Z15" s="1542"/>
      <c r="AA15" s="1539">
        <v>1</v>
      </c>
      <c r="AB15" s="1539">
        <v>1</v>
      </c>
      <c r="AC15" s="1539">
        <v>1</v>
      </c>
    </row>
    <row r="16" spans="1:29" ht="42.75">
      <c r="A16" s="387"/>
      <c r="B16" s="410" t="s">
        <v>2509</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21"/>
      <c r="Q16" s="1538" t="str">
        <f>B16</f>
        <v>公共配套设施</v>
      </c>
      <c r="R16" s="714" t="s">
        <v>17</v>
      </c>
      <c r="S16" s="715">
        <f>F16</f>
        <v>100</v>
      </c>
      <c r="T16" s="714" t="s">
        <v>17</v>
      </c>
      <c r="U16" s="715">
        <f>H16</f>
        <v>100</v>
      </c>
      <c r="V16" s="714" t="s">
        <v>17</v>
      </c>
      <c r="W16" s="715">
        <f>J16</f>
        <v>100</v>
      </c>
      <c r="X16" s="1541"/>
      <c r="Y16" s="342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1"/>
      <c r="M17" s="2945"/>
      <c r="N17" s="2945"/>
      <c r="O17" s="3003"/>
      <c r="P17" s="3421"/>
      <c r="Q17" s="1538"/>
      <c r="R17" s="714"/>
      <c r="S17" s="715"/>
      <c r="T17" s="714"/>
      <c r="U17" s="715"/>
      <c r="V17" s="714"/>
      <c r="W17" s="715"/>
      <c r="X17" s="1541"/>
      <c r="Y17" s="3421"/>
      <c r="Z17" s="1542"/>
      <c r="AA17" s="1539">
        <v>1</v>
      </c>
      <c r="AB17" s="1539">
        <v>1</v>
      </c>
      <c r="AC17" s="1539">
        <v>1</v>
      </c>
    </row>
    <row r="18" spans="1:29" ht="28.5">
      <c r="A18" s="387"/>
      <c r="B18" s="1293" t="s">
        <v>2510</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21"/>
      <c r="Q18" s="1538" t="str">
        <f>B18</f>
        <v>基础设施水平</v>
      </c>
      <c r="R18" s="714" t="s">
        <v>17</v>
      </c>
      <c r="S18" s="715">
        <f>F18</f>
        <v>100</v>
      </c>
      <c r="T18" s="714" t="s">
        <v>17</v>
      </c>
      <c r="U18" s="715">
        <f>H18</f>
        <v>100</v>
      </c>
      <c r="V18" s="714" t="s">
        <v>17</v>
      </c>
      <c r="W18" s="715">
        <f>J18</f>
        <v>100</v>
      </c>
      <c r="X18" s="1541"/>
      <c r="Y18" s="342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1"/>
      <c r="M19" s="2945"/>
      <c r="N19" s="2945"/>
      <c r="O19" s="3003"/>
      <c r="P19" s="3421"/>
      <c r="Q19" s="1538"/>
      <c r="R19" s="714"/>
      <c r="S19" s="715"/>
      <c r="T19" s="714"/>
      <c r="U19" s="715"/>
      <c r="V19" s="714"/>
      <c r="W19" s="715"/>
      <c r="X19" s="1541"/>
      <c r="Y19" s="3421"/>
      <c r="Z19" s="1542"/>
      <c r="AA19" s="1539">
        <v>1</v>
      </c>
      <c r="AB19" s="1539">
        <v>1</v>
      </c>
      <c r="AC19" s="1539">
        <v>1</v>
      </c>
    </row>
    <row r="20" spans="1:29" ht="57">
      <c r="A20" s="387"/>
      <c r="B20" s="410" t="s">
        <v>2531</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21"/>
      <c r="Q20" s="1538" t="str">
        <f>B20</f>
        <v>自然及人文环境</v>
      </c>
      <c r="R20" s="714" t="s">
        <v>17</v>
      </c>
      <c r="S20" s="715">
        <f>F20</f>
        <v>100</v>
      </c>
      <c r="T20" s="714" t="s">
        <v>17</v>
      </c>
      <c r="U20" s="715">
        <f>H20</f>
        <v>100</v>
      </c>
      <c r="V20" s="714" t="s">
        <v>17</v>
      </c>
      <c r="W20" s="715">
        <f>J20</f>
        <v>100</v>
      </c>
      <c r="X20" s="1541"/>
      <c r="Y20" s="342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1"/>
      <c r="M21" s="2945"/>
      <c r="N21" s="2945"/>
      <c r="O21" s="3003"/>
      <c r="P21" s="3421"/>
      <c r="Q21" s="1538"/>
      <c r="R21" s="714"/>
      <c r="S21" s="715"/>
      <c r="T21" s="714"/>
      <c r="U21" s="715"/>
      <c r="V21" s="714"/>
      <c r="W21" s="715"/>
      <c r="X21" s="1541"/>
      <c r="Y21" s="3421"/>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21"/>
      <c r="Q22" s="1538" t="str">
        <f>B22</f>
        <v>楼层</v>
      </c>
      <c r="R22" s="714" t="s">
        <v>17</v>
      </c>
      <c r="S22" s="715">
        <f>F22</f>
        <v>100</v>
      </c>
      <c r="T22" s="714" t="s">
        <v>17</v>
      </c>
      <c r="U22" s="715">
        <f>H22</f>
        <v>100</v>
      </c>
      <c r="V22" s="714" t="s">
        <v>17</v>
      </c>
      <c r="W22" s="715">
        <f>J22</f>
        <v>100</v>
      </c>
      <c r="X22" s="1541"/>
      <c r="Y22" s="342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21"/>
      <c r="Q23" s="1538">
        <f>B23</f>
        <v>111</v>
      </c>
      <c r="R23" s="714" t="s">
        <v>17</v>
      </c>
      <c r="S23" s="715">
        <f>F23</f>
        <v>100</v>
      </c>
      <c r="T23" s="714" t="s">
        <v>17</v>
      </c>
      <c r="U23" s="715">
        <f>H23</f>
        <v>100</v>
      </c>
      <c r="V23" s="714" t="s">
        <v>17</v>
      </c>
      <c r="W23" s="715">
        <f>J23</f>
        <v>100</v>
      </c>
      <c r="X23" s="1541"/>
      <c r="Y23" s="342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21"/>
      <c r="Q24" s="1538">
        <f t="shared" ref="Q24:Q34" si="11">B24</f>
        <v>111</v>
      </c>
      <c r="R24" s="714" t="s">
        <v>17</v>
      </c>
      <c r="S24" s="715">
        <f>F24</f>
        <v>100</v>
      </c>
      <c r="T24" s="714" t="s">
        <v>17</v>
      </c>
      <c r="U24" s="715">
        <f>H24</f>
        <v>100</v>
      </c>
      <c r="V24" s="714" t="s">
        <v>17</v>
      </c>
      <c r="W24" s="715">
        <f>J24</f>
        <v>100</v>
      </c>
      <c r="X24" s="1541"/>
      <c r="Y24" s="342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6"/>
      <c r="M25" s="2947"/>
      <c r="N25" s="2947"/>
      <c r="O25" s="3001"/>
      <c r="P25" s="3421"/>
      <c r="Q25" s="1529">
        <f t="shared" si="11"/>
        <v>111</v>
      </c>
      <c r="R25" s="710" t="s">
        <v>17</v>
      </c>
      <c r="S25" s="711">
        <f>F25</f>
        <v>100</v>
      </c>
      <c r="T25" s="710" t="s">
        <v>17</v>
      </c>
      <c r="U25" s="711">
        <f>H25</f>
        <v>100</v>
      </c>
      <c r="V25" s="710" t="s">
        <v>17</v>
      </c>
      <c r="W25" s="711">
        <f>J25</f>
        <v>100</v>
      </c>
      <c r="X25" s="712"/>
      <c r="Y25" s="3421"/>
      <c r="Z25" s="55">
        <f>Q25</f>
        <v>111</v>
      </c>
      <c r="AA25" s="1539">
        <f>D25/F25</f>
        <v>1</v>
      </c>
      <c r="AB25" s="1539">
        <f>D25/H25</f>
        <v>1</v>
      </c>
      <c r="AC25" s="1539">
        <f>D25/J25</f>
        <v>1</v>
      </c>
    </row>
    <row r="26" spans="1:29" ht="1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51"/>
      <c r="M26" s="2945"/>
      <c r="N26" s="2945"/>
      <c r="O26" s="3003"/>
      <c r="P26" s="3560"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425"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25"/>
      <c r="Q27" s="716" t="str">
        <f t="shared" si="11"/>
        <v>成新率</v>
      </c>
      <c r="R27" s="717" t="s">
        <v>17</v>
      </c>
      <c r="S27" s="718" t="e">
        <f t="shared" si="12"/>
        <v>#N/A</v>
      </c>
      <c r="T27" s="717" t="s">
        <v>17</v>
      </c>
      <c r="U27" s="718" t="e">
        <f t="shared" si="13"/>
        <v>#N/A</v>
      </c>
      <c r="V27" s="717" t="s">
        <v>17</v>
      </c>
      <c r="W27" s="718" t="e">
        <f t="shared" si="14"/>
        <v>#N/A</v>
      </c>
      <c r="X27" s="719"/>
      <c r="Y27" s="3425"/>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25"/>
      <c r="Q28" s="1538" t="str">
        <f t="shared" si="11"/>
        <v>物业等级</v>
      </c>
      <c r="R28" s="714" t="s">
        <v>17</v>
      </c>
      <c r="S28" s="715">
        <f t="shared" si="12"/>
        <v>100</v>
      </c>
      <c r="T28" s="714" t="s">
        <v>17</v>
      </c>
      <c r="U28" s="715">
        <f t="shared" si="13"/>
        <v>100</v>
      </c>
      <c r="V28" s="714" t="s">
        <v>17</v>
      </c>
      <c r="W28" s="715">
        <f t="shared" si="14"/>
        <v>100</v>
      </c>
      <c r="X28" s="1541"/>
      <c r="Y28" s="3425"/>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25"/>
      <c r="Q29" s="1538" t="str">
        <f t="shared" si="11"/>
        <v>有无电梯</v>
      </c>
      <c r="R29" s="714" t="s">
        <v>17</v>
      </c>
      <c r="S29" s="715">
        <f t="shared" si="12"/>
        <v>100</v>
      </c>
      <c r="T29" s="714" t="s">
        <v>17</v>
      </c>
      <c r="U29" s="715">
        <f t="shared" si="13"/>
        <v>100</v>
      </c>
      <c r="V29" s="714" t="s">
        <v>17</v>
      </c>
      <c r="W29" s="715">
        <f t="shared" si="14"/>
        <v>100</v>
      </c>
      <c r="X29" s="1541"/>
      <c r="Y29" s="3425"/>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25"/>
      <c r="Q30" s="1538" t="str">
        <f t="shared" si="11"/>
        <v>建筑面积</v>
      </c>
      <c r="R30" s="714" t="s">
        <v>17</v>
      </c>
      <c r="S30" s="715" t="e">
        <f t="shared" si="12"/>
        <v>#N/A</v>
      </c>
      <c r="T30" s="714" t="s">
        <v>17</v>
      </c>
      <c r="U30" s="715" t="e">
        <f t="shared" si="13"/>
        <v>#N/A</v>
      </c>
      <c r="V30" s="714" t="s">
        <v>17</v>
      </c>
      <c r="W30" s="715" t="e">
        <f t="shared" si="14"/>
        <v>#N/A</v>
      </c>
      <c r="X30" s="1541"/>
      <c r="Y30" s="3425"/>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25"/>
      <c r="Q31" s="1529" t="str">
        <f t="shared" si="11"/>
        <v>是否封闭</v>
      </c>
      <c r="R31" s="710" t="s">
        <v>17</v>
      </c>
      <c r="S31" s="711">
        <f t="shared" si="12"/>
        <v>100</v>
      </c>
      <c r="T31" s="710" t="s">
        <v>17</v>
      </c>
      <c r="U31" s="711">
        <f t="shared" si="13"/>
        <v>100</v>
      </c>
      <c r="V31" s="710" t="s">
        <v>17</v>
      </c>
      <c r="W31" s="711">
        <f t="shared" si="14"/>
        <v>100</v>
      </c>
      <c r="X31" s="712"/>
      <c r="Y31" s="342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25" t="s">
        <v>2386</v>
      </c>
      <c r="Q32" s="1538">
        <f t="shared" si="11"/>
        <v>111</v>
      </c>
      <c r="R32" s="714" t="s">
        <v>17</v>
      </c>
      <c r="S32" s="715">
        <f t="shared" si="12"/>
        <v>100</v>
      </c>
      <c r="T32" s="714" t="s">
        <v>17</v>
      </c>
      <c r="U32" s="715">
        <f t="shared" si="13"/>
        <v>100</v>
      </c>
      <c r="V32" s="714" t="s">
        <v>17</v>
      </c>
      <c r="W32" s="715">
        <f t="shared" si="14"/>
        <v>100</v>
      </c>
      <c r="X32" s="1541"/>
      <c r="Y32" s="3425"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25"/>
      <c r="Q33" s="1538">
        <f t="shared" si="11"/>
        <v>111</v>
      </c>
      <c r="R33" s="714" t="s">
        <v>17</v>
      </c>
      <c r="S33" s="715">
        <f t="shared" si="12"/>
        <v>100</v>
      </c>
      <c r="T33" s="714" t="s">
        <v>17</v>
      </c>
      <c r="U33" s="715">
        <f t="shared" si="13"/>
        <v>100</v>
      </c>
      <c r="V33" s="714" t="s">
        <v>17</v>
      </c>
      <c r="W33" s="715">
        <f t="shared" si="14"/>
        <v>100</v>
      </c>
      <c r="X33" s="1541"/>
      <c r="Y33" s="342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1"/>
      <c r="M34" s="2945"/>
      <c r="N34" s="2945"/>
      <c r="O34" s="3003"/>
      <c r="P34" s="3425"/>
      <c r="Q34" s="1538">
        <f t="shared" si="11"/>
        <v>111</v>
      </c>
      <c r="R34" s="714" t="s">
        <v>17</v>
      </c>
      <c r="S34" s="715">
        <f t="shared" si="12"/>
        <v>100</v>
      </c>
      <c r="T34" s="714" t="s">
        <v>17</v>
      </c>
      <c r="U34" s="715">
        <f t="shared" si="13"/>
        <v>100</v>
      </c>
      <c r="V34" s="714" t="s">
        <v>17</v>
      </c>
      <c r="W34" s="715">
        <f t="shared" si="14"/>
        <v>100</v>
      </c>
      <c r="X34" s="1541"/>
      <c r="Y34" s="3425"/>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3"/>
      <c r="M35" s="2954"/>
      <c r="N35" s="2945"/>
      <c r="O35" s="2954"/>
      <c r="P35" s="3413" t="str">
        <f>A35</f>
        <v>成交单价（元/平方米）</v>
      </c>
      <c r="Q35" s="3413"/>
      <c r="R35" s="3427">
        <f>E35</f>
        <v>0</v>
      </c>
      <c r="S35" s="3427"/>
      <c r="T35" s="3427">
        <f>G35</f>
        <v>0</v>
      </c>
      <c r="U35" s="3427"/>
      <c r="V35" s="3427">
        <f>I35</f>
        <v>0</v>
      </c>
      <c r="W35" s="3427"/>
      <c r="X35" s="699"/>
      <c r="Y35" s="721"/>
      <c r="Z35" s="699"/>
      <c r="AA35" s="699"/>
      <c r="AB35" s="699"/>
      <c r="AC35" s="699"/>
    </row>
    <row r="36" spans="1:30" ht="15.75" thickBot="1">
      <c r="A36" s="445" t="s">
        <v>2490</v>
      </c>
      <c r="B36" s="446"/>
      <c r="C36" s="1322" t="e">
        <f>R37</f>
        <v>#DIV/0!</v>
      </c>
      <c r="D36" s="2540" t="s">
        <v>2879</v>
      </c>
      <c r="E36" s="1323" t="e">
        <f>R36</f>
        <v>#DIV/0!</v>
      </c>
      <c r="F36" s="2541"/>
      <c r="G36" s="1322" t="e">
        <f>T36</f>
        <v>#DIV/0!</v>
      </c>
      <c r="H36" s="2541"/>
      <c r="I36" s="1323" t="e">
        <f>V36</f>
        <v>#DIV/0!</v>
      </c>
      <c r="J36" s="2541"/>
      <c r="K36" s="2543">
        <f>F36+H36+J36</f>
        <v>0</v>
      </c>
      <c r="L36" s="2953"/>
      <c r="M36" s="2954"/>
      <c r="N36" s="2945"/>
      <c r="O36" s="2954"/>
      <c r="P36" s="3413" t="str">
        <f>A36</f>
        <v>比较价值（元/平方米）</v>
      </c>
      <c r="Q36" s="3413"/>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544" t="str">
        <f>A37</f>
        <v>估价对象XX用房的比较价值（楼面单价，元/平方米）</v>
      </c>
      <c r="Q37" s="3545"/>
      <c r="R37" s="3561" t="e">
        <f>IF(F1="售价",ROUND(IF(D36="简单平均",AVERAGE(R36:W36),R36*F36+T36*H36+V36*J36),0),ROUND(IF(D36="简单平均",AVERAGE(R36:V36),R36*F36+T36*H36+V36*J36),1))</f>
        <v>#DIV/0!</v>
      </c>
      <c r="S37" s="3561"/>
      <c r="T37" s="3561"/>
      <c r="U37" s="3561"/>
      <c r="V37" s="3561"/>
      <c r="W37" s="3561"/>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2023-2</v>
      </c>
      <c r="D46" s="1347">
        <f>EDATE(C46,-1)</f>
        <v>44927</v>
      </c>
      <c r="E46" s="1347">
        <f t="shared" ref="E46:O46" si="16">EDATE(D46,-1)</f>
        <v>44896</v>
      </c>
      <c r="F46" s="1347">
        <f t="shared" si="16"/>
        <v>44866</v>
      </c>
      <c r="G46" s="1347">
        <f t="shared" si="16"/>
        <v>44835</v>
      </c>
      <c r="H46" s="1347">
        <f t="shared" si="16"/>
        <v>44805</v>
      </c>
      <c r="I46" s="1347">
        <f t="shared" si="16"/>
        <v>44774</v>
      </c>
      <c r="J46" s="1347">
        <f t="shared" si="16"/>
        <v>44743</v>
      </c>
      <c r="K46" s="1347">
        <f t="shared" si="16"/>
        <v>44713</v>
      </c>
      <c r="L46" s="1347">
        <f t="shared" si="16"/>
        <v>44682</v>
      </c>
      <c r="M46" s="1347">
        <f t="shared" si="16"/>
        <v>44652</v>
      </c>
      <c r="N46" s="1347">
        <f t="shared" si="16"/>
        <v>44621</v>
      </c>
      <c r="O46" s="1347">
        <f t="shared" si="16"/>
        <v>44593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9" priority="18" stopIfTrue="1" operator="containsText" text="超过">
      <formula>NOT(ISERROR(SEARCH("超过",F40)))</formula>
    </cfRule>
  </conditionalFormatting>
  <conditionalFormatting sqref="J42">
    <cfRule type="containsText" dxfId="98" priority="17" stopIfTrue="1" operator="containsText" text="超过">
      <formula>NOT(ISERROR(SEARCH("超过",J42)))</formula>
    </cfRule>
  </conditionalFormatting>
  <conditionalFormatting sqref="H42">
    <cfRule type="containsText" dxfId="97" priority="16" stopIfTrue="1" operator="containsText" text="超过">
      <formula>NOT(ISERROR(SEARCH("超过",H42)))</formula>
    </cfRule>
  </conditionalFormatting>
  <conditionalFormatting sqref="F42">
    <cfRule type="containsText" dxfId="96" priority="15" stopIfTrue="1" operator="containsText" text="超过">
      <formula>NOT(ISERROR(SEARCH("超过",F42)))</formula>
    </cfRule>
  </conditionalFormatting>
  <conditionalFormatting sqref="F41 H41 J41">
    <cfRule type="containsText" dxfId="95" priority="14" stopIfTrue="1" operator="containsText" text="超过">
      <formula>NOT(ISERROR(SEARCH("超过",F41)))</formula>
    </cfRule>
  </conditionalFormatting>
  <conditionalFormatting sqref="E40">
    <cfRule type="expression" dxfId="94" priority="13" stopIfTrue="1">
      <formula>$F$40="超过30%"</formula>
    </cfRule>
  </conditionalFormatting>
  <conditionalFormatting sqref="G42">
    <cfRule type="expression" dxfId="93" priority="12" stopIfTrue="1">
      <formula>$H$54+$H$42="超过30%"</formula>
    </cfRule>
  </conditionalFormatting>
  <conditionalFormatting sqref="E41">
    <cfRule type="expression" dxfId="92" priority="11" stopIfTrue="1">
      <formula>$F$41="超过20%"</formula>
    </cfRule>
  </conditionalFormatting>
  <conditionalFormatting sqref="E42">
    <cfRule type="expression" dxfId="91" priority="10" stopIfTrue="1">
      <formula>$F$42="超过30%"</formula>
    </cfRule>
  </conditionalFormatting>
  <conditionalFormatting sqref="G40">
    <cfRule type="expression" dxfId="90" priority="9" stopIfTrue="1">
      <formula>$H$52+$H$40="超过30%"</formula>
    </cfRule>
  </conditionalFormatting>
  <conditionalFormatting sqref="G41">
    <cfRule type="expression" dxfId="89" priority="8" stopIfTrue="1">
      <formula>$H$53+$H$41="超过20%"</formula>
    </cfRule>
  </conditionalFormatting>
  <conditionalFormatting sqref="I40">
    <cfRule type="expression" dxfId="88" priority="7" stopIfTrue="1">
      <formula>$J$40="超过30%"</formula>
    </cfRule>
  </conditionalFormatting>
  <conditionalFormatting sqref="I41">
    <cfRule type="expression" dxfId="87" priority="6" stopIfTrue="1">
      <formula>$J$41="超过20%"</formula>
    </cfRule>
  </conditionalFormatting>
  <conditionalFormatting sqref="I42">
    <cfRule type="expression" dxfId="86" priority="5" stopIfTrue="1">
      <formula>$J$42="超过30%"</formula>
    </cfRule>
  </conditionalFormatting>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F7:F34 H7:H34 J7:J34">
    <cfRule type="cellIs" dxfId="8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431" t="s">
        <v>2467</v>
      </c>
      <c r="D4" s="3432"/>
      <c r="E4" s="3433" t="s">
        <v>2468</v>
      </c>
      <c r="F4" s="3434"/>
      <c r="G4" s="3431" t="s">
        <v>2469</v>
      </c>
      <c r="H4" s="3432"/>
      <c r="I4" s="3431" t="s">
        <v>2470</v>
      </c>
      <c r="J4" s="3432"/>
      <c r="K4" s="567" t="s">
        <v>2471</v>
      </c>
      <c r="L4" s="2944"/>
      <c r="M4" s="2945"/>
      <c r="N4" s="2945"/>
      <c r="O4" s="2945"/>
      <c r="P4" s="3548" t="s">
        <v>2472</v>
      </c>
      <c r="Q4" s="3549"/>
      <c r="R4" s="3552" t="s">
        <v>2468</v>
      </c>
      <c r="S4" s="3553"/>
      <c r="T4" s="3552" t="s">
        <v>2469</v>
      </c>
      <c r="U4" s="3553"/>
      <c r="V4" s="3448" t="s">
        <v>2470</v>
      </c>
      <c r="W4" s="3448"/>
      <c r="X4" s="1541"/>
      <c r="Y4" s="3552" t="s">
        <v>2472</v>
      </c>
      <c r="Z4" s="3553"/>
      <c r="AA4" s="3547" t="s">
        <v>2468</v>
      </c>
      <c r="AB4" s="3460" t="s">
        <v>2469</v>
      </c>
      <c r="AC4" s="3547" t="s">
        <v>2470</v>
      </c>
    </row>
    <row r="5" spans="1:30" ht="15">
      <c r="A5" s="364"/>
      <c r="B5" s="365"/>
      <c r="C5" s="3556" t="s">
        <v>2363</v>
      </c>
      <c r="D5" s="3557"/>
      <c r="E5" s="3559" t="s">
        <v>2364</v>
      </c>
      <c r="F5" s="3456"/>
      <c r="G5" s="3556" t="s">
        <v>2365</v>
      </c>
      <c r="H5" s="3557"/>
      <c r="I5" s="3556" t="s">
        <v>2366</v>
      </c>
      <c r="J5" s="3557"/>
      <c r="K5" s="567"/>
      <c r="L5" s="2944"/>
      <c r="M5" s="2945"/>
      <c r="N5" s="2945"/>
      <c r="O5" s="2945"/>
      <c r="P5" s="3550"/>
      <c r="Q5" s="3438"/>
      <c r="R5" s="3443"/>
      <c r="S5" s="3444"/>
      <c r="T5" s="3443"/>
      <c r="U5" s="3444"/>
      <c r="V5" s="3448"/>
      <c r="W5" s="3448"/>
      <c r="X5" s="1541"/>
      <c r="Y5" s="3443"/>
      <c r="Z5" s="3444"/>
      <c r="AA5" s="3460"/>
      <c r="AB5" s="3460"/>
      <c r="AC5" s="3460"/>
    </row>
    <row r="6" spans="1:30" ht="15.75" thickBot="1">
      <c r="A6" s="366"/>
      <c r="B6" s="367"/>
      <c r="C6" s="3554" t="s">
        <v>2367</v>
      </c>
      <c r="D6" s="3555"/>
      <c r="E6" s="3558" t="s">
        <v>2367</v>
      </c>
      <c r="F6" s="3458"/>
      <c r="G6" s="3554" t="s">
        <v>2367</v>
      </c>
      <c r="H6" s="3555"/>
      <c r="I6" s="3554" t="s">
        <v>2367</v>
      </c>
      <c r="J6" s="3555"/>
      <c r="K6" s="567" t="s">
        <v>2368</v>
      </c>
      <c r="L6" s="2944"/>
      <c r="M6" s="2945"/>
      <c r="N6" s="2945"/>
      <c r="O6" s="2945"/>
      <c r="P6" s="3551"/>
      <c r="Q6" s="3440"/>
      <c r="R6" s="3443"/>
      <c r="S6" s="3444"/>
      <c r="T6" s="3445"/>
      <c r="U6" s="3446"/>
      <c r="V6" s="3448"/>
      <c r="W6" s="3448"/>
      <c r="X6" s="1541"/>
      <c r="Y6" s="3445"/>
      <c r="Z6" s="3446"/>
      <c r="AA6" s="3461"/>
      <c r="AB6" s="3461"/>
      <c r="AC6" s="3461"/>
    </row>
    <row r="7" spans="1:30" s="113" customFormat="1" ht="15.75" thickBot="1">
      <c r="A7" s="368" t="s">
        <v>2369</v>
      </c>
      <c r="B7" s="369"/>
      <c r="C7" s="370">
        <f>'数据-取费表'!B2</f>
        <v>44959</v>
      </c>
      <c r="D7" s="371">
        <v>100</v>
      </c>
      <c r="E7" s="372"/>
      <c r="F7" s="373">
        <f>SUMIF(70:70,YEAR(E7)&amp;"-"&amp;INT((MONTH(E7)+2)/3),71:71)</f>
        <v>0</v>
      </c>
      <c r="G7" s="2162"/>
      <c r="H7" s="371">
        <f>SUMIF(70:70,YEAR(G7)&amp;"-"&amp;INT((MONTH(G7)+2)/3),71:71)</f>
        <v>0</v>
      </c>
      <c r="I7" s="2162"/>
      <c r="J7" s="371">
        <f>SUMIF(70:70,YEAR(I7)&amp;"-"&amp;INT((MONTH(I7)+2)/3),71:71)</f>
        <v>0</v>
      </c>
      <c r="K7" s="568"/>
      <c r="L7" s="2946"/>
      <c r="M7" s="2947"/>
      <c r="N7" s="2947"/>
      <c r="O7" s="2947"/>
      <c r="P7" s="3453" t="s">
        <v>2370</v>
      </c>
      <c r="Q7" s="3454"/>
      <c r="R7" s="710" t="s">
        <v>17</v>
      </c>
      <c r="S7" s="711">
        <f t="shared" ref="S7:S15" si="0">F7</f>
        <v>0</v>
      </c>
      <c r="T7" s="710" t="s">
        <v>17</v>
      </c>
      <c r="U7" s="711">
        <f t="shared" ref="U7:U15" si="1">H7</f>
        <v>0</v>
      </c>
      <c r="V7" s="710" t="s">
        <v>17</v>
      </c>
      <c r="W7" s="711">
        <f t="shared" ref="W7:W15" si="2">J7</f>
        <v>0</v>
      </c>
      <c r="X7" s="712"/>
      <c r="Y7" s="3453" t="s">
        <v>2370</v>
      </c>
      <c r="Z7" s="345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453" t="s">
        <v>2373</v>
      </c>
      <c r="Q8" s="3452"/>
      <c r="R8" s="710" t="s">
        <v>17</v>
      </c>
      <c r="S8" s="711">
        <f t="shared" si="0"/>
        <v>0</v>
      </c>
      <c r="T8" s="710" t="s">
        <v>17</v>
      </c>
      <c r="U8" s="711">
        <f t="shared" si="1"/>
        <v>0</v>
      </c>
      <c r="V8" s="710" t="s">
        <v>17</v>
      </c>
      <c r="W8" s="711">
        <f t="shared" si="2"/>
        <v>0</v>
      </c>
      <c r="X8" s="712"/>
      <c r="Y8" s="3453" t="s">
        <v>2373</v>
      </c>
      <c r="Z8" s="3452"/>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6"/>
      <c r="M9" s="2947"/>
      <c r="N9" s="2947"/>
      <c r="O9" s="3001"/>
      <c r="P9" s="3413"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t="e">
        <f>ROUND(100/'数据-取费表'!G16,0)</f>
        <v>#DIV/0!</v>
      </c>
      <c r="G10" s="422"/>
      <c r="H10" s="132" t="e">
        <f>ROUND(100/'数据-取费表'!G16,0)</f>
        <v>#DIV/0!</v>
      </c>
      <c r="I10" s="422"/>
      <c r="J10" s="132" t="e">
        <f>ROUND(100/'数据-取费表'!G16,0)</f>
        <v>#DIV/0!</v>
      </c>
      <c r="K10" s="628"/>
      <c r="L10" s="2948"/>
      <c r="M10" s="2949"/>
      <c r="N10" s="2949"/>
      <c r="O10" s="3002"/>
      <c r="P10" s="3413"/>
      <c r="Q10" s="1529" t="str">
        <f t="shared" si="6"/>
        <v>土地使用年限（年）</v>
      </c>
      <c r="R10" s="710" t="s">
        <v>17</v>
      </c>
      <c r="S10" s="711" t="e">
        <f t="shared" si="0"/>
        <v>#DIV/0!</v>
      </c>
      <c r="T10" s="710" t="s">
        <v>17</v>
      </c>
      <c r="U10" s="711" t="e">
        <f t="shared" si="1"/>
        <v>#DIV/0!</v>
      </c>
      <c r="V10" s="710" t="s">
        <v>17</v>
      </c>
      <c r="W10" s="711" t="e">
        <f t="shared" si="2"/>
        <v>#DIV/0!</v>
      </c>
      <c r="X10" s="712"/>
      <c r="Y10" s="3313"/>
      <c r="Z10" s="55" t="str">
        <f t="shared" si="7"/>
        <v>土地使用年限（年）</v>
      </c>
      <c r="AA10" s="713" t="e">
        <f t="shared" si="3"/>
        <v>#DIV/0!</v>
      </c>
      <c r="AB10" s="713" t="e">
        <f t="shared" si="4"/>
        <v>#DIV/0!</v>
      </c>
      <c r="AC10" s="713" t="e">
        <f t="shared" si="5"/>
        <v>#DIV/0!</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413"/>
      <c r="Q11" s="1529"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13"/>
      <c r="Q12" s="1529" t="str">
        <f t="shared" si="6"/>
        <v>配建</v>
      </c>
      <c r="R12" s="710" t="s">
        <v>17</v>
      </c>
      <c r="S12" s="711">
        <f t="shared" si="0"/>
        <v>100</v>
      </c>
      <c r="T12" s="710" t="s">
        <v>17</v>
      </c>
      <c r="U12" s="711">
        <f t="shared" si="1"/>
        <v>100</v>
      </c>
      <c r="V12" s="710" t="s">
        <v>17</v>
      </c>
      <c r="W12" s="711">
        <f t="shared" si="2"/>
        <v>100</v>
      </c>
      <c r="X12" s="712"/>
      <c r="Y12" s="3313"/>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13"/>
      <c r="Q13" s="1529">
        <f t="shared" si="6"/>
        <v>111</v>
      </c>
      <c r="R13" s="710" t="s">
        <v>17</v>
      </c>
      <c r="S13" s="711">
        <f t="shared" si="0"/>
        <v>100</v>
      </c>
      <c r="T13" s="710" t="s">
        <v>17</v>
      </c>
      <c r="U13" s="711">
        <f t="shared" si="1"/>
        <v>100</v>
      </c>
      <c r="V13" s="710" t="s">
        <v>17</v>
      </c>
      <c r="W13" s="711">
        <f t="shared" si="2"/>
        <v>100</v>
      </c>
      <c r="X13" s="712"/>
      <c r="Y13" s="3313"/>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13"/>
      <c r="Q14" s="1529">
        <f t="shared" si="6"/>
        <v>111</v>
      </c>
      <c r="R14" s="710" t="s">
        <v>17</v>
      </c>
      <c r="S14" s="711">
        <f t="shared" si="0"/>
        <v>100</v>
      </c>
      <c r="T14" s="710" t="s">
        <v>17</v>
      </c>
      <c r="U14" s="711">
        <f t="shared" si="1"/>
        <v>100</v>
      </c>
      <c r="V14" s="710" t="s">
        <v>17</v>
      </c>
      <c r="W14" s="711">
        <f t="shared" si="2"/>
        <v>100</v>
      </c>
      <c r="X14" s="712"/>
      <c r="Y14" s="3313"/>
      <c r="Z14" s="55">
        <f t="shared" si="7"/>
        <v>111</v>
      </c>
      <c r="AA14" s="713">
        <f>D14/F14</f>
        <v>1</v>
      </c>
      <c r="AB14" s="713">
        <f>D14/H14</f>
        <v>1</v>
      </c>
      <c r="AC14" s="713">
        <f>D14/J14</f>
        <v>1</v>
      </c>
    </row>
    <row r="15" spans="1:30" ht="99.75">
      <c r="A15" s="399" t="s">
        <v>2380</v>
      </c>
      <c r="B15" s="65" t="s">
        <v>1943</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20" t="s">
        <v>2381</v>
      </c>
      <c r="Q15" s="1538" t="str">
        <f t="shared" si="6"/>
        <v>居住社区成熟度</v>
      </c>
      <c r="R15" s="714" t="s">
        <v>17</v>
      </c>
      <c r="S15" s="715">
        <f t="shared" si="0"/>
        <v>100</v>
      </c>
      <c r="T15" s="714" t="s">
        <v>17</v>
      </c>
      <c r="U15" s="715">
        <f t="shared" si="1"/>
        <v>100</v>
      </c>
      <c r="V15" s="714" t="s">
        <v>17</v>
      </c>
      <c r="W15" s="715">
        <f t="shared" si="2"/>
        <v>100</v>
      </c>
      <c r="X15" s="1541"/>
      <c r="Y15" s="3420"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1"/>
      <c r="M16" s="2945"/>
      <c r="N16" s="2945"/>
      <c r="O16" s="3003"/>
      <c r="P16" s="3421"/>
      <c r="Q16" s="1538"/>
      <c r="R16" s="714"/>
      <c r="S16" s="715"/>
      <c r="T16" s="714"/>
      <c r="U16" s="715"/>
      <c r="V16" s="714"/>
      <c r="W16" s="715"/>
      <c r="X16" s="1541"/>
      <c r="Y16" s="3421"/>
      <c r="Z16" s="1542"/>
      <c r="AA16" s="1539">
        <v>1</v>
      </c>
      <c r="AB16" s="1539">
        <v>1</v>
      </c>
      <c r="AC16" s="1539">
        <v>1</v>
      </c>
    </row>
    <row r="17" spans="1:29" ht="71.25">
      <c r="A17" s="387"/>
      <c r="B17" s="410" t="s">
        <v>2474</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421"/>
      <c r="Q17" s="1538" t="str">
        <f>B17</f>
        <v>商业繁华度</v>
      </c>
      <c r="R17" s="714" t="s">
        <v>17</v>
      </c>
      <c r="S17" s="715">
        <f>F17</f>
        <v>100</v>
      </c>
      <c r="T17" s="714" t="s">
        <v>17</v>
      </c>
      <c r="U17" s="715">
        <f>H17</f>
        <v>100</v>
      </c>
      <c r="V17" s="714" t="s">
        <v>17</v>
      </c>
      <c r="W17" s="715">
        <f>J17</f>
        <v>100</v>
      </c>
      <c r="X17" s="1541"/>
      <c r="Y17" s="342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1"/>
      <c r="M18" s="2945"/>
      <c r="N18" s="2945"/>
      <c r="O18" s="3003"/>
      <c r="P18" s="3421"/>
      <c r="Q18" s="1538"/>
      <c r="R18" s="714"/>
      <c r="S18" s="715"/>
      <c r="T18" s="714"/>
      <c r="U18" s="715"/>
      <c r="V18" s="714"/>
      <c r="W18" s="715"/>
      <c r="X18" s="1541"/>
      <c r="Y18" s="3421"/>
      <c r="Z18" s="1542"/>
      <c r="AA18" s="1539">
        <v>1</v>
      </c>
      <c r="AB18" s="1539">
        <v>1</v>
      </c>
      <c r="AC18" s="1539">
        <v>1</v>
      </c>
    </row>
    <row r="19" spans="1:29" ht="71.25">
      <c r="A19" s="387"/>
      <c r="B19" s="410" t="s">
        <v>2508</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21"/>
      <c r="Q19" s="1538" t="str">
        <f>B19</f>
        <v>办公集聚程度</v>
      </c>
      <c r="R19" s="714" t="s">
        <v>17</v>
      </c>
      <c r="S19" s="715">
        <f>F19</f>
        <v>100</v>
      </c>
      <c r="T19" s="714" t="s">
        <v>17</v>
      </c>
      <c r="U19" s="715">
        <f>H19</f>
        <v>100</v>
      </c>
      <c r="V19" s="714" t="s">
        <v>17</v>
      </c>
      <c r="W19" s="715">
        <f>J19</f>
        <v>100</v>
      </c>
      <c r="X19" s="1541"/>
      <c r="Y19" s="342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1"/>
      <c r="M20" s="2945"/>
      <c r="N20" s="2945"/>
      <c r="O20" s="3003"/>
      <c r="P20" s="3421"/>
      <c r="Q20" s="1538"/>
      <c r="R20" s="714"/>
      <c r="S20" s="715"/>
      <c r="T20" s="714"/>
      <c r="U20" s="715"/>
      <c r="V20" s="714"/>
      <c r="W20" s="715"/>
      <c r="X20" s="1541"/>
      <c r="Y20" s="3421"/>
      <c r="Z20" s="1542"/>
      <c r="AA20" s="1539">
        <v>1</v>
      </c>
      <c r="AB20" s="1539">
        <v>1</v>
      </c>
      <c r="AC20" s="1539">
        <v>1</v>
      </c>
    </row>
    <row r="21" spans="1:29" ht="85.5">
      <c r="A21" s="387"/>
      <c r="B21" s="410" t="s">
        <v>2530</v>
      </c>
      <c r="C21" s="2088" t="str">
        <f>估价对象房地状况!C18</f>
        <v>好-估价对象临近城市主干道—安定路，临近地铁10号线（安贞门站）有18路、108路、124路、380路、387路等10余条公交线路</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421"/>
      <c r="Q21" s="1538" t="str">
        <f>B21</f>
        <v>交通便捷度</v>
      </c>
      <c r="R21" s="714" t="s">
        <v>17</v>
      </c>
      <c r="S21" s="715">
        <f>F21</f>
        <v>100</v>
      </c>
      <c r="T21" s="714" t="s">
        <v>17</v>
      </c>
      <c r="U21" s="715">
        <f>H21</f>
        <v>100</v>
      </c>
      <c r="V21" s="714" t="s">
        <v>17</v>
      </c>
      <c r="W21" s="715">
        <f>J21</f>
        <v>100</v>
      </c>
      <c r="X21" s="1541"/>
      <c r="Y21" s="342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1"/>
      <c r="M22" s="2945"/>
      <c r="N22" s="2945"/>
      <c r="O22" s="3003"/>
      <c r="P22" s="3421"/>
      <c r="Q22" s="1538"/>
      <c r="R22" s="714"/>
      <c r="S22" s="715"/>
      <c r="T22" s="714"/>
      <c r="U22" s="715"/>
      <c r="V22" s="714"/>
      <c r="W22" s="715"/>
      <c r="X22" s="1541"/>
      <c r="Y22" s="3421"/>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21"/>
      <c r="Q23" s="1538" t="str">
        <f t="shared" ref="Q23:Q37" si="8">B23</f>
        <v>区域土地利用方向</v>
      </c>
      <c r="R23" s="714" t="s">
        <v>17</v>
      </c>
      <c r="S23" s="715">
        <f>F23</f>
        <v>100</v>
      </c>
      <c r="T23" s="714" t="s">
        <v>17</v>
      </c>
      <c r="U23" s="715">
        <f>H23</f>
        <v>100</v>
      </c>
      <c r="V23" s="714" t="s">
        <v>17</v>
      </c>
      <c r="W23" s="715">
        <f>J23</f>
        <v>100</v>
      </c>
      <c r="X23" s="1541"/>
      <c r="Y23" s="342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1"/>
      <c r="M24" s="2945"/>
      <c r="N24" s="2945"/>
      <c r="O24" s="3003"/>
      <c r="P24" s="3421"/>
      <c r="Q24" s="1538"/>
      <c r="R24" s="714"/>
      <c r="S24" s="715"/>
      <c r="T24" s="714"/>
      <c r="U24" s="715"/>
      <c r="V24" s="714"/>
      <c r="W24" s="715"/>
      <c r="X24" s="1541"/>
      <c r="Y24" s="3421"/>
      <c r="Z24" s="1542"/>
      <c r="AA24" s="1539"/>
      <c r="AB24" s="1539"/>
      <c r="AC24" s="1539"/>
    </row>
    <row r="25" spans="1:29" ht="57">
      <c r="A25" s="364"/>
      <c r="B25" s="1293" t="s">
        <v>2570</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421"/>
      <c r="Q25" s="1538" t="str">
        <f t="shared" si="8"/>
        <v>自然及人文环境状况</v>
      </c>
      <c r="R25" s="714" t="s">
        <v>17</v>
      </c>
      <c r="S25" s="715">
        <f>F25</f>
        <v>100</v>
      </c>
      <c r="T25" s="714" t="s">
        <v>17</v>
      </c>
      <c r="U25" s="715">
        <f>H25</f>
        <v>100</v>
      </c>
      <c r="V25" s="714" t="s">
        <v>17</v>
      </c>
      <c r="W25" s="715">
        <f>J25</f>
        <v>100</v>
      </c>
      <c r="X25" s="1541"/>
      <c r="Y25" s="342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1"/>
      <c r="M26" s="2945"/>
      <c r="N26" s="2945"/>
      <c r="O26" s="3003"/>
      <c r="P26" s="3421"/>
      <c r="Q26" s="1538"/>
      <c r="R26" s="714"/>
      <c r="S26" s="715"/>
      <c r="T26" s="714"/>
      <c r="U26" s="715"/>
      <c r="V26" s="714"/>
      <c r="W26" s="715"/>
      <c r="X26" s="1541"/>
      <c r="Y26" s="3421"/>
      <c r="Z26" s="1542"/>
      <c r="AA26" s="1539">
        <v>1</v>
      </c>
      <c r="AB26" s="1539">
        <v>1</v>
      </c>
      <c r="AC26" s="1539">
        <v>1</v>
      </c>
    </row>
    <row r="27" spans="1:29" s="113" customFormat="1" ht="42.75">
      <c r="A27" s="605"/>
      <c r="B27" s="1293" t="s">
        <v>2475</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421"/>
      <c r="Q27" s="1529" t="str">
        <f t="shared" si="8"/>
        <v>公共配套设施</v>
      </c>
      <c r="R27" s="710" t="s">
        <v>17</v>
      </c>
      <c r="S27" s="711">
        <f>F27</f>
        <v>100</v>
      </c>
      <c r="T27" s="710" t="s">
        <v>17</v>
      </c>
      <c r="U27" s="711">
        <f>H27</f>
        <v>100</v>
      </c>
      <c r="V27" s="710" t="s">
        <v>17</v>
      </c>
      <c r="W27" s="711">
        <f>J27</f>
        <v>100</v>
      </c>
      <c r="X27" s="712"/>
      <c r="Y27" s="342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6"/>
      <c r="M28" s="2947"/>
      <c r="N28" s="2947"/>
      <c r="O28" s="3001"/>
      <c r="P28" s="3421"/>
      <c r="Q28" s="1529"/>
      <c r="R28" s="710"/>
      <c r="S28" s="711"/>
      <c r="T28" s="710"/>
      <c r="U28" s="711"/>
      <c r="V28" s="710"/>
      <c r="W28" s="711"/>
      <c r="X28" s="712"/>
      <c r="Y28" s="3421"/>
      <c r="Z28" s="55"/>
      <c r="AA28" s="1539">
        <v>1</v>
      </c>
      <c r="AB28" s="1539">
        <v>1</v>
      </c>
      <c r="AC28" s="1539">
        <v>1</v>
      </c>
    </row>
    <row r="29" spans="1:29" s="113" customFormat="1" ht="28.5">
      <c r="A29" s="605"/>
      <c r="B29" s="1293" t="s">
        <v>2476</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421"/>
      <c r="Q29" s="1529" t="str">
        <f t="shared" ref="Q29" si="9">B29</f>
        <v>基础设施水平</v>
      </c>
      <c r="R29" s="710" t="s">
        <v>17</v>
      </c>
      <c r="S29" s="711">
        <f>F29</f>
        <v>100</v>
      </c>
      <c r="T29" s="710" t="s">
        <v>17</v>
      </c>
      <c r="U29" s="711">
        <f>H29</f>
        <v>100</v>
      </c>
      <c r="V29" s="710" t="s">
        <v>17</v>
      </c>
      <c r="W29" s="711">
        <f>J29</f>
        <v>100</v>
      </c>
      <c r="X29" s="712"/>
      <c r="Y29" s="342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6"/>
      <c r="M30" s="2947"/>
      <c r="N30" s="2947"/>
      <c r="O30" s="3001"/>
      <c r="P30" s="3421"/>
      <c r="Q30" s="1529"/>
      <c r="R30" s="710"/>
      <c r="S30" s="711"/>
      <c r="T30" s="710"/>
      <c r="U30" s="711"/>
      <c r="V30" s="710"/>
      <c r="W30" s="711"/>
      <c r="X30" s="712"/>
      <c r="Y30" s="3421"/>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2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421"/>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21"/>
      <c r="Q32" s="1538" t="str">
        <f t="shared" si="8"/>
        <v>毗邻道路的类型与等级</v>
      </c>
      <c r="R32" s="714" t="s">
        <v>17</v>
      </c>
      <c r="S32" s="715">
        <f t="shared" si="10"/>
        <v>100</v>
      </c>
      <c r="T32" s="714" t="s">
        <v>17</v>
      </c>
      <c r="U32" s="715">
        <f t="shared" si="11"/>
        <v>100</v>
      </c>
      <c r="V32" s="714" t="s">
        <v>17</v>
      </c>
      <c r="W32" s="715">
        <f t="shared" si="12"/>
        <v>100</v>
      </c>
      <c r="X32" s="1541"/>
      <c r="Y32" s="342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1"/>
      <c r="M33" s="2945"/>
      <c r="N33" s="2945"/>
      <c r="O33" s="3003"/>
      <c r="P33" s="3421"/>
      <c r="Q33" s="1538"/>
      <c r="R33" s="714"/>
      <c r="S33" s="715"/>
      <c r="T33" s="714"/>
      <c r="U33" s="715"/>
      <c r="V33" s="714"/>
      <c r="W33" s="715"/>
      <c r="X33" s="1541"/>
      <c r="Y33" s="3421"/>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21"/>
      <c r="Q34" s="1538" t="str">
        <f t="shared" si="8"/>
        <v>土地级别</v>
      </c>
      <c r="R34" s="714" t="s">
        <v>17</v>
      </c>
      <c r="S34" s="715">
        <f t="shared" si="10"/>
        <v>100</v>
      </c>
      <c r="T34" s="714" t="s">
        <v>17</v>
      </c>
      <c r="U34" s="715">
        <f t="shared" si="11"/>
        <v>100</v>
      </c>
      <c r="V34" s="714" t="s">
        <v>17</v>
      </c>
      <c r="W34" s="715">
        <f t="shared" si="12"/>
        <v>100</v>
      </c>
      <c r="X34" s="1541"/>
      <c r="Y34" s="342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21"/>
      <c r="Q35" s="1538">
        <f t="shared" si="8"/>
        <v>111</v>
      </c>
      <c r="R35" s="714" t="s">
        <v>17</v>
      </c>
      <c r="S35" s="715">
        <f t="shared" si="10"/>
        <v>100</v>
      </c>
      <c r="T35" s="714" t="s">
        <v>17</v>
      </c>
      <c r="U35" s="715">
        <f t="shared" si="11"/>
        <v>100</v>
      </c>
      <c r="V35" s="714" t="s">
        <v>17</v>
      </c>
      <c r="W35" s="715">
        <f t="shared" si="12"/>
        <v>100</v>
      </c>
      <c r="X35" s="1541"/>
      <c r="Y35" s="342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560" t="s">
        <v>2386</v>
      </c>
      <c r="Q36" s="1538">
        <f t="shared" si="8"/>
        <v>111</v>
      </c>
      <c r="R36" s="714" t="s">
        <v>17</v>
      </c>
      <c r="S36" s="715">
        <f t="shared" si="10"/>
        <v>100</v>
      </c>
      <c r="T36" s="714" t="s">
        <v>17</v>
      </c>
      <c r="U36" s="715">
        <f t="shared" si="11"/>
        <v>100</v>
      </c>
      <c r="V36" s="714" t="s">
        <v>17</v>
      </c>
      <c r="W36" s="715">
        <f t="shared" si="12"/>
        <v>100</v>
      </c>
      <c r="X36" s="1541"/>
      <c r="Y36" s="3425"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25"/>
      <c r="Q37" s="1538">
        <f t="shared" si="8"/>
        <v>111</v>
      </c>
      <c r="R37" s="717" t="s">
        <v>17</v>
      </c>
      <c r="S37" s="718">
        <f t="shared" si="10"/>
        <v>100</v>
      </c>
      <c r="T37" s="717" t="s">
        <v>17</v>
      </c>
      <c r="U37" s="718">
        <f t="shared" si="11"/>
        <v>100</v>
      </c>
      <c r="V37" s="717" t="s">
        <v>17</v>
      </c>
      <c r="W37" s="718">
        <f t="shared" si="12"/>
        <v>100</v>
      </c>
      <c r="X37" s="719"/>
      <c r="Y37" s="3425"/>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425"/>
      <c r="Q38" s="1538" t="str">
        <f>B38</f>
        <v>宗地面积</v>
      </c>
      <c r="R38" s="714" t="s">
        <v>17</v>
      </c>
      <c r="S38" s="715" t="e">
        <f t="shared" si="10"/>
        <v>#N/A</v>
      </c>
      <c r="T38" s="714" t="s">
        <v>17</v>
      </c>
      <c r="U38" s="715" t="e">
        <f t="shared" si="11"/>
        <v>#N/A</v>
      </c>
      <c r="V38" s="714" t="s">
        <v>17</v>
      </c>
      <c r="W38" s="715" t="e">
        <f t="shared" si="12"/>
        <v>#N/A</v>
      </c>
      <c r="X38" s="1541"/>
      <c r="Y38" s="3425"/>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1"/>
      <c r="M39" s="2945"/>
      <c r="N39" s="2945"/>
      <c r="O39" s="3003"/>
      <c r="P39" s="3425"/>
      <c r="Q39" s="1538" t="str">
        <f t="shared" ref="Q39:Q45" si="14">B39</f>
        <v>宗地形状</v>
      </c>
      <c r="R39" s="714" t="s">
        <v>17</v>
      </c>
      <c r="S39" s="715">
        <f t="shared" si="10"/>
        <v>100</v>
      </c>
      <c r="T39" s="714" t="s">
        <v>17</v>
      </c>
      <c r="U39" s="715">
        <f t="shared" si="11"/>
        <v>100</v>
      </c>
      <c r="V39" s="714" t="s">
        <v>17</v>
      </c>
      <c r="W39" s="715">
        <f t="shared" si="12"/>
        <v>100</v>
      </c>
      <c r="X39" s="1541"/>
      <c r="Y39" s="3425"/>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1"/>
      <c r="M40" s="2945"/>
      <c r="N40" s="2945"/>
      <c r="O40" s="3003"/>
      <c r="P40" s="3425"/>
      <c r="Q40" s="1538" t="str">
        <f t="shared" si="14"/>
        <v>临街宽度及深度</v>
      </c>
      <c r="R40" s="714" t="s">
        <v>17</v>
      </c>
      <c r="S40" s="715">
        <f t="shared" si="10"/>
        <v>100</v>
      </c>
      <c r="T40" s="714" t="s">
        <v>17</v>
      </c>
      <c r="U40" s="715">
        <f t="shared" si="11"/>
        <v>100</v>
      </c>
      <c r="V40" s="714" t="s">
        <v>17</v>
      </c>
      <c r="W40" s="715">
        <f t="shared" si="12"/>
        <v>100</v>
      </c>
      <c r="X40" s="1541"/>
      <c r="Y40" s="3425"/>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6"/>
      <c r="M41" s="2947"/>
      <c r="N41" s="2947"/>
      <c r="O41" s="3001"/>
      <c r="P41" s="3425"/>
      <c r="Q41" s="1538" t="str">
        <f t="shared" si="14"/>
        <v>宗地开发程度</v>
      </c>
      <c r="R41" s="710" t="s">
        <v>17</v>
      </c>
      <c r="S41" s="711">
        <f t="shared" si="10"/>
        <v>100</v>
      </c>
      <c r="T41" s="710" t="s">
        <v>17</v>
      </c>
      <c r="U41" s="711">
        <f t="shared" si="11"/>
        <v>100</v>
      </c>
      <c r="V41" s="710" t="s">
        <v>17</v>
      </c>
      <c r="W41" s="711">
        <f t="shared" si="12"/>
        <v>100</v>
      </c>
      <c r="X41" s="712"/>
      <c r="Y41" s="3425"/>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1"/>
      <c r="M42" s="2945"/>
      <c r="N42" s="2945"/>
      <c r="O42" s="3003"/>
      <c r="P42" s="3425" t="s">
        <v>2386</v>
      </c>
      <c r="Q42" s="1538" t="str">
        <f t="shared" si="14"/>
        <v>工程地质条件</v>
      </c>
      <c r="R42" s="714" t="s">
        <v>17</v>
      </c>
      <c r="S42" s="715">
        <f t="shared" si="10"/>
        <v>100</v>
      </c>
      <c r="T42" s="714" t="s">
        <v>17</v>
      </c>
      <c r="U42" s="715">
        <f t="shared" si="11"/>
        <v>100</v>
      </c>
      <c r="V42" s="714" t="s">
        <v>17</v>
      </c>
      <c r="W42" s="715">
        <f t="shared" si="12"/>
        <v>100</v>
      </c>
      <c r="X42" s="1541"/>
      <c r="Y42" s="3425"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25"/>
      <c r="Q43" s="1538">
        <f t="shared" si="14"/>
        <v>111</v>
      </c>
      <c r="R43" s="714" t="s">
        <v>17</v>
      </c>
      <c r="S43" s="715">
        <f t="shared" si="10"/>
        <v>100</v>
      </c>
      <c r="T43" s="714" t="s">
        <v>17</v>
      </c>
      <c r="U43" s="715">
        <f t="shared" si="11"/>
        <v>100</v>
      </c>
      <c r="V43" s="714" t="s">
        <v>17</v>
      </c>
      <c r="W43" s="715">
        <f t="shared" si="12"/>
        <v>100</v>
      </c>
      <c r="X43" s="1541"/>
      <c r="Y43" s="342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25"/>
      <c r="Q44" s="1538">
        <f t="shared" si="14"/>
        <v>111</v>
      </c>
      <c r="R44" s="714" t="s">
        <v>17</v>
      </c>
      <c r="S44" s="715">
        <f t="shared" si="10"/>
        <v>100</v>
      </c>
      <c r="T44" s="714" t="s">
        <v>17</v>
      </c>
      <c r="U44" s="715">
        <f t="shared" si="11"/>
        <v>100</v>
      </c>
      <c r="V44" s="714" t="s">
        <v>17</v>
      </c>
      <c r="W44" s="715">
        <f t="shared" si="12"/>
        <v>100</v>
      </c>
      <c r="X44" s="1541"/>
      <c r="Y44" s="342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25"/>
      <c r="Q45" s="1538">
        <f t="shared" si="14"/>
        <v>111</v>
      </c>
      <c r="R45" s="717" t="s">
        <v>17</v>
      </c>
      <c r="S45" s="718">
        <f t="shared" si="10"/>
        <v>100</v>
      </c>
      <c r="T45" s="717" t="s">
        <v>17</v>
      </c>
      <c r="U45" s="718">
        <f t="shared" si="11"/>
        <v>100</v>
      </c>
      <c r="V45" s="717" t="s">
        <v>17</v>
      </c>
      <c r="W45" s="718">
        <f t="shared" si="12"/>
        <v>100</v>
      </c>
      <c r="X45" s="719"/>
      <c r="Y45" s="3425"/>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53"/>
      <c r="M46" s="2954"/>
      <c r="N46" s="2945"/>
      <c r="O46" s="2954"/>
      <c r="P46" s="3413" t="str">
        <f>A46</f>
        <v>成交单价</v>
      </c>
      <c r="Q46" s="3413"/>
      <c r="R46" s="3448">
        <f>E46</f>
        <v>0</v>
      </c>
      <c r="S46" s="3448"/>
      <c r="T46" s="3448">
        <f>G46</f>
        <v>0</v>
      </c>
      <c r="U46" s="3448"/>
      <c r="V46" s="3448">
        <f>I46</f>
        <v>0</v>
      </c>
      <c r="W46" s="3448"/>
      <c r="X46" s="699"/>
      <c r="Y46" s="721"/>
      <c r="Z46" s="699"/>
      <c r="AA46" s="699"/>
      <c r="AB46" s="699"/>
      <c r="AC46" s="699"/>
    </row>
    <row r="47" spans="1:29" ht="15.75" thickBot="1">
      <c r="A47" s="445" t="s">
        <v>2490</v>
      </c>
      <c r="B47" s="639"/>
      <c r="C47" s="448" t="e">
        <f>R48</f>
        <v>#DIV/0!</v>
      </c>
      <c r="D47" s="2540" t="s">
        <v>2879</v>
      </c>
      <c r="E47" s="448" t="e">
        <f>R47</f>
        <v>#DIV/0!</v>
      </c>
      <c r="F47" s="2541"/>
      <c r="G47" s="447" t="e">
        <f>T47</f>
        <v>#DIV/0!</v>
      </c>
      <c r="H47" s="2541"/>
      <c r="I47" s="448" t="e">
        <f>V47</f>
        <v>#DIV/0!</v>
      </c>
      <c r="J47" s="2541"/>
      <c r="K47" s="2543">
        <f>F47+H47+J47</f>
        <v>0</v>
      </c>
      <c r="L47" s="2953"/>
      <c r="M47" s="2954"/>
      <c r="N47" s="2954"/>
      <c r="O47" s="2954"/>
      <c r="P47" s="3413" t="str">
        <f>A47</f>
        <v>比较价值（元/平方米）</v>
      </c>
      <c r="Q47" s="3413"/>
      <c r="R47" s="3562" t="e">
        <f>ROUND(PRODUCT(R46,AA7:AA45),0)</f>
        <v>#DIV/0!</v>
      </c>
      <c r="S47" s="3562"/>
      <c r="T47" s="3562" t="e">
        <f>ROUND(PRODUCT(T46,AB7:AB45),0)</f>
        <v>#DIV/0!</v>
      </c>
      <c r="U47" s="3562"/>
      <c r="V47" s="3562" t="e">
        <f>ROUND(PRODUCT(V46,AC7:AC45),0)</f>
        <v>#DIV/0!</v>
      </c>
      <c r="W47" s="3562"/>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544" t="str">
        <f>A48</f>
        <v>估价对象XX用房的比较价值（楼面单价，元/平方米）</v>
      </c>
      <c r="Q48" s="3545"/>
      <c r="R48" s="3563" t="e">
        <f>ROUND(IF(D47="简单平均",AVERAGE(R47:W47),R47*F47+T47*H47+V47*J47),0)</f>
        <v>#DIV/0!</v>
      </c>
      <c r="S48" s="3563"/>
      <c r="T48" s="3563"/>
      <c r="U48" s="3563"/>
      <c r="V48" s="3563"/>
      <c r="W48" s="356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71" t="s">
        <v>2581</v>
      </c>
      <c r="D55" s="2172" t="s">
        <v>2582</v>
      </c>
      <c r="E55" s="642" t="s">
        <v>2583</v>
      </c>
      <c r="F55" s="1021" t="s">
        <v>2584</v>
      </c>
      <c r="G55" s="3431" t="s">
        <v>2585</v>
      </c>
      <c r="H55" s="3564"/>
      <c r="I55" s="140" t="s">
        <v>2586</v>
      </c>
      <c r="J55" s="2173">
        <f>项目基本情况!F35</f>
        <v>0</v>
      </c>
      <c r="K55" s="2174"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445.5</v>
      </c>
      <c r="F56" s="1017" t="e">
        <f t="shared" ref="F56:F65" si="15">ROUND(B56*E56/10000,0)</f>
        <v>#DIV/0!</v>
      </c>
      <c r="G56" s="3412"/>
      <c r="H56" s="341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565"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565"/>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565"/>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565"/>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5"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5"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6"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445.5</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2023-2-1</v>
      </c>
      <c r="D68" s="701">
        <f>EDATE(C68,-3)</f>
        <v>44866</v>
      </c>
      <c r="E68" s="701">
        <f>EDATE(D68,-3)</f>
        <v>44774</v>
      </c>
      <c r="F68" s="701">
        <f t="shared" ref="F68:O68" si="18">EDATE(E68,-3)</f>
        <v>44682</v>
      </c>
      <c r="G68" s="701">
        <f t="shared" si="18"/>
        <v>44593</v>
      </c>
      <c r="H68" s="701">
        <f t="shared" si="18"/>
        <v>44501</v>
      </c>
      <c r="I68" s="701">
        <f t="shared" si="18"/>
        <v>44409</v>
      </c>
      <c r="J68" s="701">
        <f t="shared" si="18"/>
        <v>44317</v>
      </c>
      <c r="K68" s="701">
        <f t="shared" si="18"/>
        <v>44228</v>
      </c>
      <c r="L68" s="701">
        <f t="shared" si="18"/>
        <v>44136</v>
      </c>
      <c r="M68" s="701">
        <f t="shared" si="18"/>
        <v>44044</v>
      </c>
      <c r="N68" s="701">
        <f t="shared" si="18"/>
        <v>43952</v>
      </c>
      <c r="O68" s="701">
        <f t="shared" si="18"/>
        <v>43862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7" t="s">
        <v>2603</v>
      </c>
      <c r="B70" s="1269"/>
      <c r="C70" s="1344" t="str">
        <f>YEAR(C68)&amp;"-"&amp;ROUNDUP(MONTH(C68)/3,0)</f>
        <v>2023-1</v>
      </c>
      <c r="D70" s="1344" t="str">
        <f>YEAR(D68)&amp;"-"&amp;ROUNDUP(MONTH(D68)/3,0)</f>
        <v>2022-4</v>
      </c>
      <c r="E70" s="1344" t="str">
        <f t="shared" ref="E70:O70" si="19">YEAR(E68)&amp;"-"&amp;ROUNDUP(MONTH(E68)/3,0)</f>
        <v>2022-3</v>
      </c>
      <c r="F70" s="1344" t="str">
        <f t="shared" si="19"/>
        <v>2022-2</v>
      </c>
      <c r="G70" s="1344" t="str">
        <f t="shared" si="19"/>
        <v>2022-1</v>
      </c>
      <c r="H70" s="1344" t="str">
        <f t="shared" si="19"/>
        <v>2021-4</v>
      </c>
      <c r="I70" s="1344" t="str">
        <f t="shared" si="19"/>
        <v>2021-3</v>
      </c>
      <c r="J70" s="1344" t="str">
        <f t="shared" si="19"/>
        <v>2021-2</v>
      </c>
      <c r="K70" s="1344" t="str">
        <f t="shared" si="19"/>
        <v>2021-1</v>
      </c>
      <c r="L70" s="1344" t="str">
        <f t="shared" si="19"/>
        <v>2020-4</v>
      </c>
      <c r="M70" s="1344" t="str">
        <f t="shared" si="19"/>
        <v>2020-3</v>
      </c>
      <c r="N70" s="1344" t="str">
        <f t="shared" si="19"/>
        <v>2020-2</v>
      </c>
      <c r="O70" s="1344" t="str">
        <f t="shared" si="19"/>
        <v>2020-1</v>
      </c>
      <c r="P70" s="3005"/>
      <c r="Q70" s="2970"/>
      <c r="R70" s="2970"/>
      <c r="S70" s="2970"/>
      <c r="T70" s="2970"/>
      <c r="U70" s="2970"/>
      <c r="V70" s="2970"/>
      <c r="W70" s="2970"/>
      <c r="X70" s="2970"/>
      <c r="Y70" s="2970"/>
      <c r="Z70" s="2970"/>
      <c r="AA70" s="2970"/>
      <c r="AB70" s="2970"/>
      <c r="AC70" s="2970"/>
    </row>
    <row r="71" spans="1:29" s="113" customFormat="1" ht="30" customHeight="1">
      <c r="A71" s="2178"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1" priority="18" stopIfTrue="1" operator="containsText" text="超过">
      <formula>NOT(ISERROR(SEARCH("超过",F51)))</formula>
    </cfRule>
  </conditionalFormatting>
  <conditionalFormatting sqref="J53">
    <cfRule type="containsText" dxfId="80" priority="17" stopIfTrue="1" operator="containsText" text="超过">
      <formula>NOT(ISERROR(SEARCH("超过",J53)))</formula>
    </cfRule>
  </conditionalFormatting>
  <conditionalFormatting sqref="H53">
    <cfRule type="containsText" dxfId="79" priority="16" stopIfTrue="1" operator="containsText" text="超过">
      <formula>NOT(ISERROR(SEARCH("超过",H53)))</formula>
    </cfRule>
  </conditionalFormatting>
  <conditionalFormatting sqref="F53">
    <cfRule type="containsText" dxfId="78" priority="15" stopIfTrue="1" operator="containsText" text="超过">
      <formula>NOT(ISERROR(SEARCH("超过",F53)))</formula>
    </cfRule>
  </conditionalFormatting>
  <conditionalFormatting sqref="F52 H52 J52">
    <cfRule type="containsText" dxfId="77" priority="14" stopIfTrue="1" operator="containsText" text="超过">
      <formula>NOT(ISERROR(SEARCH("超过",F52)))</formula>
    </cfRule>
  </conditionalFormatting>
  <conditionalFormatting sqref="E51">
    <cfRule type="expression" dxfId="76" priority="13" stopIfTrue="1">
      <formula>$F$51="超过30%"</formula>
    </cfRule>
  </conditionalFormatting>
  <conditionalFormatting sqref="G53">
    <cfRule type="expression" dxfId="75" priority="12" stopIfTrue="1">
      <formula>$H$53="超过30%"</formula>
    </cfRule>
  </conditionalFormatting>
  <conditionalFormatting sqref="E52">
    <cfRule type="expression" dxfId="74" priority="11" stopIfTrue="1">
      <formula>$F$52="超过20%"</formula>
    </cfRule>
  </conditionalFormatting>
  <conditionalFormatting sqref="E53">
    <cfRule type="expression" dxfId="73" priority="10" stopIfTrue="1">
      <formula>$F$53="超过30%"</formula>
    </cfRule>
  </conditionalFormatting>
  <conditionalFormatting sqref="G51">
    <cfRule type="expression" dxfId="72" priority="9" stopIfTrue="1">
      <formula>$H$53+$H$51="超过30%"</formula>
    </cfRule>
  </conditionalFormatting>
  <conditionalFormatting sqref="G52">
    <cfRule type="expression" dxfId="71" priority="8" stopIfTrue="1">
      <formula>$H$52="超过20%"</formula>
    </cfRule>
  </conditionalFormatting>
  <conditionalFormatting sqref="I51">
    <cfRule type="expression" dxfId="70" priority="7" stopIfTrue="1">
      <formula>$J$51="超过30%"</formula>
    </cfRule>
  </conditionalFormatting>
  <conditionalFormatting sqref="I52">
    <cfRule type="expression" dxfId="69" priority="6" stopIfTrue="1">
      <formula>$J$52="超过20%"</formula>
    </cfRule>
  </conditionalFormatting>
  <conditionalFormatting sqref="I53">
    <cfRule type="expression" dxfId="68" priority="5" stopIfTrue="1">
      <formula>$J$53="超过30%"</formula>
    </cfRule>
  </conditionalFormatting>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F7:F45 H7:H45 J7:J45">
    <cfRule type="cellIs" dxfId="6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2944"/>
      <c r="M4" s="2945"/>
      <c r="N4" s="2945"/>
      <c r="O4" s="2945"/>
      <c r="P4" s="3548" t="s">
        <v>2472</v>
      </c>
      <c r="Q4" s="3549"/>
      <c r="R4" s="3552" t="s">
        <v>2468</v>
      </c>
      <c r="S4" s="3553"/>
      <c r="T4" s="3552" t="s">
        <v>2469</v>
      </c>
      <c r="U4" s="3553"/>
      <c r="V4" s="3448" t="s">
        <v>2470</v>
      </c>
      <c r="W4" s="3448"/>
      <c r="X4" s="1541"/>
      <c r="Y4" s="3552" t="s">
        <v>2472</v>
      </c>
      <c r="Z4" s="3553"/>
      <c r="AA4" s="3547" t="s">
        <v>2468</v>
      </c>
      <c r="AB4" s="3460" t="s">
        <v>2469</v>
      </c>
      <c r="AC4" s="3547" t="s">
        <v>2470</v>
      </c>
    </row>
    <row r="5" spans="1:29" ht="15">
      <c r="A5" s="364"/>
      <c r="B5" s="365"/>
      <c r="C5" s="3556" t="s">
        <v>2363</v>
      </c>
      <c r="D5" s="3557"/>
      <c r="E5" s="3559" t="s">
        <v>2364</v>
      </c>
      <c r="F5" s="3456"/>
      <c r="G5" s="3556" t="s">
        <v>2365</v>
      </c>
      <c r="H5" s="3557"/>
      <c r="I5" s="3556" t="s">
        <v>2366</v>
      </c>
      <c r="J5" s="3557"/>
      <c r="K5" s="567"/>
      <c r="L5" s="2944"/>
      <c r="M5" s="2945"/>
      <c r="N5" s="2945"/>
      <c r="O5" s="2945"/>
      <c r="P5" s="3550"/>
      <c r="Q5" s="3438"/>
      <c r="R5" s="3443"/>
      <c r="S5" s="3444"/>
      <c r="T5" s="3443"/>
      <c r="U5" s="3444"/>
      <c r="V5" s="3448"/>
      <c r="W5" s="3448"/>
      <c r="X5" s="1541"/>
      <c r="Y5" s="3443"/>
      <c r="Z5" s="3444"/>
      <c r="AA5" s="3460"/>
      <c r="AB5" s="3460"/>
      <c r="AC5" s="3460"/>
    </row>
    <row r="6" spans="1:29" ht="15.75" thickBot="1">
      <c r="A6" s="366"/>
      <c r="B6" s="367"/>
      <c r="C6" s="3566" t="s">
        <v>2618</v>
      </c>
      <c r="D6" s="3567"/>
      <c r="E6" s="3568" t="s">
        <v>2618</v>
      </c>
      <c r="F6" s="3569"/>
      <c r="G6" s="3566" t="s">
        <v>2618</v>
      </c>
      <c r="H6" s="3567"/>
      <c r="I6" s="3566" t="s">
        <v>2618</v>
      </c>
      <c r="J6" s="3567"/>
      <c r="K6" s="567" t="s">
        <v>2368</v>
      </c>
      <c r="L6" s="2944"/>
      <c r="M6" s="2945"/>
      <c r="N6" s="2945"/>
      <c r="O6" s="2945"/>
      <c r="P6" s="3551"/>
      <c r="Q6" s="3440"/>
      <c r="R6" s="3443"/>
      <c r="S6" s="3444"/>
      <c r="T6" s="3445"/>
      <c r="U6" s="3446"/>
      <c r="V6" s="3448"/>
      <c r="W6" s="3448"/>
      <c r="X6" s="1541"/>
      <c r="Y6" s="3445"/>
      <c r="Z6" s="3446"/>
      <c r="AA6" s="3461"/>
      <c r="AB6" s="3461"/>
      <c r="AC6" s="3461"/>
    </row>
    <row r="7" spans="1:29" s="113" customFormat="1" ht="15.75" thickBot="1">
      <c r="A7" s="368" t="s">
        <v>2369</v>
      </c>
      <c r="B7" s="369"/>
      <c r="C7" s="370">
        <f>'数据-取费表'!B2</f>
        <v>44959</v>
      </c>
      <c r="D7" s="371">
        <v>100</v>
      </c>
      <c r="E7" s="372"/>
      <c r="F7" s="373">
        <f>SUMIF(65:65,YEAR(E7)&amp;"-"&amp;INT((MONTH(E7)+2)/3),66:66)</f>
        <v>0</v>
      </c>
      <c r="G7" s="2162"/>
      <c r="H7" s="371">
        <f>SUMIF(65:65,YEAR(G7)&amp;"-"&amp;INT((MONTH(G7)+2)/3),66:66)</f>
        <v>0</v>
      </c>
      <c r="I7" s="2162"/>
      <c r="J7" s="371">
        <f>SUMIF(65:65,YEAR(I7)&amp;"-"&amp;INT((MONTH(I7)+2)/3),66:66)</f>
        <v>0</v>
      </c>
      <c r="K7" s="568"/>
      <c r="L7" s="2946"/>
      <c r="M7" s="2947"/>
      <c r="N7" s="2947"/>
      <c r="O7" s="2947"/>
      <c r="P7" s="3453" t="s">
        <v>2370</v>
      </c>
      <c r="Q7" s="3454"/>
      <c r="R7" s="710" t="s">
        <v>17</v>
      </c>
      <c r="S7" s="711">
        <f t="shared" ref="S7:S15" si="0">F7</f>
        <v>0</v>
      </c>
      <c r="T7" s="710" t="s">
        <v>17</v>
      </c>
      <c r="U7" s="711">
        <f t="shared" ref="U7:U15" si="1">H7</f>
        <v>0</v>
      </c>
      <c r="V7" s="710" t="s">
        <v>17</v>
      </c>
      <c r="W7" s="711">
        <f t="shared" ref="W7:W15" si="2">J7</f>
        <v>0</v>
      </c>
      <c r="X7" s="712"/>
      <c r="Y7" s="3453" t="s">
        <v>2370</v>
      </c>
      <c r="Z7" s="3452"/>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53" t="s">
        <v>2373</v>
      </c>
      <c r="Q8" s="3452"/>
      <c r="R8" s="710" t="s">
        <v>17</v>
      </c>
      <c r="S8" s="711">
        <f t="shared" si="0"/>
        <v>0</v>
      </c>
      <c r="T8" s="710" t="s">
        <v>17</v>
      </c>
      <c r="U8" s="711">
        <f t="shared" si="1"/>
        <v>0</v>
      </c>
      <c r="V8" s="710" t="s">
        <v>17</v>
      </c>
      <c r="W8" s="711">
        <f t="shared" si="2"/>
        <v>0</v>
      </c>
      <c r="X8" s="712"/>
      <c r="Y8" s="3453" t="s">
        <v>2373</v>
      </c>
      <c r="Z8" s="3452"/>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6"/>
      <c r="M9" s="2947"/>
      <c r="N9" s="2947"/>
      <c r="O9" s="3001"/>
      <c r="P9" s="3413"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t="e">
        <f>ROUND(100/'数据-取费表'!G16,0)</f>
        <v>#DIV/0!</v>
      </c>
      <c r="G10" s="391"/>
      <c r="H10" s="132" t="e">
        <f>ROUND(100/'数据-取费表'!G16,0)</f>
        <v>#DIV/0!</v>
      </c>
      <c r="I10" s="391"/>
      <c r="J10" s="132" t="e">
        <f>ROUND(100/'数据-取费表'!G16,0)</f>
        <v>#DIV/0!</v>
      </c>
      <c r="K10" s="628"/>
      <c r="L10" s="2948"/>
      <c r="M10" s="2949"/>
      <c r="N10" s="2949"/>
      <c r="O10" s="3002"/>
      <c r="P10" s="3413"/>
      <c r="Q10" s="1529" t="str">
        <f t="shared" si="6"/>
        <v>土地使用年限（年）</v>
      </c>
      <c r="R10" s="710" t="s">
        <v>17</v>
      </c>
      <c r="S10" s="711" t="e">
        <f t="shared" si="0"/>
        <v>#DIV/0!</v>
      </c>
      <c r="T10" s="710" t="s">
        <v>17</v>
      </c>
      <c r="U10" s="711" t="e">
        <f t="shared" si="1"/>
        <v>#DIV/0!</v>
      </c>
      <c r="V10" s="710" t="s">
        <v>17</v>
      </c>
      <c r="W10" s="711" t="e">
        <f t="shared" si="2"/>
        <v>#DIV/0!</v>
      </c>
      <c r="X10" s="712"/>
      <c r="Y10" s="3313"/>
      <c r="Z10" s="55" t="str">
        <f t="shared" si="7"/>
        <v>土地使用年限（年）</v>
      </c>
      <c r="AA10" s="713" t="e">
        <f t="shared" si="3"/>
        <v>#DIV/0!</v>
      </c>
      <c r="AB10" s="713" t="e">
        <f t="shared" si="4"/>
        <v>#DIV/0!</v>
      </c>
      <c r="AC10" s="713" t="e">
        <f t="shared" si="5"/>
        <v>#DIV/0!</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13"/>
      <c r="Q11" s="1529"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13"/>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13"/>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13"/>
      <c r="Q14" s="1529">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20" t="s">
        <v>2381</v>
      </c>
      <c r="Q15" s="1538" t="str">
        <f t="shared" si="6"/>
        <v>产业集聚程度</v>
      </c>
      <c r="R15" s="714" t="s">
        <v>17</v>
      </c>
      <c r="S15" s="715">
        <f t="shared" si="0"/>
        <v>100</v>
      </c>
      <c r="T15" s="714" t="s">
        <v>17</v>
      </c>
      <c r="U15" s="715">
        <f t="shared" si="1"/>
        <v>100</v>
      </c>
      <c r="V15" s="714" t="s">
        <v>17</v>
      </c>
      <c r="W15" s="715">
        <f t="shared" si="2"/>
        <v>100</v>
      </c>
      <c r="X15" s="1541"/>
      <c r="Y15" s="3420"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1"/>
      <c r="M16" s="2945"/>
      <c r="N16" s="2945"/>
      <c r="O16" s="3003"/>
      <c r="P16" s="3421"/>
      <c r="Q16" s="1538"/>
      <c r="R16" s="714"/>
      <c r="S16" s="715"/>
      <c r="T16" s="714"/>
      <c r="U16" s="715"/>
      <c r="V16" s="714"/>
      <c r="W16" s="715"/>
      <c r="X16" s="1541"/>
      <c r="Y16" s="3421"/>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21"/>
      <c r="Q17" s="1538" t="str">
        <f>B17</f>
        <v>交通便捷度</v>
      </c>
      <c r="R17" s="714" t="s">
        <v>17</v>
      </c>
      <c r="S17" s="715">
        <f>F17</f>
        <v>100</v>
      </c>
      <c r="T17" s="714" t="s">
        <v>17</v>
      </c>
      <c r="U17" s="715">
        <f>H17</f>
        <v>100</v>
      </c>
      <c r="V17" s="714" t="s">
        <v>17</v>
      </c>
      <c r="W17" s="715">
        <f>J17</f>
        <v>100</v>
      </c>
      <c r="X17" s="1541"/>
      <c r="Y17" s="342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1"/>
      <c r="M18" s="2945"/>
      <c r="N18" s="2945"/>
      <c r="O18" s="3003"/>
      <c r="P18" s="3421"/>
      <c r="Q18" s="1538"/>
      <c r="R18" s="714"/>
      <c r="S18" s="715"/>
      <c r="T18" s="714"/>
      <c r="U18" s="715"/>
      <c r="V18" s="714"/>
      <c r="W18" s="715"/>
      <c r="X18" s="1541"/>
      <c r="Y18" s="3421"/>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21"/>
      <c r="Q19" s="1538" t="str">
        <f t="shared" ref="Q19:Q33" si="8">B19</f>
        <v>区域土地利用方向</v>
      </c>
      <c r="R19" s="714" t="s">
        <v>17</v>
      </c>
      <c r="S19" s="715">
        <f>F19</f>
        <v>100</v>
      </c>
      <c r="T19" s="714" t="s">
        <v>17</v>
      </c>
      <c r="U19" s="715">
        <f>H19</f>
        <v>100</v>
      </c>
      <c r="V19" s="714" t="s">
        <v>17</v>
      </c>
      <c r="W19" s="715">
        <f>J19</f>
        <v>100</v>
      </c>
      <c r="X19" s="1541"/>
      <c r="Y19" s="342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1"/>
      <c r="M20" s="2945"/>
      <c r="N20" s="2945"/>
      <c r="O20" s="3003"/>
      <c r="P20" s="3421"/>
      <c r="Q20" s="1538"/>
      <c r="R20" s="714"/>
      <c r="S20" s="715"/>
      <c r="T20" s="714"/>
      <c r="U20" s="715"/>
      <c r="V20" s="714"/>
      <c r="W20" s="715"/>
      <c r="X20" s="1541"/>
      <c r="Y20" s="3421"/>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21"/>
      <c r="Q21" s="1538" t="str">
        <f t="shared" si="8"/>
        <v>环境状况</v>
      </c>
      <c r="R21" s="714" t="s">
        <v>17</v>
      </c>
      <c r="S21" s="715">
        <f>F21</f>
        <v>100</v>
      </c>
      <c r="T21" s="714" t="s">
        <v>17</v>
      </c>
      <c r="U21" s="715">
        <f>H21</f>
        <v>100</v>
      </c>
      <c r="V21" s="714" t="s">
        <v>17</v>
      </c>
      <c r="W21" s="715">
        <f>J21</f>
        <v>100</v>
      </c>
      <c r="X21" s="1541"/>
      <c r="Y21" s="342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1"/>
      <c r="M22" s="2945"/>
      <c r="N22" s="2945"/>
      <c r="O22" s="3003"/>
      <c r="P22" s="3421"/>
      <c r="Q22" s="1538"/>
      <c r="R22" s="714"/>
      <c r="S22" s="715"/>
      <c r="T22" s="714"/>
      <c r="U22" s="715"/>
      <c r="V22" s="714"/>
      <c r="W22" s="715"/>
      <c r="X22" s="1541"/>
      <c r="Y22" s="3421"/>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21"/>
      <c r="Q23" s="1529" t="str">
        <f t="shared" si="8"/>
        <v>公共配套设施</v>
      </c>
      <c r="R23" s="710" t="s">
        <v>17</v>
      </c>
      <c r="S23" s="711">
        <f>F23</f>
        <v>100</v>
      </c>
      <c r="T23" s="710" t="s">
        <v>17</v>
      </c>
      <c r="U23" s="711">
        <f>H23</f>
        <v>100</v>
      </c>
      <c r="V23" s="710" t="s">
        <v>17</v>
      </c>
      <c r="W23" s="711">
        <f>J23</f>
        <v>100</v>
      </c>
      <c r="X23" s="712"/>
      <c r="Y23" s="342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6"/>
      <c r="M24" s="2947"/>
      <c r="N24" s="2947"/>
      <c r="O24" s="3001"/>
      <c r="P24" s="3421"/>
      <c r="Q24" s="1529"/>
      <c r="R24" s="710"/>
      <c r="S24" s="711"/>
      <c r="T24" s="710"/>
      <c r="U24" s="711"/>
      <c r="V24" s="710"/>
      <c r="W24" s="711"/>
      <c r="X24" s="712"/>
      <c r="Y24" s="3421"/>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21"/>
      <c r="Q25" s="1529" t="str">
        <f t="shared" ref="Q25" si="9">B25</f>
        <v>基础设施水平</v>
      </c>
      <c r="R25" s="710" t="s">
        <v>17</v>
      </c>
      <c r="S25" s="711">
        <f>F25</f>
        <v>100</v>
      </c>
      <c r="T25" s="710" t="s">
        <v>17</v>
      </c>
      <c r="U25" s="711">
        <f>H25</f>
        <v>100</v>
      </c>
      <c r="V25" s="710" t="s">
        <v>17</v>
      </c>
      <c r="W25" s="711">
        <f>J25</f>
        <v>100</v>
      </c>
      <c r="X25" s="712"/>
      <c r="Y25" s="342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6"/>
      <c r="M26" s="2947"/>
      <c r="N26" s="2947"/>
      <c r="O26" s="3001"/>
      <c r="P26" s="3421"/>
      <c r="Q26" s="1529"/>
      <c r="R26" s="710"/>
      <c r="S26" s="711"/>
      <c r="T26" s="710"/>
      <c r="U26" s="711"/>
      <c r="V26" s="710"/>
      <c r="W26" s="711"/>
      <c r="X26" s="712"/>
      <c r="Y26" s="342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2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421"/>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21"/>
      <c r="Q28" s="1538" t="str">
        <f t="shared" si="8"/>
        <v>毗邻道路的类型与等级</v>
      </c>
      <c r="R28" s="714" t="s">
        <v>17</v>
      </c>
      <c r="S28" s="715">
        <f t="shared" si="10"/>
        <v>100</v>
      </c>
      <c r="T28" s="714" t="s">
        <v>17</v>
      </c>
      <c r="U28" s="715">
        <f t="shared" si="11"/>
        <v>100</v>
      </c>
      <c r="V28" s="714" t="s">
        <v>17</v>
      </c>
      <c r="W28" s="715">
        <f t="shared" si="12"/>
        <v>100</v>
      </c>
      <c r="X28" s="1541"/>
      <c r="Y28" s="342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1"/>
      <c r="M29" s="2945"/>
      <c r="N29" s="2945"/>
      <c r="O29" s="3003"/>
      <c r="P29" s="3421"/>
      <c r="Q29" s="1538"/>
      <c r="R29" s="714"/>
      <c r="S29" s="715"/>
      <c r="T29" s="714"/>
      <c r="U29" s="715"/>
      <c r="V29" s="714"/>
      <c r="W29" s="715"/>
      <c r="X29" s="1541"/>
      <c r="Y29" s="3421"/>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21"/>
      <c r="Q30" s="1538" t="str">
        <f t="shared" si="8"/>
        <v>土地级别</v>
      </c>
      <c r="R30" s="714" t="s">
        <v>17</v>
      </c>
      <c r="S30" s="715">
        <f t="shared" si="10"/>
        <v>100</v>
      </c>
      <c r="T30" s="714" t="s">
        <v>17</v>
      </c>
      <c r="U30" s="715">
        <f t="shared" si="11"/>
        <v>100</v>
      </c>
      <c r="V30" s="714" t="s">
        <v>17</v>
      </c>
      <c r="W30" s="715">
        <f t="shared" si="12"/>
        <v>100</v>
      </c>
      <c r="X30" s="1541"/>
      <c r="Y30" s="342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21"/>
      <c r="Q31" s="1538">
        <f t="shared" si="8"/>
        <v>111</v>
      </c>
      <c r="R31" s="714" t="s">
        <v>17</v>
      </c>
      <c r="S31" s="715">
        <f t="shared" si="10"/>
        <v>100</v>
      </c>
      <c r="T31" s="714" t="s">
        <v>17</v>
      </c>
      <c r="U31" s="715">
        <f t="shared" si="11"/>
        <v>100</v>
      </c>
      <c r="V31" s="714" t="s">
        <v>17</v>
      </c>
      <c r="W31" s="715">
        <f t="shared" si="12"/>
        <v>100</v>
      </c>
      <c r="X31" s="1541"/>
      <c r="Y31" s="342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560" t="s">
        <v>2386</v>
      </c>
      <c r="Q32" s="1538">
        <f t="shared" si="8"/>
        <v>111</v>
      </c>
      <c r="R32" s="714" t="s">
        <v>17</v>
      </c>
      <c r="S32" s="715">
        <f t="shared" si="10"/>
        <v>100</v>
      </c>
      <c r="T32" s="714" t="s">
        <v>17</v>
      </c>
      <c r="U32" s="715">
        <f t="shared" si="11"/>
        <v>100</v>
      </c>
      <c r="V32" s="714" t="s">
        <v>17</v>
      </c>
      <c r="W32" s="715">
        <f t="shared" si="12"/>
        <v>100</v>
      </c>
      <c r="X32" s="1541"/>
      <c r="Y32" s="3425"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25"/>
      <c r="Q33" s="1538">
        <f t="shared" si="8"/>
        <v>111</v>
      </c>
      <c r="R33" s="717" t="s">
        <v>17</v>
      </c>
      <c r="S33" s="718">
        <f t="shared" si="10"/>
        <v>100</v>
      </c>
      <c r="T33" s="717" t="s">
        <v>17</v>
      </c>
      <c r="U33" s="718">
        <f t="shared" si="11"/>
        <v>100</v>
      </c>
      <c r="V33" s="717" t="s">
        <v>17</v>
      </c>
      <c r="W33" s="718">
        <f t="shared" si="12"/>
        <v>100</v>
      </c>
      <c r="X33" s="719"/>
      <c r="Y33" s="3425"/>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25"/>
      <c r="Q34" s="1538" t="str">
        <f>B34</f>
        <v>宗地面积</v>
      </c>
      <c r="R34" s="714" t="s">
        <v>17</v>
      </c>
      <c r="S34" s="715" t="e">
        <f t="shared" si="10"/>
        <v>#N/A</v>
      </c>
      <c r="T34" s="714" t="s">
        <v>17</v>
      </c>
      <c r="U34" s="715" t="e">
        <f t="shared" si="11"/>
        <v>#N/A</v>
      </c>
      <c r="V34" s="714" t="s">
        <v>17</v>
      </c>
      <c r="W34" s="715" t="e">
        <f t="shared" si="12"/>
        <v>#N/A</v>
      </c>
      <c r="X34" s="1541"/>
      <c r="Y34" s="3425"/>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1"/>
      <c r="M35" s="2945"/>
      <c r="N35" s="2945"/>
      <c r="O35" s="3003"/>
      <c r="P35" s="3425"/>
      <c r="Q35" s="1538" t="str">
        <f t="shared" ref="Q35:Q40" si="14">B35</f>
        <v>宗地形状</v>
      </c>
      <c r="R35" s="714" t="s">
        <v>17</v>
      </c>
      <c r="S35" s="715">
        <f t="shared" si="10"/>
        <v>100</v>
      </c>
      <c r="T35" s="714" t="s">
        <v>17</v>
      </c>
      <c r="U35" s="715">
        <f t="shared" si="11"/>
        <v>100</v>
      </c>
      <c r="V35" s="714" t="s">
        <v>17</v>
      </c>
      <c r="W35" s="715">
        <f t="shared" si="12"/>
        <v>100</v>
      </c>
      <c r="X35" s="1541"/>
      <c r="Y35" s="3425"/>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6"/>
      <c r="M36" s="2947"/>
      <c r="N36" s="2947"/>
      <c r="O36" s="3001"/>
      <c r="P36" s="3425"/>
      <c r="Q36" s="1538" t="str">
        <f t="shared" si="14"/>
        <v>宗地开发程度</v>
      </c>
      <c r="R36" s="710" t="s">
        <v>17</v>
      </c>
      <c r="S36" s="711">
        <f t="shared" si="10"/>
        <v>100</v>
      </c>
      <c r="T36" s="710" t="s">
        <v>17</v>
      </c>
      <c r="U36" s="711">
        <f t="shared" si="11"/>
        <v>100</v>
      </c>
      <c r="V36" s="710" t="s">
        <v>17</v>
      </c>
      <c r="W36" s="711">
        <f t="shared" si="12"/>
        <v>100</v>
      </c>
      <c r="X36" s="712"/>
      <c r="Y36" s="3425"/>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1"/>
      <c r="M37" s="2945"/>
      <c r="N37" s="2945"/>
      <c r="O37" s="3003"/>
      <c r="P37" s="3425" t="s">
        <v>2386</v>
      </c>
      <c r="Q37" s="1538" t="str">
        <f t="shared" si="14"/>
        <v>工程地质条件</v>
      </c>
      <c r="R37" s="714" t="s">
        <v>17</v>
      </c>
      <c r="S37" s="715">
        <f t="shared" si="10"/>
        <v>100</v>
      </c>
      <c r="T37" s="714" t="s">
        <v>17</v>
      </c>
      <c r="U37" s="715">
        <f t="shared" si="11"/>
        <v>100</v>
      </c>
      <c r="V37" s="714" t="s">
        <v>17</v>
      </c>
      <c r="W37" s="715">
        <f t="shared" si="12"/>
        <v>100</v>
      </c>
      <c r="X37" s="1541"/>
      <c r="Y37" s="3425"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25"/>
      <c r="Q38" s="1538">
        <f t="shared" si="14"/>
        <v>111</v>
      </c>
      <c r="R38" s="714" t="s">
        <v>17</v>
      </c>
      <c r="S38" s="715">
        <f t="shared" si="10"/>
        <v>100</v>
      </c>
      <c r="T38" s="714" t="s">
        <v>17</v>
      </c>
      <c r="U38" s="715">
        <f t="shared" si="11"/>
        <v>100</v>
      </c>
      <c r="V38" s="714" t="s">
        <v>17</v>
      </c>
      <c r="W38" s="715">
        <f t="shared" si="12"/>
        <v>100</v>
      </c>
      <c r="X38" s="1541"/>
      <c r="Y38" s="342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25"/>
      <c r="Q39" s="1538">
        <f t="shared" si="14"/>
        <v>111</v>
      </c>
      <c r="R39" s="714" t="s">
        <v>17</v>
      </c>
      <c r="S39" s="715">
        <f t="shared" si="10"/>
        <v>100</v>
      </c>
      <c r="T39" s="714" t="s">
        <v>17</v>
      </c>
      <c r="U39" s="715">
        <f t="shared" si="11"/>
        <v>100</v>
      </c>
      <c r="V39" s="714" t="s">
        <v>17</v>
      </c>
      <c r="W39" s="715">
        <f t="shared" si="12"/>
        <v>100</v>
      </c>
      <c r="X39" s="1541"/>
      <c r="Y39" s="342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25"/>
      <c r="Q40" s="1538">
        <f t="shared" si="14"/>
        <v>111</v>
      </c>
      <c r="R40" s="717" t="s">
        <v>17</v>
      </c>
      <c r="S40" s="718">
        <f t="shared" si="10"/>
        <v>100</v>
      </c>
      <c r="T40" s="717" t="s">
        <v>17</v>
      </c>
      <c r="U40" s="718">
        <f t="shared" si="11"/>
        <v>100</v>
      </c>
      <c r="V40" s="717" t="s">
        <v>17</v>
      </c>
      <c r="W40" s="718">
        <f t="shared" si="12"/>
        <v>100</v>
      </c>
      <c r="X40" s="719"/>
      <c r="Y40" s="3425"/>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3"/>
      <c r="M41" s="2945"/>
      <c r="N41" s="2945"/>
      <c r="O41" s="2954"/>
      <c r="P41" s="3413" t="str">
        <f>A41</f>
        <v>成交单价</v>
      </c>
      <c r="Q41" s="3413"/>
      <c r="R41" s="3448">
        <f>E41</f>
        <v>0</v>
      </c>
      <c r="S41" s="3448"/>
      <c r="T41" s="3448">
        <f>G41</f>
        <v>0</v>
      </c>
      <c r="U41" s="3448"/>
      <c r="V41" s="3448">
        <f>I41</f>
        <v>0</v>
      </c>
      <c r="W41" s="3448"/>
      <c r="X41" s="699"/>
      <c r="Y41" s="721"/>
      <c r="Z41" s="699"/>
      <c r="AA41" s="699"/>
      <c r="AB41" s="699"/>
      <c r="AC41" s="699"/>
    </row>
    <row r="42" spans="1:31" ht="15.75" thickBot="1">
      <c r="A42" s="445" t="s">
        <v>2490</v>
      </c>
      <c r="B42" s="639"/>
      <c r="C42" s="448" t="e">
        <f>R43</f>
        <v>#DIV/0!</v>
      </c>
      <c r="D42" s="2540" t="s">
        <v>2879</v>
      </c>
      <c r="E42" s="448" t="e">
        <f>R42</f>
        <v>#DIV/0!</v>
      </c>
      <c r="F42" s="2541"/>
      <c r="G42" s="447" t="e">
        <f>T42</f>
        <v>#DIV/0!</v>
      </c>
      <c r="H42" s="2541"/>
      <c r="I42" s="448" t="e">
        <f>V42</f>
        <v>#DIV/0!</v>
      </c>
      <c r="J42" s="2541"/>
      <c r="K42" s="2543">
        <f>F42+H42+J42</f>
        <v>0</v>
      </c>
      <c r="L42" s="2953"/>
      <c r="M42" s="2945"/>
      <c r="N42" s="2945"/>
      <c r="O42" s="2954"/>
      <c r="P42" s="3413" t="str">
        <f>A42</f>
        <v>比较价值（元/平方米）</v>
      </c>
      <c r="Q42" s="3413"/>
      <c r="R42" s="3562" t="e">
        <f>ROUND(PRODUCT(R41,AA7:AA40),0)</f>
        <v>#DIV/0!</v>
      </c>
      <c r="S42" s="3562"/>
      <c r="T42" s="3562" t="e">
        <f>ROUND(PRODUCT(T41,AB7:AB40),0)</f>
        <v>#DIV/0!</v>
      </c>
      <c r="U42" s="3562"/>
      <c r="V42" s="3562" t="e">
        <f>ROUND(PRODUCT(V41,AC7:AC40),0)</f>
        <v>#DIV/0!</v>
      </c>
      <c r="W42" s="3562"/>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544" t="str">
        <f>A43</f>
        <v>估价对象XX用房的比较价值（楼面单价，元/平方米）</v>
      </c>
      <c r="Q43" s="3545"/>
      <c r="R43" s="3563" t="e">
        <f>ROUND(IF(D42="简单平均",AVERAGE(R42:W42),R42*F42+T42*H42+V42*J42),0)</f>
        <v>#DIV/0!</v>
      </c>
      <c r="S43" s="3563"/>
      <c r="T43" s="3563"/>
      <c r="U43" s="3563"/>
      <c r="V43" s="3563"/>
      <c r="W43" s="356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71" t="s">
        <v>2581</v>
      </c>
      <c r="D50" s="2172" t="s">
        <v>2582</v>
      </c>
      <c r="E50" s="642" t="s">
        <v>2583</v>
      </c>
      <c r="F50" s="643" t="s">
        <v>2584</v>
      </c>
      <c r="G50" s="3431" t="s">
        <v>2585</v>
      </c>
      <c r="H50" s="3564"/>
      <c r="I50" s="1542" t="s">
        <v>2622</v>
      </c>
      <c r="J50" s="1542">
        <f>项目基本情况!F35</f>
        <v>0</v>
      </c>
      <c r="K50" s="2174"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445.5</v>
      </c>
      <c r="F51" s="647" t="e">
        <f t="shared" ref="F51:F60" si="15">ROUND(B51*E51/10000,0)</f>
        <v>#DIV/0!</v>
      </c>
      <c r="G51" s="3412"/>
      <c r="H51" s="341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565"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565"/>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565"/>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565"/>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5"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5"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6"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2023-2-1</v>
      </c>
      <c r="D63" s="701">
        <f>EDATE(C63,-3)</f>
        <v>44866</v>
      </c>
      <c r="E63" s="701">
        <f>EDATE(D63,-3)</f>
        <v>44774</v>
      </c>
      <c r="F63" s="701">
        <f t="shared" ref="F63:O63" si="18">EDATE(E63,-3)</f>
        <v>44682</v>
      </c>
      <c r="G63" s="701">
        <f t="shared" si="18"/>
        <v>44593</v>
      </c>
      <c r="H63" s="701">
        <f t="shared" si="18"/>
        <v>44501</v>
      </c>
      <c r="I63" s="701">
        <f t="shared" si="18"/>
        <v>44409</v>
      </c>
      <c r="J63" s="701">
        <f t="shared" si="18"/>
        <v>44317</v>
      </c>
      <c r="K63" s="701">
        <f t="shared" si="18"/>
        <v>44228</v>
      </c>
      <c r="L63" s="701">
        <f t="shared" si="18"/>
        <v>44136</v>
      </c>
      <c r="M63" s="701">
        <f t="shared" si="18"/>
        <v>44044</v>
      </c>
      <c r="N63" s="701">
        <f t="shared" si="18"/>
        <v>43952</v>
      </c>
      <c r="O63" s="701">
        <f t="shared" si="18"/>
        <v>43862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7" t="s">
        <v>2603</v>
      </c>
      <c r="B65" s="1269"/>
      <c r="C65" s="1344" t="str">
        <f>YEAR(C63)&amp;"-"&amp;ROUNDUP(MONTH(C63)/3,0)</f>
        <v>2023-1</v>
      </c>
      <c r="D65" s="1344" t="str">
        <f t="shared" ref="D65:O65" si="19">YEAR(D63)&amp;"-"&amp;ROUNDUP(MONTH(D63)/3,0)</f>
        <v>2022-4</v>
      </c>
      <c r="E65" s="1344" t="str">
        <f t="shared" si="19"/>
        <v>2022-3</v>
      </c>
      <c r="F65" s="1344" t="str">
        <f t="shared" si="19"/>
        <v>2022-2</v>
      </c>
      <c r="G65" s="1344" t="str">
        <f t="shared" si="19"/>
        <v>2022-1</v>
      </c>
      <c r="H65" s="1344" t="str">
        <f t="shared" si="19"/>
        <v>2021-4</v>
      </c>
      <c r="I65" s="1344" t="str">
        <f t="shared" si="19"/>
        <v>2021-3</v>
      </c>
      <c r="J65" s="1344" t="str">
        <f t="shared" si="19"/>
        <v>2021-2</v>
      </c>
      <c r="K65" s="1344" t="str">
        <f t="shared" si="19"/>
        <v>2021-1</v>
      </c>
      <c r="L65" s="1344" t="str">
        <f t="shared" si="19"/>
        <v>2020-4</v>
      </c>
      <c r="M65" s="1344" t="str">
        <f t="shared" si="19"/>
        <v>2020-3</v>
      </c>
      <c r="N65" s="1344" t="str">
        <f t="shared" si="19"/>
        <v>2020-2</v>
      </c>
      <c r="O65" s="1344" t="str">
        <f t="shared" si="19"/>
        <v>2020-1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2"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3" priority="18" stopIfTrue="1" operator="containsText" text="超过">
      <formula>NOT(ISERROR(SEARCH("超过",F46)))</formula>
    </cfRule>
  </conditionalFormatting>
  <conditionalFormatting sqref="J48">
    <cfRule type="containsText" dxfId="62" priority="17" stopIfTrue="1" operator="containsText" text="超过">
      <formula>NOT(ISERROR(SEARCH("超过",J48)))</formula>
    </cfRule>
  </conditionalFormatting>
  <conditionalFormatting sqref="H48">
    <cfRule type="containsText" dxfId="61" priority="16" stopIfTrue="1" operator="containsText" text="超过">
      <formula>NOT(ISERROR(SEARCH("超过",H48)))</formula>
    </cfRule>
  </conditionalFormatting>
  <conditionalFormatting sqref="F48">
    <cfRule type="containsText" dxfId="60" priority="15" stopIfTrue="1" operator="containsText" text="超过">
      <formula>NOT(ISERROR(SEARCH("超过",F48)))</formula>
    </cfRule>
  </conditionalFormatting>
  <conditionalFormatting sqref="F47 H47 J47">
    <cfRule type="containsText" dxfId="59" priority="14" stopIfTrue="1" operator="containsText" text="超过">
      <formula>NOT(ISERROR(SEARCH("超过",F47)))</formula>
    </cfRule>
  </conditionalFormatting>
  <conditionalFormatting sqref="E46">
    <cfRule type="expression" dxfId="58" priority="13" stopIfTrue="1">
      <formula>$F$46="超过30%"</formula>
    </cfRule>
  </conditionalFormatting>
  <conditionalFormatting sqref="G48">
    <cfRule type="expression" dxfId="57" priority="12" stopIfTrue="1">
      <formula>$H$48="超过30%"</formula>
    </cfRule>
  </conditionalFormatting>
  <conditionalFormatting sqref="E48">
    <cfRule type="expression" dxfId="56" priority="10" stopIfTrue="1">
      <formula>$F$48="超过30%"</formula>
    </cfRule>
  </conditionalFormatting>
  <conditionalFormatting sqref="G46">
    <cfRule type="expression" dxfId="55" priority="9" stopIfTrue="1">
      <formula>$H$46="超过30%"</formula>
    </cfRule>
  </conditionalFormatting>
  <conditionalFormatting sqref="G47">
    <cfRule type="expression" dxfId="54" priority="8" stopIfTrue="1">
      <formula>$H$47="超过20%"</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E47">
    <cfRule type="expression" dxfId="50" priority="53" stopIfTrue="1">
      <formula>#REF!+$F$47="超过20%"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pageSetUpPr fitToPage="1"/>
  </sheetPr>
  <dimension ref="A1:I57"/>
  <sheetViews>
    <sheetView view="pageBreakPreview" zoomScale="90" zoomScaleNormal="70" zoomScaleSheetLayoutView="90" workbookViewId="0">
      <selection activeCell="D29" sqref="D29"/>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t="s">
        <v>3271</v>
      </c>
      <c r="C1" s="204"/>
      <c r="D1" s="204"/>
      <c r="E1" s="204"/>
      <c r="F1" s="204"/>
      <c r="G1" s="1288" t="e">
        <f>MATCH(B1,'数据-取费表'!A6:A16,0)+5</f>
        <v>#N/A</v>
      </c>
    </row>
    <row r="2" spans="1:9" s="206" customFormat="1" ht="18" customHeight="1">
      <c r="A2" s="207" t="s">
        <v>2148</v>
      </c>
      <c r="B2" s="208" t="e">
        <f ca="1">IF(D2="——",C52,C52-E2)</f>
        <v>#DIV/0!</v>
      </c>
      <c r="C2" s="205" t="s">
        <v>2149</v>
      </c>
      <c r="D2" s="2041" t="s">
        <v>70</v>
      </c>
      <c r="E2" s="1331" t="e">
        <f ca="1">SUMIF(INDIRECT("'"&amp;G2&amp;"'"&amp;"!A:A"),"承租人权益价值",INDIRECT("'"&amp;G2&amp;"'"&amp;"!c:c"))</f>
        <v>#DIV/0!</v>
      </c>
      <c r="F2" s="2042" t="s">
        <v>2149</v>
      </c>
      <c r="G2" s="2043" t="s">
        <v>3177</v>
      </c>
    </row>
    <row r="3" spans="1:9" s="206" customFormat="1" ht="18" customHeight="1" thickBot="1">
      <c r="A3" s="209" t="s">
        <v>2150</v>
      </c>
      <c r="B3" s="210" t="e">
        <f ca="1">ROUND(B2*10000/(IF(B1="",'数据-汇总表'!E3,INDIRECT("'数据-取费表'!k"&amp;$G$1))),0)</f>
        <v>#DIV/0!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t="e">
        <f ca="1">C6+C7+C8</f>
        <v>#DIV/0!</v>
      </c>
      <c r="D5" s="217" t="s">
        <v>2155</v>
      </c>
      <c r="E5" s="218" t="s">
        <v>2156</v>
      </c>
      <c r="F5" s="218" t="s">
        <v>2157</v>
      </c>
      <c r="G5" s="219"/>
    </row>
    <row r="6" spans="1:9" s="220" customFormat="1" ht="13.5" customHeight="1">
      <c r="A6" s="886" t="s">
        <v>2158</v>
      </c>
      <c r="B6" s="221" t="s">
        <v>2159</v>
      </c>
      <c r="C6" s="222" t="e">
        <f ca="1">基准地价修正!B2</f>
        <v>#DIV/0!</v>
      </c>
      <c r="D6" s="223"/>
      <c r="E6" s="224"/>
      <c r="F6" s="224"/>
      <c r="G6" s="225"/>
    </row>
    <row r="7" spans="1:9" s="220" customFormat="1" ht="13.5" customHeight="1">
      <c r="A7" s="886" t="s">
        <v>2160</v>
      </c>
      <c r="B7" s="221" t="s">
        <v>2161</v>
      </c>
      <c r="C7" s="226" t="e">
        <f ca="1">ROUND(C6*F7,0)</f>
        <v>#DIV/0!</v>
      </c>
      <c r="D7" s="226"/>
      <c r="E7" s="224"/>
      <c r="F7" s="227">
        <f>IF(项目基本情况!B8="出让",0,'数据-取费表'!B48+'数据-取费表'!B49)</f>
        <v>3.0499999999999999E-2</v>
      </c>
      <c r="G7" s="225"/>
    </row>
    <row r="8" spans="1:9" s="229" customFormat="1">
      <c r="A8" s="886" t="s">
        <v>2162</v>
      </c>
      <c r="B8" s="221" t="s">
        <v>2163</v>
      </c>
      <c r="C8" s="226" t="e">
        <f ca="1">IF(G8="已包含在土地购买价格中","0",IF(B1="",'数据-取费表'!B29,IF(G9="全部缴纳",C9+C10,H9)))</f>
        <v>#N/A</v>
      </c>
      <c r="D8" s="228"/>
      <c r="E8" s="226"/>
      <c r="F8" s="227"/>
      <c r="G8" s="2044" t="s">
        <v>3210</v>
      </c>
    </row>
    <row r="9" spans="1:9" s="220" customFormat="1" ht="13.5" customHeight="1">
      <c r="A9" s="887" t="s">
        <v>800</v>
      </c>
      <c r="B9" s="230" t="s">
        <v>2164</v>
      </c>
      <c r="C9" s="231" t="e">
        <f ca="1">ROUND(D9*E9/10000,0)</f>
        <v>#N/A</v>
      </c>
      <c r="D9" s="954" t="e">
        <f ca="1">IF(B1="",'数据-汇总表'!E5,IF(INDIRECT("'数据-取费表'!c"&amp;$G$1)="住宅",INDIRECT("'数据-取费表'!k"&amp;$G$1),0))</f>
        <v>#N/A</v>
      </c>
      <c r="E9" s="231">
        <f>'数据-取费表'!B27</f>
        <v>160</v>
      </c>
      <c r="F9" s="227"/>
      <c r="G9" s="2045" t="s">
        <v>3248</v>
      </c>
      <c r="H9" s="1299"/>
      <c r="I9" s="2046" t="s">
        <v>2165</v>
      </c>
    </row>
    <row r="10" spans="1:9" s="220" customFormat="1" ht="13.5" customHeight="1">
      <c r="A10" s="887" t="s">
        <v>801</v>
      </c>
      <c r="B10" s="230" t="s">
        <v>2166</v>
      </c>
      <c r="C10" s="231" t="e">
        <f ca="1">ROUND(D10*E10/10000,0)</f>
        <v>#N/A</v>
      </c>
      <c r="D10" s="954"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t="e">
        <f ca="1">D9+D10</f>
        <v>#N/A</v>
      </c>
      <c r="E19" s="217">
        <f>'数据-取费表'!B31</f>
        <v>200</v>
      </c>
      <c r="F19" s="237"/>
      <c r="G19" s="2044" t="s">
        <v>3211</v>
      </c>
    </row>
    <row r="20" spans="1:7" s="220" customFormat="1" ht="13.5" customHeight="1">
      <c r="A20" s="261" t="s">
        <v>2179</v>
      </c>
      <c r="B20" s="216" t="s">
        <v>2180</v>
      </c>
      <c r="C20" s="238" t="e">
        <f ca="1">ROUND((C5+C19)*F20,0)</f>
        <v>#DIV/0!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t="e">
        <f ca="1">ROUND(SUM(C23:C25),0)</f>
        <v>#DIV/0!</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t="e">
        <f ca="1">ROUND(IF('数据-取费表'!B22&lt;=1,C5*F22*'数据-取费表'!B23,C5*(POWER((1+F22),'数据-取费表'!B23)-1)),0)</f>
        <v>#DIV/0!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t="e">
        <f ca="1">ROUND(IF('数据-取费表'!B22&lt;=1,C20*F22*'数据-取费表'!B23/2,C20*(POWER((1+F22),'数据-取费表'!B23/2)-1)),0)</f>
        <v>#DIV/0!</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t="e">
        <f ca="1">C28</f>
        <v>#DIV/0!</v>
      </c>
      <c r="D27" s="241" t="e">
        <f ca="1">C29</f>
        <v>#N/A</v>
      </c>
      <c r="E27" s="242" t="s">
        <v>2200</v>
      </c>
      <c r="F27" s="252" t="e">
        <f ca="1">IF(B1="",'数据-取费表'!Q16,INDIRECT("'数据-取费表'!q"&amp;$G$1))</f>
        <v>#N/A</v>
      </c>
      <c r="G27" s="253" t="s">
        <v>2201</v>
      </c>
    </row>
    <row r="28" spans="1:7" s="220" customFormat="1" ht="13.5" customHeight="1">
      <c r="A28" s="888" t="s">
        <v>791</v>
      </c>
      <c r="B28" s="254" t="s">
        <v>2202</v>
      </c>
      <c r="C28" s="255" t="e">
        <f ca="1">ROUND((C5+C19+C20)*F27*'数据-取费表'!B21/'数据-取费表'!B20,0)</f>
        <v>#DIV/0!</v>
      </c>
      <c r="D28" s="241"/>
      <c r="E28" s="242"/>
      <c r="F28" s="252"/>
      <c r="G28" s="253"/>
    </row>
    <row r="29" spans="1:7" s="220" customFormat="1" ht="13.5" customHeight="1">
      <c r="A29" s="888" t="s">
        <v>792</v>
      </c>
      <c r="B29" s="254" t="s">
        <v>2203</v>
      </c>
      <c r="C29" s="244" t="e">
        <f ca="1">ROUND(C21*F27*'数据-取费表'!B21/'数据-取费表'!B20,4)</f>
        <v>#N/A</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t="e">
        <f ca="1">ROUND((C5+C19+C20+C22+C27)/(1-C21-D22-D27-C30),0)</f>
        <v>#DIV/0!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t="e">
        <f ca="1">SUM(C34:C38)</f>
        <v>#N/A</v>
      </c>
      <c r="D33" s="238"/>
      <c r="E33" s="218"/>
      <c r="F33" s="247"/>
      <c r="G33" s="240"/>
    </row>
    <row r="34" spans="1:7" s="264" customFormat="1" ht="13.5" customHeight="1">
      <c r="A34" s="888" t="s">
        <v>791</v>
      </c>
      <c r="B34" s="221" t="s">
        <v>2211</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2212</v>
      </c>
    </row>
    <row r="35" spans="1:7" ht="13.5" customHeight="1">
      <c r="A35" s="888" t="s">
        <v>796</v>
      </c>
      <c r="B35" s="221" t="s">
        <v>2213</v>
      </c>
      <c r="C35" s="226" t="e">
        <f ca="1">ROUND(C34*F35,0)</f>
        <v>#N/A</v>
      </c>
      <c r="D35" s="226"/>
      <c r="E35" s="226"/>
      <c r="F35" s="265">
        <f>'数据-取费表'!B33</f>
        <v>0.03</v>
      </c>
      <c r="G35" s="225" t="s">
        <v>2214</v>
      </c>
    </row>
    <row r="36" spans="1:7" ht="24">
      <c r="A36" s="888" t="s">
        <v>797</v>
      </c>
      <c r="B36" s="221" t="s">
        <v>2215</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0.1</v>
      </c>
      <c r="G36" s="266" t="s">
        <v>2216</v>
      </c>
    </row>
    <row r="37" spans="1:7" s="264" customFormat="1" ht="13.5" customHeight="1">
      <c r="A37" s="888" t="s">
        <v>798</v>
      </c>
      <c r="B37" s="221" t="s">
        <v>2217</v>
      </c>
      <c r="C37" s="255" t="e">
        <f ca="1">ROUND(E37*D37*F34/10000,0)</f>
        <v>#N/A</v>
      </c>
      <c r="D37" s="223" t="e">
        <f ca="1">D19</f>
        <v>#N/A</v>
      </c>
      <c r="E37" s="255">
        <f>'数据-取费表'!B35</f>
        <v>200</v>
      </c>
      <c r="F37" s="265"/>
      <c r="G37" s="267" t="s">
        <v>2218</v>
      </c>
    </row>
    <row r="38" spans="1:7" ht="13.5" customHeight="1">
      <c r="A38" s="888" t="s">
        <v>799</v>
      </c>
      <c r="B38" s="221" t="s">
        <v>2219</v>
      </c>
      <c r="C38" s="226" t="e">
        <f ca="1">ROUND(C34*F38,0)</f>
        <v>#N/A</v>
      </c>
      <c r="D38" s="226"/>
      <c r="E38" s="226"/>
      <c r="F38" s="265">
        <f>'数据-取费表'!B36</f>
        <v>1.4999999999999999E-2</v>
      </c>
      <c r="G38" s="225" t="s">
        <v>2214</v>
      </c>
    </row>
    <row r="39" spans="1:7" s="220" customFormat="1" ht="13.5" customHeight="1">
      <c r="A39" s="261" t="s">
        <v>2220</v>
      </c>
      <c r="B39" s="216" t="s">
        <v>2221</v>
      </c>
      <c r="C39" s="238" t="e">
        <f ca="1">ROUND(C33*F20,0)</f>
        <v>#N/A</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t="e">
        <f ca="1">ROUND(SUM(C42:C43),0)</f>
        <v>#N/A</v>
      </c>
      <c r="D41" s="241">
        <f ca="1">C44</f>
        <v>1E-3</v>
      </c>
      <c r="E41" s="242" t="s">
        <v>2225</v>
      </c>
      <c r="F41" s="2538">
        <f ca="1">F22</f>
        <v>4.7500000000000001E-2</v>
      </c>
      <c r="G41" s="240" t="str">
        <f>IF('数据-取费表'!B22&lt;=1,"单利计息","复利计息")</f>
        <v>复利计息</v>
      </c>
    </row>
    <row r="42" spans="1:7" ht="13.5" customHeight="1">
      <c r="A42" s="888" t="s">
        <v>791</v>
      </c>
      <c r="B42" s="221" t="s">
        <v>2229</v>
      </c>
      <c r="C42" s="244" t="e">
        <f ca="1">ROUND(IF('数据-取费表'!B22&lt;=1,C33*F22*'数据-取费表'!B21/2,C33*(POWER((1+F22),'数据-取费表'!B21/2)-1)),0)</f>
        <v>#N/A</v>
      </c>
      <c r="D42" s="244"/>
      <c r="E42" s="244"/>
      <c r="F42" s="245"/>
      <c r="G42" s="3409" t="s">
        <v>2230</v>
      </c>
    </row>
    <row r="43" spans="1:7" ht="13.5" customHeight="1">
      <c r="A43" s="888" t="s">
        <v>792</v>
      </c>
      <c r="B43" s="221" t="s">
        <v>2231</v>
      </c>
      <c r="C43" s="244" t="e">
        <f ca="1">ROUND(IF('数据-取费表'!B22&lt;=1,C39*F22*'数据-取费表'!B21/2,C39*(POWER((1+F22),'数据-取费表'!B21/2)-1)),0)</f>
        <v>#N/A</v>
      </c>
      <c r="D43" s="244"/>
      <c r="E43" s="244"/>
      <c r="F43" s="245"/>
      <c r="G43" s="3410"/>
    </row>
    <row r="44" spans="1:7" ht="13.5" customHeight="1">
      <c r="A44" s="888" t="s">
        <v>793</v>
      </c>
      <c r="B44" s="221" t="s">
        <v>2232</v>
      </c>
      <c r="C44" s="244">
        <f ca="1">ROUND(IF('数据-取费表'!B22&lt;=1,C40*F22*'数据-取费表'!B21/2,C40*(POWER((1+F22),'数据-取费表'!B21/2)-1)),4)</f>
        <v>1E-3</v>
      </c>
      <c r="D44" s="244"/>
      <c r="E44" s="244"/>
      <c r="F44" s="245"/>
      <c r="G44" s="3411"/>
    </row>
    <row r="45" spans="1:7" s="220" customFormat="1" ht="13.5" customHeight="1">
      <c r="A45" s="261" t="s">
        <v>2233</v>
      </c>
      <c r="B45" s="250" t="s">
        <v>2199</v>
      </c>
      <c r="C45" s="251" t="e">
        <f ca="1">C46</f>
        <v>#N/A</v>
      </c>
      <c r="D45" s="241" t="e">
        <f ca="1">C47</f>
        <v>#N/A</v>
      </c>
      <c r="E45" s="242" t="s">
        <v>2225</v>
      </c>
      <c r="F45" s="2539" t="e">
        <f ca="1">F27</f>
        <v>#N/A</v>
      </c>
      <c r="G45" s="253" t="s">
        <v>2234</v>
      </c>
    </row>
    <row r="46" spans="1:7" s="220" customFormat="1" ht="13.5" customHeight="1">
      <c r="A46" s="888" t="s">
        <v>791</v>
      </c>
      <c r="B46" s="254" t="s">
        <v>2235</v>
      </c>
      <c r="C46" s="255" t="e">
        <f ca="1">ROUND((C33+C39)*F27,0)</f>
        <v>#N/A</v>
      </c>
      <c r="D46" s="269"/>
      <c r="E46" s="242"/>
      <c r="F46" s="252"/>
      <c r="G46" s="253"/>
    </row>
    <row r="47" spans="1:7" s="220" customFormat="1" ht="13.5" customHeight="1">
      <c r="A47" s="888" t="s">
        <v>792</v>
      </c>
      <c r="B47" s="254" t="s">
        <v>2236</v>
      </c>
      <c r="C47" s="244" t="e">
        <f ca="1">ROUND(C40*F27,4)</f>
        <v>#N/A</v>
      </c>
      <c r="D47" s="269"/>
      <c r="E47" s="242"/>
      <c r="F47" s="252"/>
      <c r="G47" s="253"/>
    </row>
    <row r="48" spans="1:7" s="220" customFormat="1" ht="13.5" customHeight="1">
      <c r="A48" s="261" t="s">
        <v>2198</v>
      </c>
      <c r="B48" s="216" t="s">
        <v>2237</v>
      </c>
      <c r="C48" s="1497">
        <f>ROUND(F30/(1+'数据-取费表'!C42),4)</f>
        <v>5.33E-2</v>
      </c>
      <c r="D48" s="242" t="s">
        <v>2225</v>
      </c>
      <c r="E48" s="238"/>
      <c r="F48" s="2538">
        <f>F30</f>
        <v>5.6000000000000001E-2</v>
      </c>
      <c r="G48" s="240" t="s">
        <v>2238</v>
      </c>
    </row>
    <row r="49" spans="1:7" ht="16.5" customHeight="1">
      <c r="A49" s="261" t="s">
        <v>2204</v>
      </c>
      <c r="B49" s="216" t="s">
        <v>2239</v>
      </c>
      <c r="C49" s="238" t="e">
        <f ca="1">ROUND((C33+C39+C41+C45)/(1-C40-D41-D45-C48),0)</f>
        <v>#N/A</v>
      </c>
      <c r="D49" s="238"/>
      <c r="E49" s="238"/>
      <c r="F49" s="270"/>
      <c r="G49" s="240" t="s">
        <v>2240</v>
      </c>
    </row>
    <row r="50" spans="1:7" s="264" customFormat="1" ht="24">
      <c r="A50" s="261" t="s">
        <v>2241</v>
      </c>
      <c r="B50" s="216" t="s">
        <v>2242</v>
      </c>
      <c r="C50" s="238"/>
      <c r="D50" s="238"/>
      <c r="E50" s="238"/>
      <c r="F50" s="270" t="e">
        <f>IF('数据-取费表'!B24=0,'数据-取费表'!N16,1)</f>
        <v>#DIV/0!</v>
      </c>
      <c r="G50" s="253" t="s">
        <v>2243</v>
      </c>
    </row>
    <row r="51" spans="1:7" ht="16.5" customHeight="1">
      <c r="A51" s="261" t="s">
        <v>2244</v>
      </c>
      <c r="B51" s="216" t="s">
        <v>2245</v>
      </c>
      <c r="C51" s="238" t="e">
        <f ca="1">ROUND(C49*F50,0)</f>
        <v>#N/A</v>
      </c>
      <c r="D51" s="238"/>
      <c r="E51" s="238"/>
      <c r="F51" s="270"/>
      <c r="G51" s="240" t="s">
        <v>2246</v>
      </c>
    </row>
    <row r="52" spans="1:7" s="214" customFormat="1" ht="16.5" thickBot="1">
      <c r="A52" s="271" t="s">
        <v>2247</v>
      </c>
      <c r="B52" s="272"/>
      <c r="C52" s="273" t="e">
        <f ca="1">C31+C51</f>
        <v>#DIV/0!</v>
      </c>
      <c r="D52" s="272"/>
      <c r="E52" s="272"/>
      <c r="F52" s="272"/>
      <c r="G52" s="274"/>
    </row>
    <row r="55" spans="1:7" ht="15">
      <c r="B55" s="276" t="s">
        <v>2248</v>
      </c>
      <c r="C55" s="277"/>
    </row>
    <row r="56" spans="1:7">
      <c r="B56" s="279" t="s">
        <v>1478</v>
      </c>
      <c r="C56" s="281" t="e">
        <f ca="1">1-C57</f>
        <v>#N/A</v>
      </c>
    </row>
    <row r="57" spans="1:7">
      <c r="B57" s="279" t="s">
        <v>1479</v>
      </c>
      <c r="C57" s="280"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9" xr:uid="{00000000-0002-0000-2200-000003000000}">
      <formula1>"部分缴纳,全部缴纳"</formula1>
    </dataValidation>
    <dataValidation type="list" allowBlank="1" showInputMessage="1" showErrorMessage="1" sqref="G2" xr:uid="{00000000-0002-0000-2200-000004000000}">
      <formula1>估价方法</formula1>
    </dataValidation>
    <dataValidation type="list" allowBlank="1" showInputMessage="1" showErrorMessage="1" sqref="D2" xr:uid="{00000000-0002-0000-2200-000005000000}">
      <formula1>"需扣减承租人权益,——"</formula1>
    </dataValidation>
  </dataValidations>
  <pageMargins left="0.7" right="0.7" top="0.75" bottom="0.75" header="0.3" footer="0.3"/>
  <pageSetup paperSize="9" scale="74"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92D050"/>
  </sheetPr>
  <dimension ref="A1:AK118"/>
  <sheetViews>
    <sheetView view="pageBreakPreview" topLeftCell="A16" zoomScale="90" zoomScaleNormal="80" zoomScaleSheetLayoutView="90" workbookViewId="0">
      <selection activeCell="I12" sqref="I12"/>
    </sheetView>
  </sheetViews>
  <sheetFormatPr defaultColWidth="12" defaultRowHeight="12.75"/>
  <cols>
    <col min="1" max="1" width="9.625" style="2252" customWidth="1"/>
    <col min="2" max="2" width="19.125" style="2355" customWidth="1"/>
    <col min="3" max="4" width="12" style="2186"/>
    <col min="5" max="5" width="14.625" style="2186" customWidth="1"/>
    <col min="6" max="8" width="12" style="2186"/>
    <col min="9" max="9" width="12.125" style="2186" bestFit="1" customWidth="1"/>
    <col min="10" max="10" width="12" style="2186"/>
    <col min="11" max="11" width="8.125" style="2247" customWidth="1"/>
    <col min="12" max="12" width="12" style="2186"/>
    <col min="13" max="13" width="8.5" style="2186" customWidth="1"/>
    <col min="14" max="14" width="9.62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445.5</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 ca="1">C26</f>
        <v>#DIV/0!</v>
      </c>
      <c r="C2" s="2187" t="s">
        <v>2634</v>
      </c>
      <c r="D2" s="2188" t="s">
        <v>2635</v>
      </c>
      <c r="E2" s="2189" t="s">
        <v>1343</v>
      </c>
      <c r="F2" s="2188" t="s">
        <v>2636</v>
      </c>
      <c r="G2" s="2190">
        <f>IF(E2="商业",项目基本情况!B37,IF(E2="办公",项目基本情况!C37,IF(E2="住宅",项目基本情况!D37,项目基本情况!E37)))</f>
        <v>0</v>
      </c>
      <c r="H2" s="2188" t="s">
        <v>2637</v>
      </c>
      <c r="I2" s="2190">
        <f>IF(E2="商业",项目基本情况!B38,IF(E2="办公",项目基本情况!C38,IF(E2="住宅",项目基本情况!D38,项目基本情况!E38)))</f>
        <v>0</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 ca="1">ROUND($C$5*$C$18*$C$19*$C$20*S2*$C$24,0)</f>
        <v>#DIV/0!</v>
      </c>
      <c r="U2" s="1375"/>
      <c r="V2" s="1374" t="e">
        <f ca="1">ROUND(T2*U2/10000,0)</f>
        <v>#DIV/0!</v>
      </c>
      <c r="W2" s="1378"/>
      <c r="X2" s="1378"/>
      <c r="Y2" s="1378"/>
      <c r="Z2" s="1378"/>
      <c r="AA2" s="1378"/>
      <c r="AB2" s="1378"/>
      <c r="AC2" s="1379"/>
      <c r="AD2" s="1380"/>
      <c r="AE2" s="1380"/>
      <c r="AF2" s="1380"/>
      <c r="AG2" s="1380"/>
      <c r="AH2" s="1380"/>
      <c r="AI2" s="1380"/>
      <c r="AJ2" s="1381"/>
    </row>
    <row r="3" spans="1:36" ht="25.5">
      <c r="A3" s="209" t="s">
        <v>2639</v>
      </c>
      <c r="B3" s="210" t="e">
        <f ca="1">ROUND(B2*10000/D1,0)</f>
        <v>#DIV/0!</v>
      </c>
      <c r="C3" s="2187" t="s">
        <v>2640</v>
      </c>
      <c r="D3" s="2188" t="s">
        <v>2641</v>
      </c>
      <c r="E3" s="2193" t="s">
        <v>3250</v>
      </c>
      <c r="F3" s="2194" t="s">
        <v>3272</v>
      </c>
      <c r="G3" s="855" t="e">
        <f>IF(F3="宗地容积率",'数据-汇总表'!I4,IF(F3="估价对象容积率",'数据-汇总表'!I6,'数据-汇总表'!I7))</f>
        <v>#DIV/0!</v>
      </c>
      <c r="H3" s="175" t="s">
        <v>2642</v>
      </c>
      <c r="I3" s="881">
        <v>2</v>
      </c>
      <c r="J3" s="2191" t="s">
        <v>2643</v>
      </c>
      <c r="K3" s="1280"/>
      <c r="L3" s="2192"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ca="1" si="0">ROUND($C$5*$C$18*$C$19*$C$20*S3*$C$24,0)</f>
        <v>#DIV/0!</v>
      </c>
      <c r="U3" s="1375">
        <f>D29</f>
        <v>445.5</v>
      </c>
      <c r="V3" s="1374" t="e">
        <f t="shared" ref="V3:V16" ca="1" si="1">ROUND(T3*U3/10000,0)</f>
        <v>#DIV/0!</v>
      </c>
      <c r="W3" s="1378"/>
      <c r="X3" s="1378"/>
      <c r="Y3" s="1378"/>
      <c r="Z3" s="1378"/>
      <c r="AA3" s="1378"/>
      <c r="AB3" s="1378"/>
      <c r="AC3" s="1379"/>
      <c r="AD3" s="1380"/>
      <c r="AE3" s="1380"/>
      <c r="AF3" s="1380"/>
      <c r="AG3" s="1380"/>
      <c r="AH3" s="1380"/>
      <c r="AI3" s="1380"/>
      <c r="AJ3" s="1381"/>
    </row>
    <row r="4" spans="1:36" ht="15.75">
      <c r="A4" s="3573"/>
      <c r="B4" s="3574"/>
      <c r="C4" s="3574"/>
      <c r="D4" s="3575"/>
      <c r="E4" s="3575"/>
      <c r="F4" s="3575"/>
      <c r="G4" s="3575"/>
      <c r="H4" s="3575"/>
      <c r="I4" s="3575"/>
      <c r="J4" s="3576"/>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ca="1" si="0"/>
        <v>#DIV/0!</v>
      </c>
      <c r="U4" s="1375"/>
      <c r="V4" s="1374" t="e">
        <f t="shared" ca="1"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t="e">
        <f>ROUND(IF(E2="商业",C6*C7+C16,(IF(E2="住宅",C6*C12+C16,C6+C16))),0)</f>
        <v>#DIV/0!</v>
      </c>
      <c r="D5" s="1525" t="e">
        <f>ROUND(C6+C16,0)</f>
        <v>#DIV/0!</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ca="1" si="0"/>
        <v>#DIV/0!</v>
      </c>
      <c r="U5" s="1375"/>
      <c r="V5" s="1374" t="e">
        <f t="shared" ca="1" si="1"/>
        <v>#DIV/0!</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ca="1" si="0"/>
        <v>#DIV/0!</v>
      </c>
      <c r="U6" s="1375"/>
      <c r="V6" s="1374" t="e">
        <f t="shared" ca="1" si="1"/>
        <v>#DIV/0!</v>
      </c>
      <c r="W6" s="1378"/>
      <c r="X6" s="1378"/>
      <c r="Y6" s="1378"/>
      <c r="Z6" s="1378"/>
      <c r="AA6" s="1378"/>
      <c r="AB6" s="1378"/>
      <c r="AC6" s="2201"/>
      <c r="AD6" s="2202"/>
      <c r="AE6" s="2202"/>
      <c r="AF6" s="2202"/>
      <c r="AG6" s="2202"/>
      <c r="AH6" s="2202"/>
      <c r="AI6" s="2202"/>
      <c r="AJ6" s="2203"/>
    </row>
    <row r="7" spans="1:36" ht="24">
      <c r="A7" s="3577" t="str">
        <f>IF(E2="商业",IF(C8="不临58条商业街","",2),"")</f>
        <v/>
      </c>
      <c r="B7" s="2211" t="s">
        <v>2652</v>
      </c>
      <c r="C7" s="858">
        <f>IF(C8="不临58条商业街",1,ROUND(1+(1.6*E8+1.2*E9+0.8*E10+0.4*E11)*C9,4))</f>
        <v>1</v>
      </c>
      <c r="D7" s="2212" t="s">
        <v>2653</v>
      </c>
      <c r="E7" s="882">
        <v>6</v>
      </c>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ca="1" si="0"/>
        <v>#DIV/0!</v>
      </c>
      <c r="U7" s="1375"/>
      <c r="V7" s="1374" t="e">
        <f t="shared" ca="1" si="1"/>
        <v>#DIV/0!</v>
      </c>
      <c r="W7" s="1544" t="s">
        <v>2655</v>
      </c>
      <c r="X7" s="1376">
        <f>G2</f>
        <v>0</v>
      </c>
      <c r="Y7" s="1376" t="s">
        <v>2656</v>
      </c>
      <c r="Z7" s="1377" t="e">
        <f>G3</f>
        <v>#DIV/0!</v>
      </c>
      <c r="AA7" s="1378"/>
      <c r="AB7" s="1378"/>
      <c r="AC7" s="1379"/>
      <c r="AD7" s="1380"/>
      <c r="AE7" s="1380"/>
      <c r="AF7" s="1380"/>
      <c r="AG7" s="1380"/>
      <c r="AH7" s="1380"/>
      <c r="AI7" s="1380"/>
      <c r="AJ7" s="1381"/>
    </row>
    <row r="8" spans="1:36" ht="25.5">
      <c r="A8" s="3578"/>
      <c r="B8" s="175" t="s">
        <v>2657</v>
      </c>
      <c r="C8" s="2216" t="s">
        <v>3251</v>
      </c>
      <c r="D8" s="859" t="s">
        <v>139</v>
      </c>
      <c r="E8" s="860">
        <f>ROUND(C11/E7,4)</f>
        <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ca="1" si="0"/>
        <v>#DIV/0!</v>
      </c>
      <c r="U8" s="1375"/>
      <c r="V8" s="1374" t="e">
        <f t="shared" ca="1" si="1"/>
        <v>#DIV/0!</v>
      </c>
      <c r="W8" s="3570" t="s">
        <v>2660</v>
      </c>
      <c r="X8" s="3571"/>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578"/>
      <c r="B9" s="175" t="s">
        <v>2673</v>
      </c>
      <c r="C9" s="861">
        <f>SUMIF(修正!C59:C119,C8,修正!E59:E119)</f>
        <v>0</v>
      </c>
      <c r="D9" s="176" t="s">
        <v>140</v>
      </c>
      <c r="E9" s="176">
        <f>ROUND(C11/E7,4)</f>
        <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ca="1" si="0"/>
        <v>#DIV/0!</v>
      </c>
      <c r="U9" s="1375"/>
      <c r="V9" s="1374" t="e">
        <f t="shared" ca="1" si="1"/>
        <v>#DIV/0!</v>
      </c>
      <c r="W9" s="3572"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78"/>
      <c r="B10" s="175" t="s">
        <v>2678</v>
      </c>
      <c r="C10" s="176">
        <f>SUMIF(修正!C59:C119,C8,修正!F59:F119)</f>
        <v>0</v>
      </c>
      <c r="D10" s="176" t="s">
        <v>141</v>
      </c>
      <c r="E10" s="176">
        <f>ROUND(C11/E7,4)</f>
        <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ca="1" si="0"/>
        <v>#DIV/0!</v>
      </c>
      <c r="U10" s="1375"/>
      <c r="V10" s="1374" t="e">
        <f t="shared" ca="1" si="1"/>
        <v>#DIV/0!</v>
      </c>
      <c r="W10" s="357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78"/>
      <c r="B11" s="2220" t="s">
        <v>2681</v>
      </c>
      <c r="C11" s="862">
        <f>C10/4</f>
        <v>0</v>
      </c>
      <c r="D11" s="862" t="s">
        <v>142</v>
      </c>
      <c r="E11" s="862">
        <f>ROUND(C11/E7,4)</f>
        <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ca="1" si="0"/>
        <v>#DIV/0!</v>
      </c>
      <c r="U11" s="1375"/>
      <c r="V11" s="1374" t="e">
        <f t="shared" ca="1" si="1"/>
        <v>#DIV/0!</v>
      </c>
      <c r="W11" s="3572"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577"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ca="1" si="0"/>
        <v>#DIV/0!</v>
      </c>
      <c r="U12" s="1375"/>
      <c r="V12" s="1374" t="e">
        <f t="shared" ca="1" si="1"/>
        <v>#DIV/0!</v>
      </c>
      <c r="W12" s="3572"/>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79"/>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t="e">
        <f t="shared" ca="1" si="0"/>
        <v>#DIV/0!</v>
      </c>
      <c r="U13" s="1375"/>
      <c r="V13" s="1374" t="e">
        <f t="shared" ca="1" si="1"/>
        <v>#DIV/0!</v>
      </c>
      <c r="W13" s="3572"/>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579"/>
      <c r="B14" s="2234"/>
      <c r="C14" s="2235"/>
      <c r="D14" s="2236"/>
      <c r="E14" s="2236"/>
      <c r="F14" s="2237"/>
      <c r="G14" s="2238" t="s">
        <v>2697</v>
      </c>
      <c r="H14" s="2239"/>
      <c r="I14" s="2240"/>
      <c r="J14" s="2241"/>
      <c r="K14" s="1280"/>
      <c r="L14" s="1280"/>
      <c r="M14" s="1280"/>
      <c r="N14" s="1280"/>
      <c r="O14" s="1280"/>
      <c r="P14" s="1280"/>
      <c r="Q14" s="1280"/>
      <c r="R14" s="1374">
        <v>13</v>
      </c>
      <c r="S14" s="1375"/>
      <c r="T14" s="1374" t="e">
        <f t="shared" ca="1" si="0"/>
        <v>#DIV/0!</v>
      </c>
      <c r="U14" s="1375"/>
      <c r="V14" s="1374" t="e">
        <f t="shared" ca="1" si="1"/>
        <v>#DIV/0!</v>
      </c>
      <c r="W14" s="1378"/>
      <c r="X14" s="1378"/>
      <c r="Y14" s="1378"/>
      <c r="Z14" s="1378"/>
      <c r="AA14" s="1378"/>
      <c r="AB14" s="1378"/>
      <c r="AC14" s="1379"/>
      <c r="AD14" s="3020"/>
      <c r="AE14" s="3020"/>
      <c r="AF14" s="3020"/>
      <c r="AG14" s="3020"/>
      <c r="AH14" s="3020"/>
      <c r="AI14" s="3020"/>
      <c r="AJ14" s="3021"/>
    </row>
    <row r="15" spans="1:36" ht="15.75" thickBot="1">
      <c r="A15" s="3580"/>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ca="1" si="0"/>
        <v>#DIV/0!</v>
      </c>
      <c r="U15" s="1375"/>
      <c r="V15" s="1374" t="e">
        <f t="shared" ca="1" si="1"/>
        <v>#DIV/0!</v>
      </c>
      <c r="W15" s="1378"/>
      <c r="X15" s="1378"/>
      <c r="Y15" s="1378"/>
      <c r="Z15" s="1378"/>
      <c r="AA15" s="1378"/>
      <c r="AB15" s="1378"/>
      <c r="AC15" s="1379"/>
      <c r="AD15" s="3020"/>
      <c r="AE15" s="3020"/>
      <c r="AF15" s="3020"/>
      <c r="AG15" s="3020"/>
      <c r="AH15" s="3020"/>
      <c r="AI15" s="3020"/>
      <c r="AJ15" s="3021"/>
    </row>
    <row r="16" spans="1:36" ht="24.6" customHeight="1">
      <c r="A16" s="3577" t="s">
        <v>2703</v>
      </c>
      <c r="B16" s="2211" t="s">
        <v>2704</v>
      </c>
      <c r="C16" s="2373" t="e">
        <f>ROUND(IF(F17="与级别开发程度一致",0,(G17-E17)/C17),0)</f>
        <v>#DIV/0!</v>
      </c>
      <c r="D16" s="3593" t="s">
        <v>2708</v>
      </c>
      <c r="E16" s="3594"/>
      <c r="F16" s="3593" t="s">
        <v>2705</v>
      </c>
      <c r="G16" s="3594"/>
      <c r="H16" s="2243" t="s">
        <v>3192</v>
      </c>
      <c r="I16" s="2243" t="s">
        <v>3193</v>
      </c>
      <c r="J16" s="2377" t="s">
        <v>3194</v>
      </c>
      <c r="K16" s="2243" t="s">
        <v>3195</v>
      </c>
      <c r="L16" s="2243" t="s">
        <v>3196</v>
      </c>
      <c r="M16" s="2243" t="s">
        <v>3197</v>
      </c>
      <c r="N16" s="2243"/>
      <c r="O16" s="2244"/>
      <c r="P16" s="2185"/>
      <c r="Q16" s="1280"/>
      <c r="R16" s="1374">
        <v>15</v>
      </c>
      <c r="S16" s="1375"/>
      <c r="T16" s="1374" t="e">
        <f t="shared" ca="1" si="0"/>
        <v>#DIV/0!</v>
      </c>
      <c r="U16" s="1375"/>
      <c r="V16" s="1374" t="e">
        <f t="shared" ca="1" si="1"/>
        <v>#DIV/0!</v>
      </c>
      <c r="W16" s="1378"/>
      <c r="X16" s="1378"/>
      <c r="Y16" s="1378"/>
      <c r="Z16" s="1378"/>
      <c r="AA16" s="1378"/>
      <c r="AB16" s="1378"/>
      <c r="AC16" s="1379"/>
      <c r="AD16" s="3020"/>
      <c r="AE16" s="3020"/>
      <c r="AF16" s="3020"/>
      <c r="AG16" s="3020"/>
      <c r="AH16" s="3020"/>
      <c r="AI16" s="3020"/>
      <c r="AJ16" s="3021"/>
    </row>
    <row r="17" spans="1:37" ht="26.25" thickBot="1">
      <c r="A17" s="3581"/>
      <c r="B17" s="2384" t="s">
        <v>2707</v>
      </c>
      <c r="C17" s="2385">
        <f>SUMPRODUCT((修正!A2:A5=E2)*(修正!B1:M1=G2)*(修正!B2:M5))</f>
        <v>0</v>
      </c>
      <c r="D17" s="193" t="str">
        <f>IF(OR(G2="八级",G2="九级",G2="十级",G2="十一级",G2="十二级"),"五通一平","七通一平")</f>
        <v>七通一平</v>
      </c>
      <c r="E17" s="2374">
        <f>SUMPRODUCT((修正!B1:M1=G2)*(修正!B15:M15))</f>
        <v>0</v>
      </c>
      <c r="F17" s="2375" t="s">
        <v>3205</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1.1000000000000001</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9.25" thickBot="1">
      <c r="A19" s="2248" t="s">
        <v>809</v>
      </c>
      <c r="B19" s="2249" t="s">
        <v>2711</v>
      </c>
      <c r="C19" s="863">
        <v>1.3785000000000001</v>
      </c>
      <c r="D19" s="2253" t="s">
        <v>2712</v>
      </c>
      <c r="E19" s="864">
        <v>41640</v>
      </c>
      <c r="F19" s="2253" t="s">
        <v>2713</v>
      </c>
      <c r="G19" s="865">
        <f>'数据-取费表'!B2</f>
        <v>44959</v>
      </c>
      <c r="H19" s="2254" t="s">
        <v>3206</v>
      </c>
      <c r="I19" s="866" t="str">
        <f>IF(H19="季度增幅（自定义）",SUMIF(N21:N24,E2,O21:O24),"")</f>
        <v/>
      </c>
      <c r="J19" s="2251"/>
      <c r="K19" s="1287"/>
      <c r="L19" s="2255" t="s">
        <v>2714</v>
      </c>
      <c r="M19" s="1498">
        <f>ROUND(SUMIF(地价!B2:F2,E2,地价!B32:F32),0)</f>
        <v>258</v>
      </c>
      <c r="N19" s="2256" t="s">
        <v>2715</v>
      </c>
      <c r="O19" s="867">
        <f>ROUNDDOWN(DATEDIF(E19,G19,"M")/3,0)</f>
        <v>36</v>
      </c>
      <c r="P19" s="1284"/>
      <c r="Q19" s="1286"/>
      <c r="R19" s="1286"/>
      <c r="S19" s="1286"/>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7.75" thickBot="1">
      <c r="A20" s="2258" t="s">
        <v>810</v>
      </c>
      <c r="B20" s="2259" t="s">
        <v>2716</v>
      </c>
      <c r="C20" s="868">
        <f ca="1">ROUND(POWER(1+G20,J20-I20)*(POWER(1+G20,I20)-1)/(POWER(1+G20,J20)-1),4)</f>
        <v>0.90249999999999997</v>
      </c>
      <c r="D20" s="2260" t="s">
        <v>2717</v>
      </c>
      <c r="E20" s="1507">
        <f ca="1">存贷款利率!D4/100</f>
        <v>4.3499999999999997E-2</v>
      </c>
      <c r="F20" s="2260" t="s">
        <v>2709</v>
      </c>
      <c r="G20" s="873">
        <f ca="1">SUMIF(M26:P26,E2,M28:P28)</f>
        <v>5.3999999999999999E-2</v>
      </c>
      <c r="H20" s="2260" t="s">
        <v>2718</v>
      </c>
      <c r="I20" s="874">
        <f>SUMIF('数据-取费表'!C6:C15,E2,'数据-取费表'!F6:F15)/COUNTIF('数据-取费表'!C6:C15,E2)</f>
        <v>29.89</v>
      </c>
      <c r="J20" s="875">
        <f>IF(E2="住宅",70,IF(E2="商业",40,50))</f>
        <v>40</v>
      </c>
      <c r="K20" s="1287"/>
      <c r="L20" s="2261" t="s">
        <v>2719</v>
      </c>
      <c r="M20" s="1499">
        <f>ROUND(SUMPRODUCT((地价!A4:A32=YEAR(G19)&amp;"-"&amp;ROUNDUP(MONTH(G19)/3,0))*(地价!B2:F2=E2)*(地价!B4:F32)),0)</f>
        <v>0</v>
      </c>
      <c r="N20" s="2262" t="s">
        <v>2720</v>
      </c>
      <c r="O20" s="2263" t="s">
        <v>2721</v>
      </c>
      <c r="P20" s="2264"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4" customFormat="1" ht="15">
      <c r="A21" s="2265" t="s">
        <v>811</v>
      </c>
      <c r="B21" s="2266" t="s">
        <v>3273</v>
      </c>
      <c r="C21" s="876" t="e">
        <f>IF(B21="容积率修正",IF(G3&lt;=10,D22,J22),C23)</f>
        <v>#DIV/0!</v>
      </c>
      <c r="D21" s="2267"/>
      <c r="E21" s="2267"/>
      <c r="F21" s="2267"/>
      <c r="G21" s="2267"/>
      <c r="H21" s="2267"/>
      <c r="I21" s="2267"/>
      <c r="J21" s="2268"/>
      <c r="K21" s="1287"/>
      <c r="L21" s="3019"/>
      <c r="M21" s="3019"/>
      <c r="N21" s="2269" t="s">
        <v>2723</v>
      </c>
      <c r="O21" s="1335"/>
      <c r="P21" s="1336">
        <f>SUMPRODUCT((地价!A3:A32=YEAR(G19)&amp;"-"&amp;ROUNDUP(MONTH(G19)/3,0))*(地价!AD2:AH2=N21)*(地价!AD3:AH32))</f>
        <v>0</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25">
      <c r="A22" s="2143" t="s">
        <v>2724</v>
      </c>
      <c r="B22" s="2270" t="s">
        <v>2725</v>
      </c>
      <c r="C22" s="1538" t="s">
        <v>2726</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9"/>
      <c r="M22" s="3019"/>
      <c r="N22" s="2269" t="s">
        <v>2727</v>
      </c>
      <c r="O22" s="1335"/>
      <c r="P22" s="1336">
        <f>SUMPRODUCT((地价!A3:A32=YEAR(G19)&amp;"-"&amp;ROUNDUP(MONTH(G19)/3,0))*(地价!AD2:AH2=N22)*(地价!AD3:AH32))</f>
        <v>0</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3" t="s">
        <v>2728</v>
      </c>
      <c r="B23" s="2271" t="s">
        <v>2729</v>
      </c>
      <c r="C23" s="950" t="e">
        <f>ROUND(IF(G3&gt;1,IF(I3&lt;7,SUMPRODUCT((B93:B98=I3)*(C92:N92=G2)*(C93:N98)),SUMIF(C92:N92,G2,C100:N100)),IF(I3&lt;7,SUMPRODUCT((B102:B107=I3)*(C92:N92=G2)*(C102:N107)),SUMIF(C92:N92,G2,C109:N109))),4)</f>
        <v>#DIV/0!</v>
      </c>
      <c r="D23" s="2239"/>
      <c r="E23" s="2239"/>
      <c r="F23" s="2272"/>
      <c r="G23" s="2273"/>
      <c r="H23" s="2274"/>
      <c r="I23" s="2275"/>
      <c r="J23" s="2276"/>
      <c r="K23" s="1280"/>
      <c r="L23" s="2185"/>
      <c r="M23" s="2185"/>
      <c r="N23" s="2269" t="s">
        <v>2730</v>
      </c>
      <c r="O23" s="1335"/>
      <c r="P23" s="1336">
        <f>SUMPRODUCT((地价!A3:A32=YEAR(G19)&amp;"-"&amp;ROUNDUP(MONTH(G19)/3,0))*(地价!AD2:AH2=N23)*(地价!AD3:AH32))</f>
        <v>0</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1</v>
      </c>
      <c r="D24" s="2250"/>
      <c r="E24" s="2277"/>
      <c r="F24" s="2277"/>
      <c r="G24" s="2277"/>
      <c r="H24" s="2277"/>
      <c r="I24" s="2277"/>
      <c r="J24" s="2278"/>
      <c r="K24" s="1287"/>
      <c r="L24" s="3019"/>
      <c r="M24" s="3019"/>
      <c r="N24" s="2279" t="s">
        <v>2732</v>
      </c>
      <c r="O24" s="1337"/>
      <c r="P24" s="1338">
        <f>SUMPRODUCT((地价!A3:A32=YEAR(G19)&amp;"-"&amp;ROUNDUP(MONTH(G19)/3,0))*(地价!AD2:AH2=N24)*(地价!AD3:AH32))</f>
        <v>0</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8" t="s">
        <v>813</v>
      </c>
      <c r="B25" s="2280" t="s">
        <v>2733</v>
      </c>
      <c r="C25" s="869"/>
      <c r="D25" s="2214"/>
      <c r="E25" s="2214"/>
      <c r="F25" s="2281"/>
      <c r="G25" s="2214"/>
      <c r="H25" s="2214"/>
      <c r="I25" s="2214"/>
      <c r="J25" s="2215"/>
      <c r="K25" s="1280"/>
      <c r="L25" s="2185"/>
      <c r="M25" s="2185"/>
      <c r="N25" s="3014" t="s">
        <v>2734</v>
      </c>
      <c r="O25" s="3015"/>
      <c r="P25" s="3016">
        <f>SUMPRODUCT((地价!A3:A32=YEAR(G19)&amp;"-"&amp;ROUNDUP(MONTH(G19)/3,0))*(地价!AD2:AH2=N25)*(地价!AD3:AH32))</f>
        <v>0</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4" t="e">
        <f ca="1">IF(B21="容积率修正",E29+SUM(E33:E39),SUM(V2:V16)+SUM(E33:E39))</f>
        <v>#DIV/0!</v>
      </c>
      <c r="D26" s="2283"/>
      <c r="E26" s="2239"/>
      <c r="F26" s="2284"/>
      <c r="G26" s="2239"/>
      <c r="H26" s="2239"/>
      <c r="I26" s="2239"/>
      <c r="J26" s="2285"/>
      <c r="K26" s="1280"/>
      <c r="L26" s="3017" t="s">
        <v>2635</v>
      </c>
      <c r="M26" s="2212" t="s">
        <v>2699</v>
      </c>
      <c r="N26" s="2212" t="s">
        <v>2700</v>
      </c>
      <c r="O26" s="2212" t="s">
        <v>2701</v>
      </c>
      <c r="P26" s="3018"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t="e">
        <f ca="1">E30+SUM(I33:I39)</f>
        <v>#DIV/0!</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t="e">
        <f ca="1">ROUND(C5*C18*C19*C20*C21*C24,0)</f>
        <v>#DIV/0!</v>
      </c>
      <c r="D29" s="2298">
        <f>'数据-汇总表'!F19</f>
        <v>445.5</v>
      </c>
      <c r="E29" s="879" t="e">
        <f ca="1">ROUND(C29*D29/10000,0)</f>
        <v>#DIV/0!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t="e">
        <f ca="1">ROUND(IF(E2="工业",C29*M39,C29*M38),0)</f>
        <v>#DIV/0!</v>
      </c>
      <c r="D30" s="2304"/>
      <c r="E30" s="879" t="e">
        <f ca="1">ROUND(C30*D30/10000,0)</f>
        <v>#DIV/0!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590"/>
      <c r="B33" s="2314" t="s">
        <v>2749</v>
      </c>
      <c r="C33" s="180" t="e">
        <f ca="1">ROUND(D5*C19*C20*C24*F33,0)</f>
        <v>#DIV/0!</v>
      </c>
      <c r="D33" s="2298"/>
      <c r="E33" s="176" t="e">
        <f ca="1">ROUND(C33*D33/10000,0)</f>
        <v>#DIV/0!</v>
      </c>
      <c r="F33" s="176">
        <f>SUMIF(修正!A45:A56,G2,修正!B45:B56)</f>
        <v>0</v>
      </c>
      <c r="G33" s="176" t="e">
        <f t="shared" ref="G33" ca="1" si="6">ROUND(IF(E2="工业",C33*$M$39,C33*$M$38),0)</f>
        <v>#DIV/0!</v>
      </c>
      <c r="H33" s="176">
        <f>D33</f>
        <v>0</v>
      </c>
      <c r="I33" s="176" t="e">
        <f ca="1">ROUND(G33*H33/10000,0)</f>
        <v>#DIV/0!</v>
      </c>
      <c r="J33" s="3595"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591"/>
      <c r="B34" s="2231" t="s">
        <v>2750</v>
      </c>
      <c r="C34" s="180" t="e">
        <f ca="1">ROUND(D5*C19*C20*C24*F34,0)</f>
        <v>#DIV/0!</v>
      </c>
      <c r="D34" s="2298"/>
      <c r="E34" s="176" t="e">
        <f t="shared" ref="E34:E39" ca="1" si="7">ROUND(C34*D34/10000,0)</f>
        <v>#DIV/0!</v>
      </c>
      <c r="F34" s="176">
        <f>SUMIF(修正!A45:A56,G2,修正!C45:C56)</f>
        <v>0</v>
      </c>
      <c r="G34" s="176" t="e">
        <f ca="1">ROUND(IF(E2="工业",C34*$M$39,C34*$M$38),0)</f>
        <v>#DIV/0!</v>
      </c>
      <c r="H34" s="176">
        <f t="shared" ref="H34:H39" si="8">D34</f>
        <v>0</v>
      </c>
      <c r="I34" s="176" t="e">
        <f t="shared" ref="I34:I39" ca="1" si="9">ROUND(G34*H34/10000,0)</f>
        <v>#DIV/0!</v>
      </c>
      <c r="J34" s="359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591"/>
      <c r="B35" s="2231" t="s">
        <v>2751</v>
      </c>
      <c r="C35" s="180" t="e">
        <f ca="1">ROUND(D5*C19*C20*C24*F35,0)</f>
        <v>#DIV/0!</v>
      </c>
      <c r="D35" s="2298"/>
      <c r="E35" s="176" t="e">
        <f t="shared" ca="1" si="7"/>
        <v>#DIV/0!</v>
      </c>
      <c r="F35" s="176">
        <f>SUMIF(修正!A45:A56,G2,修正!D45:D56)</f>
        <v>0</v>
      </c>
      <c r="G35" s="176" t="e">
        <f ca="1">ROUND(IF(E2="工业",C35*$M$39,C35*$M$38),0)</f>
        <v>#DIV/0!</v>
      </c>
      <c r="H35" s="176">
        <f t="shared" si="8"/>
        <v>0</v>
      </c>
      <c r="I35" s="176" t="e">
        <f t="shared" ca="1" si="9"/>
        <v>#DIV/0!</v>
      </c>
      <c r="J35" s="359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592"/>
      <c r="B36" s="2231" t="s">
        <v>2752</v>
      </c>
      <c r="C36" s="180" t="e">
        <f ca="1">ROUND(D5*C19*C20*C24*F36,0)</f>
        <v>#DIV/0!</v>
      </c>
      <c r="D36" s="2298"/>
      <c r="E36" s="176" t="e">
        <f t="shared" ca="1" si="7"/>
        <v>#DIV/0!</v>
      </c>
      <c r="F36" s="176">
        <f>SUMIF(修正!A45:A56,G2,修正!E45:E56)</f>
        <v>0</v>
      </c>
      <c r="G36" s="176" t="e">
        <f ca="1">ROUND(IF(E2="工业",C36*$M$39,C36*$M$38),0)</f>
        <v>#DIV/0!</v>
      </c>
      <c r="H36" s="176">
        <f t="shared" si="8"/>
        <v>0</v>
      </c>
      <c r="I36" s="176" t="e">
        <f t="shared" ca="1" si="9"/>
        <v>#DIV/0!</v>
      </c>
      <c r="J36" s="3592"/>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t="e">
        <f ca="1">ROUND(D5*C19*C20*C24*F37,0)</f>
        <v>#DIV/0!</v>
      </c>
      <c r="D37" s="2298"/>
      <c r="E37" s="176" t="e">
        <f t="shared" ca="1" si="7"/>
        <v>#DIV/0!</v>
      </c>
      <c r="F37" s="180">
        <f>SUMIF(修正!A45:A56,G2,修正!F45:F56)</f>
        <v>0</v>
      </c>
      <c r="G37" s="176" t="e">
        <f ca="1">ROUND(IF(E2="工业",C37*$M$39,C37*$M$38),0)</f>
        <v>#DIV/0!</v>
      </c>
      <c r="H37" s="176">
        <f t="shared" si="8"/>
        <v>0</v>
      </c>
      <c r="I37" s="176" t="e">
        <f t="shared" ca="1" si="9"/>
        <v>#DIV/0!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t="e">
        <f ca="1">ROUND(D5*C19*C41*C24*F38,0)</f>
        <v>#DIV/0!</v>
      </c>
      <c r="D38" s="2298"/>
      <c r="E38" s="176" t="e">
        <f t="shared" ca="1" si="7"/>
        <v>#DIV/0!</v>
      </c>
      <c r="F38" s="180">
        <f>SUMIF(修正!A45:A56,G2,修正!G45:G56)</f>
        <v>0</v>
      </c>
      <c r="G38" s="176" t="e">
        <f ca="1">ROUND(IF(E2="工业",C38*$M$39,C38*$M$38),0)</f>
        <v>#DIV/0!</v>
      </c>
      <c r="H38" s="176">
        <f t="shared" si="8"/>
        <v>0</v>
      </c>
      <c r="I38" s="176" t="e">
        <f t="shared" ca="1" si="9"/>
        <v>#DIV/0!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t="e">
        <f ca="1">ROUND(D5*C19*C41*C24*F39,0)</f>
        <v>#DIV/0!</v>
      </c>
      <c r="D39" s="2304"/>
      <c r="E39" s="193" t="e">
        <f t="shared" ca="1" si="7"/>
        <v>#DIV/0!</v>
      </c>
      <c r="F39" s="871">
        <f>SUMIF(修正!A45:A56,G2,修正!H45:H56)</f>
        <v>0</v>
      </c>
      <c r="G39" s="193" t="e">
        <f ca="1">ROUND(IF(E2="工业",C39*$M$39,C39*$M$38),0)</f>
        <v>#DIV/0!</v>
      </c>
      <c r="H39" s="193">
        <f t="shared" si="8"/>
        <v>0</v>
      </c>
      <c r="I39" s="193" t="e">
        <f t="shared" ca="1" si="9"/>
        <v>#DIV/0!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f ca="1">ROUND(POWER(1+E41,H41-G41)*(POWER(1+E41,G41)-1)/(POWER(1+E41,H41)-1),4)</f>
        <v>0</v>
      </c>
      <c r="D41" s="176" t="s">
        <v>2709</v>
      </c>
      <c r="E41" s="2371">
        <f ca="1">G20</f>
        <v>5.3999999999999999E-2</v>
      </c>
      <c r="F41" s="176" t="s">
        <v>2718</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估价对象位于XX商圈，周边商业氛围成熟，人流量大，商业繁华度好</v>
      </c>
      <c r="C48" s="2236" t="s">
        <v>3207</v>
      </c>
      <c r="D48" s="1196">
        <f t="shared" ref="D48:D56" si="10">SUMIF($J$47:$N$47,C48,J48:N48)</f>
        <v>0</v>
      </c>
      <c r="E48" s="760">
        <f>ROUND(SUM(D48:D56),4)</f>
        <v>0</v>
      </c>
      <c r="F48" s="2002">
        <f>IF(E2="商业",SUMIF(L1:L12,G2,N1:N12),"——")</f>
        <v>0</v>
      </c>
      <c r="G48" s="1194">
        <f>H48</f>
        <v>0</v>
      </c>
      <c r="H48" s="1198">
        <f t="shared" ref="H48:H56" si="11">IFERROR(ROUNDDOWN($F$48*I48/2,4),"——")</f>
        <v>0</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2769</v>
      </c>
      <c r="B49" s="2335" t="str">
        <f>估价对象房地状况!C18</f>
        <v>好-估价对象临近城市主干道—安定路，临近地铁10号线（安贞门站）有18路、108路、124路、380路、387路等10余条公交线路</v>
      </c>
      <c r="C49" s="2236" t="s">
        <v>3207</v>
      </c>
      <c r="D49" s="1196">
        <f t="shared" si="10"/>
        <v>0</v>
      </c>
      <c r="E49" s="761"/>
      <c r="F49" s="2002"/>
      <c r="G49" s="1194">
        <f t="shared" ref="G49:G56" si="15">H49</f>
        <v>0</v>
      </c>
      <c r="H49" s="1198">
        <f t="shared" si="11"/>
        <v>0</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t="s">
        <v>3209</v>
      </c>
      <c r="D50" s="1196">
        <f t="shared" si="10"/>
        <v>0</v>
      </c>
      <c r="E50" s="761"/>
      <c r="F50" s="2002"/>
      <c r="G50" s="1194">
        <f t="shared" si="15"/>
        <v>0</v>
      </c>
      <c r="H50" s="1198">
        <f t="shared" si="11"/>
        <v>0</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2771</v>
      </c>
      <c r="B51" s="2336" t="s">
        <v>2772</v>
      </c>
      <c r="C51" s="2236" t="s">
        <v>3209</v>
      </c>
      <c r="D51" s="1196">
        <f t="shared" si="10"/>
        <v>0</v>
      </c>
      <c r="E51" s="761"/>
      <c r="F51" s="2002"/>
      <c r="G51" s="1194">
        <f t="shared" si="15"/>
        <v>0</v>
      </c>
      <c r="H51" s="1198">
        <f t="shared" si="11"/>
        <v>0</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t="s">
        <v>3207</v>
      </c>
      <c r="D52" s="1196">
        <f t="shared" si="10"/>
        <v>0</v>
      </c>
      <c r="E52" s="761"/>
      <c r="F52" s="2002"/>
      <c r="G52" s="1194">
        <f t="shared" si="15"/>
        <v>0</v>
      </c>
      <c r="H52" s="1198">
        <f t="shared" si="11"/>
        <v>0</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2774</v>
      </c>
      <c r="B53" s="2337" t="s">
        <v>2775</v>
      </c>
      <c r="C53" s="2236" t="s">
        <v>3209</v>
      </c>
      <c r="D53" s="1196">
        <f t="shared" si="10"/>
        <v>0</v>
      </c>
      <c r="E53" s="761"/>
      <c r="F53" s="2002"/>
      <c r="G53" s="1194">
        <f t="shared" si="15"/>
        <v>0</v>
      </c>
      <c r="H53" s="1198">
        <f t="shared" si="11"/>
        <v>0</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2776</v>
      </c>
      <c r="B54" s="1496" t="str">
        <f>估价对象房地状况!C21</f>
        <v>估价对象所在区域公共配套设施齐备情况</v>
      </c>
      <c r="C54" s="2236" t="s">
        <v>3207</v>
      </c>
      <c r="D54" s="1196">
        <f t="shared" si="10"/>
        <v>0</v>
      </c>
      <c r="E54" s="761"/>
      <c r="F54" s="2002"/>
      <c r="G54" s="1194">
        <f t="shared" si="15"/>
        <v>0</v>
      </c>
      <c r="H54" s="1198">
        <f t="shared" si="11"/>
        <v>0</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2777</v>
      </c>
      <c r="B55" s="2335" t="str">
        <f>估价对象房地状况!C22</f>
        <v>估价对象所在区域基础设施水平</v>
      </c>
      <c r="C55" s="2236" t="s">
        <v>3207</v>
      </c>
      <c r="D55" s="1196">
        <f t="shared" si="10"/>
        <v>0</v>
      </c>
      <c r="E55" s="761"/>
      <c r="F55" s="2002"/>
      <c r="G55" s="1194">
        <f t="shared" si="15"/>
        <v>0</v>
      </c>
      <c r="H55" s="1198">
        <f t="shared" si="11"/>
        <v>0</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2778</v>
      </c>
      <c r="B56" s="2340" t="str">
        <f>估价对象房地状况!C20</f>
        <v>区域自然环境：；人文环境；综合评价环境状况一般</v>
      </c>
      <c r="C56" s="2236" t="s">
        <v>3209</v>
      </c>
      <c r="D56" s="1196">
        <f t="shared" si="10"/>
        <v>0</v>
      </c>
      <c r="E56" s="764"/>
      <c r="F56" s="2002"/>
      <c r="G56" s="1194">
        <f t="shared" si="15"/>
        <v>0</v>
      </c>
      <c r="H56" s="1198">
        <f t="shared" si="11"/>
        <v>0</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c r="D59" s="1196">
        <f t="shared" ref="D59:D67" si="16">SUMIF($J$58:$N$58,C59,J59:N59)</f>
        <v>0</v>
      </c>
      <c r="E59" s="760">
        <f>ROUND(SUM(D59:D67),4)</f>
        <v>0</v>
      </c>
      <c r="F59" s="2002" t="str">
        <f>IF(E2="办公",SUMIF(L1:L12,G2,N1:N12),"——")</f>
        <v>——</v>
      </c>
      <c r="G59" s="1194" t="str">
        <f>H59</f>
        <v>——</v>
      </c>
      <c r="H59" s="1198" t="str">
        <f t="shared" ref="H59:H67" si="17">IFERROR(ROUNDDOWN($F$59*I59/2,4),"——")</f>
        <v>——</v>
      </c>
      <c r="I59" s="759">
        <v>0.24</v>
      </c>
      <c r="J59" s="1195" t="e">
        <f t="shared" ref="J59:J67" si="18">K59+$G59</f>
        <v>#VALUE!</v>
      </c>
      <c r="K59" s="1195" t="e">
        <f t="shared" ref="K59:K67" si="19">$L59+$G59</f>
        <v>#VALUE!</v>
      </c>
      <c r="L59" s="1195">
        <v>0</v>
      </c>
      <c r="M59" s="1195" t="e">
        <f t="shared" ref="M59:N67" si="20">L59-$G59</f>
        <v>#VALUE!</v>
      </c>
      <c r="N59" s="1195" t="e">
        <f t="shared" si="20"/>
        <v>#VALUE!</v>
      </c>
      <c r="AA59" s="1281"/>
      <c r="AB59" s="1281"/>
      <c r="AC59" s="1281"/>
      <c r="AD59" s="1281"/>
      <c r="AE59" s="1281"/>
      <c r="AF59" s="1281"/>
      <c r="AG59" s="1281"/>
      <c r="AH59" s="1281"/>
      <c r="AI59" s="1281"/>
      <c r="AJ59" s="1281"/>
      <c r="AK59" s="1281"/>
    </row>
    <row r="60" spans="1:37" s="1280" customFormat="1" ht="51">
      <c r="A60" s="2331" t="s">
        <v>2769</v>
      </c>
      <c r="B60" s="2335" t="str">
        <f>估价对象房地状况!C18</f>
        <v>好-估价对象临近城市主干道—安定路，临近地铁10号线（安贞门站）有18路、108路、124路、380路、387路等10余条公交线路</v>
      </c>
      <c r="C60" s="2236"/>
      <c r="D60" s="1196">
        <f t="shared" si="16"/>
        <v>0</v>
      </c>
      <c r="E60" s="761"/>
      <c r="F60" s="2002"/>
      <c r="G60" s="1194" t="str">
        <f t="shared" ref="G60:G67" si="21">H60</f>
        <v>——</v>
      </c>
      <c r="H60" s="1198" t="str">
        <f t="shared" si="17"/>
        <v>——</v>
      </c>
      <c r="I60" s="759">
        <v>0.3</v>
      </c>
      <c r="J60" s="1195" t="e">
        <f t="shared" si="18"/>
        <v>#VALUE!</v>
      </c>
      <c r="K60" s="1195" t="e">
        <f t="shared" si="19"/>
        <v>#VALUE!</v>
      </c>
      <c r="L60" s="1195">
        <v>0</v>
      </c>
      <c r="M60" s="1195" t="e">
        <f t="shared" si="20"/>
        <v>#VALUE!</v>
      </c>
      <c r="N60" s="1195" t="e">
        <f t="shared" si="20"/>
        <v>#VALUE!</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6"/>
        <v>0</v>
      </c>
      <c r="E61" s="761"/>
      <c r="F61" s="2002"/>
      <c r="G61" s="1194" t="str">
        <f t="shared" si="21"/>
        <v>——</v>
      </c>
      <c r="H61" s="1198" t="str">
        <f t="shared" si="17"/>
        <v>——</v>
      </c>
      <c r="I61" s="759">
        <v>0.08</v>
      </c>
      <c r="J61" s="1195" t="e">
        <f t="shared" si="18"/>
        <v>#VALUE!</v>
      </c>
      <c r="K61" s="1195" t="e">
        <f t="shared" si="19"/>
        <v>#VALUE!</v>
      </c>
      <c r="L61" s="1195">
        <v>0</v>
      </c>
      <c r="M61" s="1195" t="e">
        <f t="shared" si="20"/>
        <v>#VALUE!</v>
      </c>
      <c r="N61" s="1195" t="e">
        <f t="shared" si="20"/>
        <v>#VALUE!</v>
      </c>
      <c r="AA61" s="1281"/>
      <c r="AB61" s="1281"/>
      <c r="AC61" s="1281"/>
      <c r="AD61" s="1281"/>
      <c r="AE61" s="1281"/>
      <c r="AF61" s="1281"/>
      <c r="AG61" s="1281"/>
      <c r="AH61" s="1281"/>
      <c r="AI61" s="1281"/>
      <c r="AJ61" s="1281"/>
      <c r="AK61" s="1281"/>
    </row>
    <row r="62" spans="1:37" s="1280" customFormat="1" ht="36.75">
      <c r="A62" s="2331" t="s">
        <v>2771</v>
      </c>
      <c r="B62" s="2336" t="s">
        <v>2772</v>
      </c>
      <c r="C62" s="2236"/>
      <c r="D62" s="1196">
        <f t="shared" si="16"/>
        <v>0</v>
      </c>
      <c r="E62" s="761"/>
      <c r="F62" s="2002"/>
      <c r="G62" s="1194" t="str">
        <f t="shared" si="21"/>
        <v>——</v>
      </c>
      <c r="H62" s="1198" t="str">
        <f t="shared" si="17"/>
        <v>——</v>
      </c>
      <c r="I62" s="759">
        <v>0.04</v>
      </c>
      <c r="J62" s="1195" t="e">
        <f t="shared" si="18"/>
        <v>#VALUE!</v>
      </c>
      <c r="K62" s="1195" t="e">
        <f t="shared" si="19"/>
        <v>#VALUE!</v>
      </c>
      <c r="L62" s="1195">
        <v>0</v>
      </c>
      <c r="M62" s="1195" t="e">
        <f t="shared" si="20"/>
        <v>#VALUE!</v>
      </c>
      <c r="N62" s="1195" t="e">
        <f t="shared" si="20"/>
        <v>#VALUE!</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6"/>
        <v>0</v>
      </c>
      <c r="E63" s="761"/>
      <c r="F63" s="2002"/>
      <c r="G63" s="1194" t="str">
        <f t="shared" si="21"/>
        <v>——</v>
      </c>
      <c r="H63" s="1198" t="str">
        <f t="shared" si="17"/>
        <v>——</v>
      </c>
      <c r="I63" s="759">
        <v>0.05</v>
      </c>
      <c r="J63" s="1195" t="e">
        <f t="shared" si="18"/>
        <v>#VALUE!</v>
      </c>
      <c r="K63" s="1195" t="e">
        <f t="shared" si="19"/>
        <v>#VALUE!</v>
      </c>
      <c r="L63" s="1195">
        <v>0</v>
      </c>
      <c r="M63" s="1195" t="e">
        <f t="shared" si="20"/>
        <v>#VALUE!</v>
      </c>
      <c r="N63" s="1195" t="e">
        <f t="shared" si="20"/>
        <v>#VALUE!</v>
      </c>
      <c r="AA63" s="1281"/>
      <c r="AB63" s="1281"/>
      <c r="AC63" s="1281"/>
      <c r="AD63" s="1281"/>
      <c r="AE63" s="1281"/>
      <c r="AF63" s="1281"/>
      <c r="AG63" s="1281"/>
      <c r="AH63" s="1281"/>
      <c r="AI63" s="1281"/>
      <c r="AJ63" s="1281"/>
      <c r="AK63" s="1281"/>
    </row>
    <row r="64" spans="1:37" s="1280" customFormat="1" ht="24">
      <c r="A64" s="2331" t="s">
        <v>2774</v>
      </c>
      <c r="B64" s="2337" t="s">
        <v>2775</v>
      </c>
      <c r="C64" s="2236"/>
      <c r="D64" s="1196">
        <f t="shared" si="16"/>
        <v>0</v>
      </c>
      <c r="E64" s="761"/>
      <c r="F64" s="2002"/>
      <c r="G64" s="1194" t="str">
        <f t="shared" si="21"/>
        <v>——</v>
      </c>
      <c r="H64" s="1198" t="str">
        <f t="shared" si="17"/>
        <v>——</v>
      </c>
      <c r="I64" s="759">
        <v>0.05</v>
      </c>
      <c r="J64" s="1195" t="e">
        <f t="shared" si="18"/>
        <v>#VALUE!</v>
      </c>
      <c r="K64" s="1195" t="e">
        <f t="shared" si="19"/>
        <v>#VALUE!</v>
      </c>
      <c r="L64" s="1195">
        <v>0</v>
      </c>
      <c r="M64" s="1195" t="e">
        <f t="shared" si="20"/>
        <v>#VALUE!</v>
      </c>
      <c r="N64" s="1195" t="e">
        <f t="shared" si="20"/>
        <v>#VALUE!</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估价对象所在区域公共配套设施齐备情况</v>
      </c>
      <c r="C65" s="2236"/>
      <c r="D65" s="1196">
        <f t="shared" si="16"/>
        <v>0</v>
      </c>
      <c r="E65" s="761"/>
      <c r="F65" s="2002"/>
      <c r="G65" s="1194" t="str">
        <f t="shared" si="21"/>
        <v>——</v>
      </c>
      <c r="H65" s="1198" t="str">
        <f t="shared" si="17"/>
        <v>——</v>
      </c>
      <c r="I65" s="759">
        <v>0.06</v>
      </c>
      <c r="J65" s="1195" t="e">
        <f t="shared" si="18"/>
        <v>#VALUE!</v>
      </c>
      <c r="K65" s="1195" t="e">
        <f t="shared" si="19"/>
        <v>#VALUE!</v>
      </c>
      <c r="L65" s="1195">
        <v>0</v>
      </c>
      <c r="M65" s="1195" t="e">
        <f t="shared" si="20"/>
        <v>#VALUE!</v>
      </c>
      <c r="N65" s="1195" t="e">
        <f t="shared" si="20"/>
        <v>#VALUE!</v>
      </c>
      <c r="AA65" s="1281"/>
      <c r="AB65" s="1281"/>
      <c r="AC65" s="1281"/>
      <c r="AD65" s="1281"/>
      <c r="AE65" s="1281"/>
      <c r="AF65" s="1281"/>
      <c r="AG65" s="1281"/>
      <c r="AH65" s="1281"/>
      <c r="AI65" s="1281"/>
      <c r="AJ65" s="1281"/>
      <c r="AK65" s="1281"/>
    </row>
    <row r="66" spans="1:37" s="1280" customFormat="1" ht="25.5">
      <c r="A66" s="2331" t="s">
        <v>2777</v>
      </c>
      <c r="B66" s="1496" t="str">
        <f>估价对象房地状况!C22</f>
        <v>估价对象所在区域基础设施水平</v>
      </c>
      <c r="C66" s="2236"/>
      <c r="D66" s="1196">
        <f t="shared" si="16"/>
        <v>0</v>
      </c>
      <c r="E66" s="761"/>
      <c r="F66" s="2002"/>
      <c r="G66" s="1194" t="str">
        <f t="shared" si="21"/>
        <v>——</v>
      </c>
      <c r="H66" s="1198" t="str">
        <f t="shared" si="17"/>
        <v>——</v>
      </c>
      <c r="I66" s="759">
        <v>0.12</v>
      </c>
      <c r="J66" s="1195" t="e">
        <f t="shared" si="18"/>
        <v>#VALUE!</v>
      </c>
      <c r="K66" s="1195" t="e">
        <f t="shared" si="19"/>
        <v>#VALUE!</v>
      </c>
      <c r="L66" s="1195">
        <v>0</v>
      </c>
      <c r="M66" s="1195" t="e">
        <f t="shared" si="20"/>
        <v>#VALUE!</v>
      </c>
      <c r="N66" s="1195" t="e">
        <f t="shared" si="20"/>
        <v>#VALUE!</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区域自然环境：；人文环境；综合评价环境状况一般</v>
      </c>
      <c r="C67" s="2236"/>
      <c r="D67" s="1196">
        <f t="shared" si="16"/>
        <v>0</v>
      </c>
      <c r="E67" s="764"/>
      <c r="F67" s="2002"/>
      <c r="G67" s="1194" t="str">
        <f t="shared" si="21"/>
        <v>——</v>
      </c>
      <c r="H67" s="1198" t="str">
        <f t="shared" si="17"/>
        <v>——</v>
      </c>
      <c r="I67" s="763">
        <v>0.06</v>
      </c>
      <c r="J67" s="1195" t="e">
        <f t="shared" si="18"/>
        <v>#VALUE!</v>
      </c>
      <c r="K67" s="1195" t="e">
        <f t="shared" si="19"/>
        <v>#VALUE!</v>
      </c>
      <c r="L67" s="1195">
        <v>0</v>
      </c>
      <c r="M67" s="1195" t="e">
        <f t="shared" si="20"/>
        <v>#VALUE!</v>
      </c>
      <c r="N67" s="1195" t="e">
        <f t="shared" si="20"/>
        <v>#VALUE!</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2">SUMIF($J$69:$N$69,C70,J70:N70)</f>
        <v>0</v>
      </c>
      <c r="E70" s="760">
        <f>ROUND(SUM(D70:D78),4)</f>
        <v>0</v>
      </c>
      <c r="F70" s="2002" t="str">
        <f>IF(E2="住宅",SUMIF(L1:L12,G2,N1:N12),"——")</f>
        <v>——</v>
      </c>
      <c r="G70" s="1194"/>
      <c r="H70" s="1198" t="str">
        <f t="shared" ref="H70:H78" si="23">IFERROR(ROUNDDOWN($F$70*I70/2,4),"——")</f>
        <v>——</v>
      </c>
      <c r="I70" s="759">
        <v>0.14000000000000001</v>
      </c>
      <c r="J70" s="1195">
        <f t="shared" ref="J70:J78" si="24">K70+$G70</f>
        <v>0</v>
      </c>
      <c r="K70" s="1195">
        <f t="shared" ref="K70:K78" si="25">$L70+$G70</f>
        <v>0</v>
      </c>
      <c r="L70" s="1195">
        <v>0</v>
      </c>
      <c r="M70" s="1195">
        <f t="shared" ref="M70:N78" si="26">L70-$G70</f>
        <v>0</v>
      </c>
      <c r="N70" s="1195">
        <f t="shared" si="26"/>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好-估价对象临近城市主干道—安定路，临近地铁10号线（安贞门站）有18路、108路、124路、380路、387路等10余条公交线路</v>
      </c>
      <c r="C71" s="2236"/>
      <c r="D71" s="1196">
        <f t="shared" si="22"/>
        <v>0</v>
      </c>
      <c r="E71" s="765"/>
      <c r="F71" s="2002"/>
      <c r="G71" s="1194"/>
      <c r="H71" s="1198" t="str">
        <f t="shared" si="23"/>
        <v>——</v>
      </c>
      <c r="I71" s="759">
        <v>0.3</v>
      </c>
      <c r="J71" s="1195">
        <f t="shared" si="24"/>
        <v>0</v>
      </c>
      <c r="K71" s="1195">
        <f t="shared" si="25"/>
        <v>0</v>
      </c>
      <c r="L71" s="1195">
        <v>0</v>
      </c>
      <c r="M71" s="1195">
        <f t="shared" si="26"/>
        <v>0</v>
      </c>
      <c r="N71" s="1195">
        <f t="shared" si="26"/>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2"/>
        <v>0</v>
      </c>
      <c r="E72" s="765"/>
      <c r="F72" s="2002"/>
      <c r="G72" s="1194"/>
      <c r="H72" s="1198" t="str">
        <f t="shared" si="23"/>
        <v>——</v>
      </c>
      <c r="I72" s="759">
        <v>0.08</v>
      </c>
      <c r="J72" s="1195">
        <f t="shared" si="24"/>
        <v>0</v>
      </c>
      <c r="K72" s="1195">
        <f t="shared" si="25"/>
        <v>0</v>
      </c>
      <c r="L72" s="1195">
        <v>0</v>
      </c>
      <c r="M72" s="1195">
        <f t="shared" si="26"/>
        <v>0</v>
      </c>
      <c r="N72" s="1195">
        <f t="shared" si="26"/>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2"/>
        <v>0</v>
      </c>
      <c r="E73" s="765"/>
      <c r="F73" s="2002"/>
      <c r="G73" s="1194"/>
      <c r="H73" s="1198" t="str">
        <f t="shared" si="23"/>
        <v>——</v>
      </c>
      <c r="I73" s="759">
        <v>0.04</v>
      </c>
      <c r="J73" s="1195">
        <f t="shared" si="24"/>
        <v>0</v>
      </c>
      <c r="K73" s="1195">
        <f t="shared" si="25"/>
        <v>0</v>
      </c>
      <c r="L73" s="1195">
        <v>0</v>
      </c>
      <c r="M73" s="1195">
        <f t="shared" si="26"/>
        <v>0</v>
      </c>
      <c r="N73" s="1195">
        <f t="shared" si="26"/>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估价对象所在区域公共配套设施齐备情况</v>
      </c>
      <c r="C74" s="2236"/>
      <c r="D74" s="1196">
        <f t="shared" si="22"/>
        <v>0</v>
      </c>
      <c r="E74" s="765"/>
      <c r="F74" s="2002"/>
      <c r="G74" s="1194"/>
      <c r="H74" s="1198" t="str">
        <f t="shared" si="23"/>
        <v>——</v>
      </c>
      <c r="I74" s="759">
        <v>0.08</v>
      </c>
      <c r="J74" s="1195">
        <f t="shared" si="24"/>
        <v>0</v>
      </c>
      <c r="K74" s="1195">
        <f t="shared" si="25"/>
        <v>0</v>
      </c>
      <c r="L74" s="1195">
        <v>0</v>
      </c>
      <c r="M74" s="1195">
        <f t="shared" si="26"/>
        <v>0</v>
      </c>
      <c r="N74" s="1195">
        <f t="shared" si="26"/>
        <v>0</v>
      </c>
      <c r="AA74" s="1281"/>
      <c r="AB74" s="1281"/>
      <c r="AC74" s="1281"/>
      <c r="AD74" s="1281"/>
      <c r="AE74" s="1281"/>
      <c r="AF74" s="1281"/>
      <c r="AG74" s="1281"/>
      <c r="AH74" s="1281"/>
      <c r="AI74" s="1281"/>
      <c r="AJ74" s="1281"/>
      <c r="AK74" s="1281"/>
    </row>
    <row r="75" spans="1:37" s="1280" customFormat="1" ht="25.5">
      <c r="A75" s="2331" t="s">
        <v>2777</v>
      </c>
      <c r="B75" s="1496" t="str">
        <f>估价对象房地状况!C22</f>
        <v>估价对象所在区域基础设施水平</v>
      </c>
      <c r="C75" s="2236"/>
      <c r="D75" s="1196">
        <f t="shared" si="22"/>
        <v>0</v>
      </c>
      <c r="E75" s="765"/>
      <c r="F75" s="2002"/>
      <c r="G75" s="1194"/>
      <c r="H75" s="1198" t="str">
        <f t="shared" si="23"/>
        <v>——</v>
      </c>
      <c r="I75" s="759">
        <v>0.12</v>
      </c>
      <c r="J75" s="1195">
        <f t="shared" si="24"/>
        <v>0</v>
      </c>
      <c r="K75" s="1195">
        <f t="shared" si="25"/>
        <v>0</v>
      </c>
      <c r="L75" s="1195">
        <v>0</v>
      </c>
      <c r="M75" s="1195">
        <f t="shared" si="26"/>
        <v>0</v>
      </c>
      <c r="N75" s="1195">
        <f t="shared" si="26"/>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2"/>
        <v>0</v>
      </c>
      <c r="E76" s="765"/>
      <c r="F76" s="2002"/>
      <c r="G76" s="1194"/>
      <c r="H76" s="1198" t="str">
        <f t="shared" si="23"/>
        <v>——</v>
      </c>
      <c r="I76" s="759">
        <v>0.05</v>
      </c>
      <c r="J76" s="1195">
        <f t="shared" si="24"/>
        <v>0</v>
      </c>
      <c r="K76" s="1195">
        <f t="shared" si="25"/>
        <v>0</v>
      </c>
      <c r="L76" s="1195">
        <v>0</v>
      </c>
      <c r="M76" s="1195">
        <f t="shared" si="26"/>
        <v>0</v>
      </c>
      <c r="N76" s="1195">
        <f t="shared" si="26"/>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区域自然环境：；人文环境；综合评价环境状况一般</v>
      </c>
      <c r="C77" s="2236"/>
      <c r="D77" s="1196">
        <f t="shared" si="22"/>
        <v>0</v>
      </c>
      <c r="E77" s="765"/>
      <c r="F77" s="2002"/>
      <c r="G77" s="1194"/>
      <c r="H77" s="1198" t="str">
        <f t="shared" si="23"/>
        <v>——</v>
      </c>
      <c r="I77" s="759">
        <v>0.15</v>
      </c>
      <c r="J77" s="1195">
        <f t="shared" si="24"/>
        <v>0</v>
      </c>
      <c r="K77" s="1195">
        <f t="shared" si="25"/>
        <v>0</v>
      </c>
      <c r="L77" s="1195">
        <v>0</v>
      </c>
      <c r="M77" s="1195">
        <f t="shared" si="26"/>
        <v>0</v>
      </c>
      <c r="N77" s="1195">
        <f t="shared" si="26"/>
        <v>0</v>
      </c>
      <c r="Z77" s="2186"/>
      <c r="AA77" s="2252"/>
      <c r="AG77" s="1282"/>
      <c r="AK77" s="2252"/>
    </row>
    <row r="78" spans="1:37" ht="24.75" thickBot="1">
      <c r="A78" s="2339" t="s">
        <v>2785</v>
      </c>
      <c r="B78" s="2343"/>
      <c r="C78" s="2236"/>
      <c r="D78" s="1196">
        <f t="shared" si="22"/>
        <v>0</v>
      </c>
      <c r="E78" s="766"/>
      <c r="F78" s="2002"/>
      <c r="G78" s="1194"/>
      <c r="H78" s="1198" t="str">
        <f t="shared" si="23"/>
        <v>——</v>
      </c>
      <c r="I78" s="763">
        <v>0.04</v>
      </c>
      <c r="J78" s="1195">
        <f t="shared" si="24"/>
        <v>0</v>
      </c>
      <c r="K78" s="1195">
        <f t="shared" si="25"/>
        <v>0</v>
      </c>
      <c r="L78" s="1195">
        <v>0</v>
      </c>
      <c r="M78" s="1195">
        <f t="shared" si="26"/>
        <v>0</v>
      </c>
      <c r="N78" s="1195">
        <f t="shared" si="26"/>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2418</v>
      </c>
      <c r="K80" s="560" t="s">
        <v>2419</v>
      </c>
      <c r="L80" s="560" t="s">
        <v>2420</v>
      </c>
      <c r="M80" s="560" t="s">
        <v>2421</v>
      </c>
      <c r="N80" s="560" t="s">
        <v>2422</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7">SUMIF($J$80:$N$80,C81,J81:N81)</f>
        <v>0</v>
      </c>
      <c r="E81" s="760">
        <f>ROUND(SUM(D81:D88),4)</f>
        <v>0</v>
      </c>
      <c r="F81" s="2002" t="str">
        <f>IF(E2="工业",SUMIF(L1:L12,G2,N1:N12),"——")</f>
        <v>——</v>
      </c>
      <c r="G81" s="1194"/>
      <c r="H81" s="1198" t="str">
        <f t="shared" ref="H81:H88" si="28">IFERROR(ROUNDDOWN($F$81*I81/2,4),"——")</f>
        <v>——</v>
      </c>
      <c r="I81" s="759">
        <v>0.26</v>
      </c>
      <c r="J81" s="1195">
        <f t="shared" ref="J81:J88" si="29">K81+$G81</f>
        <v>0</v>
      </c>
      <c r="K81" s="1195">
        <f t="shared" ref="K81:K88" si="30">$L81+$G81</f>
        <v>0</v>
      </c>
      <c r="L81" s="1195">
        <v>0</v>
      </c>
      <c r="M81" s="1195">
        <f t="shared" ref="M81:N88" si="31">L81-$G81</f>
        <v>0</v>
      </c>
      <c r="N81" s="1195">
        <f t="shared" si="31"/>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7"/>
        <v>0</v>
      </c>
      <c r="E82" s="765"/>
      <c r="F82" s="2002"/>
      <c r="G82" s="1194"/>
      <c r="H82" s="1198" t="str">
        <f t="shared" si="28"/>
        <v>——</v>
      </c>
      <c r="I82" s="759">
        <v>0.33</v>
      </c>
      <c r="J82" s="1195">
        <f t="shared" si="29"/>
        <v>0</v>
      </c>
      <c r="K82" s="1195">
        <f t="shared" si="30"/>
        <v>0</v>
      </c>
      <c r="L82" s="1195">
        <v>0</v>
      </c>
      <c r="M82" s="1195">
        <f t="shared" si="31"/>
        <v>0</v>
      </c>
      <c r="N82" s="1195">
        <f t="shared" si="31"/>
        <v>0</v>
      </c>
      <c r="Z82" s="2186"/>
      <c r="AA82" s="2252"/>
      <c r="AG82" s="1282"/>
      <c r="AK82" s="2252"/>
    </row>
    <row r="83" spans="1:37" ht="24">
      <c r="A83" s="2331" t="s">
        <v>2770</v>
      </c>
      <c r="B83" s="2335">
        <f>估价对象房地状况!G17</f>
        <v>0</v>
      </c>
      <c r="C83" s="2236"/>
      <c r="D83" s="1196">
        <f t="shared" si="27"/>
        <v>0</v>
      </c>
      <c r="E83" s="765"/>
      <c r="F83" s="2002"/>
      <c r="G83" s="1194"/>
      <c r="H83" s="1198" t="str">
        <f t="shared" si="28"/>
        <v>——</v>
      </c>
      <c r="I83" s="759">
        <v>0.05</v>
      </c>
      <c r="J83" s="1195">
        <f t="shared" si="29"/>
        <v>0</v>
      </c>
      <c r="K83" s="1195">
        <f t="shared" si="30"/>
        <v>0</v>
      </c>
      <c r="L83" s="1195">
        <v>0</v>
      </c>
      <c r="M83" s="1195">
        <f t="shared" si="31"/>
        <v>0</v>
      </c>
      <c r="N83" s="1195">
        <f t="shared" si="31"/>
        <v>0</v>
      </c>
      <c r="Z83" s="2186"/>
      <c r="AA83" s="2252"/>
      <c r="AG83" s="1282"/>
      <c r="AK83" s="2252"/>
    </row>
    <row r="84" spans="1:37" ht="14.25">
      <c r="A84" s="2331" t="s">
        <v>2784</v>
      </c>
      <c r="B84" s="2335">
        <f>估价对象房地状况!G22</f>
        <v>0</v>
      </c>
      <c r="C84" s="2236"/>
      <c r="D84" s="1196">
        <f t="shared" si="27"/>
        <v>0</v>
      </c>
      <c r="E84" s="765"/>
      <c r="F84" s="2002"/>
      <c r="G84" s="1194"/>
      <c r="H84" s="1198" t="str">
        <f t="shared" si="28"/>
        <v>——</v>
      </c>
      <c r="I84" s="759">
        <v>0.04</v>
      </c>
      <c r="J84" s="1195">
        <f t="shared" si="29"/>
        <v>0</v>
      </c>
      <c r="K84" s="1195">
        <f t="shared" si="30"/>
        <v>0</v>
      </c>
      <c r="L84" s="1195">
        <v>0</v>
      </c>
      <c r="M84" s="1195">
        <f t="shared" si="31"/>
        <v>0</v>
      </c>
      <c r="N84" s="1195">
        <f t="shared" si="31"/>
        <v>0</v>
      </c>
      <c r="Z84" s="2186"/>
      <c r="AA84" s="2252"/>
      <c r="AG84" s="1282"/>
      <c r="AK84" s="2252"/>
    </row>
    <row r="85" spans="1:37" ht="25.5">
      <c r="A85" s="2331" t="s">
        <v>2776</v>
      </c>
      <c r="B85" s="1496" t="str">
        <f>估价对象房地状况!G19</f>
        <v>估价对象所在区域公共配套设施齐备情况</v>
      </c>
      <c r="C85" s="2236"/>
      <c r="D85" s="1196">
        <f t="shared" si="27"/>
        <v>0</v>
      </c>
      <c r="E85" s="765"/>
      <c r="F85" s="2002"/>
      <c r="G85" s="1194"/>
      <c r="H85" s="1198" t="str">
        <f t="shared" si="28"/>
        <v>——</v>
      </c>
      <c r="I85" s="759">
        <v>0.06</v>
      </c>
      <c r="J85" s="1195">
        <f t="shared" si="29"/>
        <v>0</v>
      </c>
      <c r="K85" s="1195">
        <f t="shared" si="30"/>
        <v>0</v>
      </c>
      <c r="L85" s="1195">
        <v>0</v>
      </c>
      <c r="M85" s="1195">
        <f t="shared" si="31"/>
        <v>0</v>
      </c>
      <c r="N85" s="1195">
        <f t="shared" si="31"/>
        <v>0</v>
      </c>
      <c r="Z85" s="2186"/>
      <c r="AA85" s="2252"/>
      <c r="AG85" s="1282"/>
      <c r="AK85" s="2252"/>
    </row>
    <row r="86" spans="1:37" ht="25.5">
      <c r="A86" s="2331" t="s">
        <v>2777</v>
      </c>
      <c r="B86" s="1496" t="str">
        <f>估价对象房地状况!G20</f>
        <v>估价对象所在区域基础设施水平</v>
      </c>
      <c r="C86" s="2236"/>
      <c r="D86" s="1196">
        <f t="shared" si="27"/>
        <v>0</v>
      </c>
      <c r="E86" s="765"/>
      <c r="F86" s="2002"/>
      <c r="G86" s="1194"/>
      <c r="H86" s="1198" t="str">
        <f t="shared" si="28"/>
        <v>——</v>
      </c>
      <c r="I86" s="759">
        <v>0.15</v>
      </c>
      <c r="J86" s="1195">
        <f t="shared" si="29"/>
        <v>0</v>
      </c>
      <c r="K86" s="1195">
        <f t="shared" si="30"/>
        <v>0</v>
      </c>
      <c r="L86" s="1195">
        <v>0</v>
      </c>
      <c r="M86" s="1195">
        <f t="shared" si="31"/>
        <v>0</v>
      </c>
      <c r="N86" s="1195">
        <f t="shared" si="31"/>
        <v>0</v>
      </c>
      <c r="Z86" s="2186"/>
      <c r="AA86" s="2252"/>
      <c r="AG86" s="1282"/>
      <c r="AK86" s="2252"/>
    </row>
    <row r="87" spans="1:37" ht="24">
      <c r="A87" s="2331" t="s">
        <v>2774</v>
      </c>
      <c r="B87" s="2337" t="s">
        <v>2788</v>
      </c>
      <c r="C87" s="2236"/>
      <c r="D87" s="1196">
        <f t="shared" si="27"/>
        <v>0</v>
      </c>
      <c r="E87" s="765"/>
      <c r="F87" s="2002"/>
      <c r="G87" s="1194"/>
      <c r="H87" s="1198" t="str">
        <f t="shared" si="28"/>
        <v>——</v>
      </c>
      <c r="I87" s="759">
        <v>0.05</v>
      </c>
      <c r="J87" s="1195">
        <f t="shared" si="29"/>
        <v>0</v>
      </c>
      <c r="K87" s="1195">
        <f t="shared" si="30"/>
        <v>0</v>
      </c>
      <c r="L87" s="1195">
        <v>0</v>
      </c>
      <c r="M87" s="1195">
        <f t="shared" si="31"/>
        <v>0</v>
      </c>
      <c r="N87" s="1195">
        <f t="shared" si="31"/>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7"/>
        <v>0</v>
      </c>
      <c r="E88" s="766"/>
      <c r="F88" s="2002"/>
      <c r="G88" s="1194"/>
      <c r="H88" s="1198" t="str">
        <f t="shared" si="28"/>
        <v>——</v>
      </c>
      <c r="I88" s="763">
        <v>0.06</v>
      </c>
      <c r="J88" s="1195">
        <f t="shared" si="29"/>
        <v>0</v>
      </c>
      <c r="K88" s="1195">
        <f t="shared" si="30"/>
        <v>0</v>
      </c>
      <c r="L88" s="1195">
        <v>0</v>
      </c>
      <c r="M88" s="1195">
        <f t="shared" si="31"/>
        <v>0</v>
      </c>
      <c r="N88" s="1195">
        <f t="shared" si="31"/>
        <v>0</v>
      </c>
      <c r="Z88" s="2186"/>
      <c r="AA88" s="2252"/>
      <c r="AG88" s="1282"/>
      <c r="AK88" s="2252"/>
    </row>
    <row r="90" spans="1:37">
      <c r="A90" s="3582" t="s">
        <v>2790</v>
      </c>
      <c r="B90" s="3582"/>
      <c r="C90" s="3582"/>
      <c r="D90" s="3582"/>
      <c r="E90" s="3582"/>
      <c r="F90" s="3582"/>
      <c r="G90" s="3582"/>
      <c r="H90" s="3582"/>
      <c r="I90" s="3582"/>
      <c r="J90" s="3582"/>
      <c r="K90" s="2345"/>
      <c r="L90" s="2345"/>
      <c r="M90" s="2345"/>
      <c r="N90" s="2345"/>
    </row>
    <row r="91" spans="1:37">
      <c r="A91" s="3584" t="s">
        <v>2791</v>
      </c>
      <c r="B91" s="3584" t="s">
        <v>2792</v>
      </c>
      <c r="C91" s="2299" t="s">
        <v>2793</v>
      </c>
      <c r="D91" s="2300"/>
      <c r="E91" s="2300"/>
      <c r="F91" s="2300"/>
      <c r="G91" s="2300"/>
      <c r="H91" s="2300"/>
      <c r="I91" s="2300"/>
      <c r="J91" s="2346"/>
      <c r="K91" s="2347"/>
      <c r="L91" s="2347"/>
      <c r="M91" s="2347"/>
      <c r="N91" s="2347"/>
    </row>
    <row r="92" spans="1:37">
      <c r="A92" s="3584"/>
      <c r="B92" s="3584"/>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585"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586"/>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586"/>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586"/>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586"/>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586"/>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586"/>
      <c r="B99" s="2348" t="s">
        <v>2677</v>
      </c>
      <c r="C99" s="2350">
        <f>$I$3</f>
        <v>2</v>
      </c>
      <c r="D99" s="2350">
        <f t="shared" ref="D99:M99" si="32">$I$3</f>
        <v>2</v>
      </c>
      <c r="E99" s="2350">
        <f t="shared" si="32"/>
        <v>2</v>
      </c>
      <c r="F99" s="2350">
        <f t="shared" si="32"/>
        <v>2</v>
      </c>
      <c r="G99" s="2350">
        <f t="shared" si="32"/>
        <v>2</v>
      </c>
      <c r="H99" s="2350">
        <f t="shared" si="32"/>
        <v>2</v>
      </c>
      <c r="I99" s="2350">
        <f t="shared" si="32"/>
        <v>2</v>
      </c>
      <c r="J99" s="2350">
        <f t="shared" si="32"/>
        <v>2</v>
      </c>
      <c r="K99" s="2350">
        <f t="shared" si="32"/>
        <v>2</v>
      </c>
      <c r="L99" s="2350">
        <f t="shared" si="32"/>
        <v>2</v>
      </c>
      <c r="M99" s="2350">
        <f t="shared" si="32"/>
        <v>2</v>
      </c>
      <c r="N99" s="2350">
        <f>$I$3</f>
        <v>2</v>
      </c>
    </row>
    <row r="100" spans="1:14">
      <c r="A100" s="3587"/>
      <c r="B100" s="2348">
        <v>7</v>
      </c>
      <c r="C100" s="2351">
        <f>(-0.163*(C99^2)-0.59*C99+7617)*(10^(-4))</f>
        <v>0.76151679999999999</v>
      </c>
      <c r="D100" s="2351">
        <f>(-0.163*(D99^2)-0.59*D99+7617)*(10^(-4))</f>
        <v>0.76151679999999999</v>
      </c>
      <c r="E100" s="2351">
        <f>(-0.161*(E99^2)-7.509*E99+6533)*(10^(-4))</f>
        <v>0.65173380000000003</v>
      </c>
      <c r="F100" s="2351">
        <f>(-0.161*(F99^2)-7.509*F99+6533)*(10^(-4))</f>
        <v>0.65173380000000003</v>
      </c>
      <c r="G100" s="2351">
        <f>(-0.161*(G99^2)-7.509*G99+6533)*(10^(-4))</f>
        <v>0.65173380000000003</v>
      </c>
      <c r="H100" s="2351">
        <f>(-0.161*(H99^2)-7.509*H99+6533)*(10^(-4))</f>
        <v>0.65173380000000003</v>
      </c>
      <c r="I100" s="2351">
        <f>(-0.161*(I99^2)-7.509*I99+6533)*(10^(-4))</f>
        <v>0.65173380000000003</v>
      </c>
      <c r="J100" s="2351">
        <f>(-0.214*(J99^2)-21.991*J99+4665)*(10^(-4))</f>
        <v>0.46201620000000004</v>
      </c>
      <c r="K100" s="2351">
        <f>(-0.214*(K99^2)-21.991*K99+4665)*(10^(-4))</f>
        <v>0.46201620000000004</v>
      </c>
      <c r="L100" s="2351">
        <f>(-0.214*(L99^2)-21.991*L99+4665)*(10^(-4))</f>
        <v>0.46201620000000004</v>
      </c>
      <c r="M100" s="2351">
        <f>(-0.214*(M99^2)-21.991*M99+4665)*(10^(-4))</f>
        <v>0.46201620000000004</v>
      </c>
      <c r="N100" s="2351">
        <f>(-0.214*(N99^2)-21.991*N99+4665)*(10^(-4))</f>
        <v>0.46201620000000004</v>
      </c>
    </row>
    <row r="101" spans="1:14">
      <c r="A101" s="3585" t="s">
        <v>2795</v>
      </c>
      <c r="B101" s="2352" t="s">
        <v>2796</v>
      </c>
      <c r="C101" s="2353" t="e">
        <f>$G$3</f>
        <v>#DIV/0!</v>
      </c>
      <c r="D101" s="2353" t="e">
        <f t="shared" ref="D101:N101" si="33">$G$3</f>
        <v>#DIV/0!</v>
      </c>
      <c r="E101" s="2353" t="e">
        <f t="shared" si="33"/>
        <v>#DIV/0!</v>
      </c>
      <c r="F101" s="2353" t="e">
        <f t="shared" si="33"/>
        <v>#DIV/0!</v>
      </c>
      <c r="G101" s="2353" t="e">
        <f t="shared" si="33"/>
        <v>#DIV/0!</v>
      </c>
      <c r="H101" s="2353" t="e">
        <f t="shared" si="33"/>
        <v>#DIV/0!</v>
      </c>
      <c r="I101" s="2353" t="e">
        <f t="shared" si="33"/>
        <v>#DIV/0!</v>
      </c>
      <c r="J101" s="2353" t="e">
        <f t="shared" si="33"/>
        <v>#DIV/0!</v>
      </c>
      <c r="K101" s="2353" t="e">
        <f t="shared" si="33"/>
        <v>#DIV/0!</v>
      </c>
      <c r="L101" s="2353" t="e">
        <f t="shared" si="33"/>
        <v>#DIV/0!</v>
      </c>
      <c r="M101" s="2353" t="e">
        <f t="shared" si="33"/>
        <v>#DIV/0!</v>
      </c>
      <c r="N101" s="2353" t="e">
        <f t="shared" si="33"/>
        <v>#DIV/0!</v>
      </c>
    </row>
    <row r="102" spans="1:14">
      <c r="A102" s="3586"/>
      <c r="B102" s="2348">
        <v>1</v>
      </c>
      <c r="C102" s="2349" t="e">
        <f>1.9362/C101</f>
        <v>#DIV/0!</v>
      </c>
      <c r="D102" s="2349" t="e">
        <f>1.9362/D101</f>
        <v>#DIV/0!</v>
      </c>
      <c r="E102" s="2349" t="e">
        <f>1.8629/E101</f>
        <v>#DIV/0!</v>
      </c>
      <c r="F102" s="2349" t="e">
        <f>1.8629/F101</f>
        <v>#DIV/0!</v>
      </c>
      <c r="G102" s="2349" t="e">
        <f>1.8629/G101</f>
        <v>#DIV/0!</v>
      </c>
      <c r="H102" s="2349" t="e">
        <f>1.8629/H101</f>
        <v>#DIV/0!</v>
      </c>
      <c r="I102" s="2349" t="e">
        <f>1.8629/I101</f>
        <v>#DIV/0!</v>
      </c>
      <c r="J102" s="2349" t="e">
        <f>1.942/J101</f>
        <v>#DIV/0!</v>
      </c>
      <c r="K102" s="2349" t="e">
        <f>1.942/K101</f>
        <v>#DIV/0!</v>
      </c>
      <c r="L102" s="2349" t="e">
        <f>1.942/L101</f>
        <v>#DIV/0!</v>
      </c>
      <c r="M102" s="2349" t="e">
        <f>1.942/M101</f>
        <v>#DIV/0!</v>
      </c>
      <c r="N102" s="2349" t="e">
        <f>1.942/N101</f>
        <v>#DIV/0!</v>
      </c>
    </row>
    <row r="103" spans="1:14">
      <c r="A103" s="3586"/>
      <c r="B103" s="2348">
        <v>2</v>
      </c>
      <c r="C103" s="2349" t="e">
        <f>1.4198/C101</f>
        <v>#DIV/0!</v>
      </c>
      <c r="D103" s="2349" t="e">
        <f>1.4198/D101</f>
        <v>#DIV/0!</v>
      </c>
      <c r="E103" s="2349" t="e">
        <f>1.3372/E101</f>
        <v>#DIV/0!</v>
      </c>
      <c r="F103" s="2349" t="e">
        <f>1.3372/F101</f>
        <v>#DIV/0!</v>
      </c>
      <c r="G103" s="2349" t="e">
        <f>1.3372/G101</f>
        <v>#DIV/0!</v>
      </c>
      <c r="H103" s="2349" t="e">
        <f>1.3372/H101</f>
        <v>#DIV/0!</v>
      </c>
      <c r="I103" s="2349" t="e">
        <f>1.3372/I101</f>
        <v>#DIV/0!</v>
      </c>
      <c r="J103" s="2349" t="e">
        <f>1.2799/J101</f>
        <v>#DIV/0!</v>
      </c>
      <c r="K103" s="2349" t="e">
        <f>1.2799/K101</f>
        <v>#DIV/0!</v>
      </c>
      <c r="L103" s="2349" t="e">
        <f>1.2799/L101</f>
        <v>#DIV/0!</v>
      </c>
      <c r="M103" s="2349" t="e">
        <f>1.2799/M101</f>
        <v>#DIV/0!</v>
      </c>
      <c r="N103" s="2349" t="e">
        <f>1.2799/N101</f>
        <v>#DIV/0!</v>
      </c>
    </row>
    <row r="104" spans="1:14">
      <c r="A104" s="3586"/>
      <c r="B104" s="2348">
        <v>3</v>
      </c>
      <c r="C104" s="2349" t="e">
        <f>1.1594/C101</f>
        <v>#DIV/0!</v>
      </c>
      <c r="D104" s="2349" t="e">
        <f>1.1594/D101</f>
        <v>#DIV/0!</v>
      </c>
      <c r="E104" s="2349" t="e">
        <f>1.0788/E101</f>
        <v>#DIV/0!</v>
      </c>
      <c r="F104" s="2349" t="e">
        <f>1.0788/F101</f>
        <v>#DIV/0!</v>
      </c>
      <c r="G104" s="2349" t="e">
        <f>1.0788/G101</f>
        <v>#DIV/0!</v>
      </c>
      <c r="H104" s="2349" t="e">
        <f>1.0788/H101</f>
        <v>#DIV/0!</v>
      </c>
      <c r="I104" s="2349" t="e">
        <f>1.0788/I101</f>
        <v>#DIV/0!</v>
      </c>
      <c r="J104" s="2349" t="e">
        <f>1.0072/J101</f>
        <v>#DIV/0!</v>
      </c>
      <c r="K104" s="2349" t="e">
        <f>1.0072/K101</f>
        <v>#DIV/0!</v>
      </c>
      <c r="L104" s="2349" t="e">
        <f>1.0072/L101</f>
        <v>#DIV/0!</v>
      </c>
      <c r="M104" s="2349" t="e">
        <f>1.0072/M101</f>
        <v>#DIV/0!</v>
      </c>
      <c r="N104" s="2349" t="e">
        <f>1.0072/N101</f>
        <v>#DIV/0!</v>
      </c>
    </row>
    <row r="105" spans="1:14">
      <c r="A105" s="3586"/>
      <c r="B105" s="2348">
        <v>4</v>
      </c>
      <c r="C105" s="2349" t="e">
        <f>0.9622/C101</f>
        <v>#DIV/0!</v>
      </c>
      <c r="D105" s="2349" t="e">
        <f>0.9622/D101</f>
        <v>#DIV/0!</v>
      </c>
      <c r="E105" s="2349" t="e">
        <f>0.8656/E101</f>
        <v>#DIV/0!</v>
      </c>
      <c r="F105" s="2349" t="e">
        <f>0.8656/F101</f>
        <v>#DIV/0!</v>
      </c>
      <c r="G105" s="2349" t="e">
        <f>0.8656/G101</f>
        <v>#DIV/0!</v>
      </c>
      <c r="H105" s="2349" t="e">
        <f>0.8656/H101</f>
        <v>#DIV/0!</v>
      </c>
      <c r="I105" s="2349" t="e">
        <f>0.8656/I101</f>
        <v>#DIV/0!</v>
      </c>
      <c r="J105" s="2349" t="e">
        <f>0.7525/J101</f>
        <v>#DIV/0!</v>
      </c>
      <c r="K105" s="2349" t="e">
        <f>0.7525/K101</f>
        <v>#DIV/0!</v>
      </c>
      <c r="L105" s="2349" t="e">
        <f>0.7525/L101</f>
        <v>#DIV/0!</v>
      </c>
      <c r="M105" s="2349" t="e">
        <f>0.7525/M101</f>
        <v>#DIV/0!</v>
      </c>
      <c r="N105" s="2349" t="e">
        <f>0.7525/N101</f>
        <v>#DIV/0!</v>
      </c>
    </row>
    <row r="106" spans="1:14">
      <c r="A106" s="3586"/>
      <c r="B106" s="2348">
        <v>5</v>
      </c>
      <c r="C106" s="2349" t="e">
        <f>0.8417/C101</f>
        <v>#DIV/0!</v>
      </c>
      <c r="D106" s="2349" t="e">
        <f>0.8417/D101</f>
        <v>#DIV/0!</v>
      </c>
      <c r="E106" s="2349" t="e">
        <f>0.7371/E101</f>
        <v>#DIV/0!</v>
      </c>
      <c r="F106" s="2349" t="e">
        <f>0.7371/F101</f>
        <v>#DIV/0!</v>
      </c>
      <c r="G106" s="2349" t="e">
        <f>0.7371/G101</f>
        <v>#DIV/0!</v>
      </c>
      <c r="H106" s="2349" t="e">
        <f>0.7371/H101</f>
        <v>#DIV/0!</v>
      </c>
      <c r="I106" s="2349" t="e">
        <f>0.7371/I101</f>
        <v>#DIV/0!</v>
      </c>
      <c r="J106" s="2349" t="e">
        <f>0.5659/J101</f>
        <v>#DIV/0!</v>
      </c>
      <c r="K106" s="2349" t="e">
        <f>0.5659/K101</f>
        <v>#DIV/0!</v>
      </c>
      <c r="L106" s="2349" t="e">
        <f>0.5659/L101</f>
        <v>#DIV/0!</v>
      </c>
      <c r="M106" s="2349" t="e">
        <f>0.5659/M101</f>
        <v>#DIV/0!</v>
      </c>
      <c r="N106" s="2349" t="e">
        <f>0.5659/N101</f>
        <v>#DIV/0!</v>
      </c>
    </row>
    <row r="107" spans="1:14">
      <c r="A107" s="3586"/>
      <c r="B107" s="2348">
        <v>6</v>
      </c>
      <c r="C107" s="2349" t="e">
        <f>0.7608/C101</f>
        <v>#DIV/0!</v>
      </c>
      <c r="D107" s="2349" t="e">
        <f>0.7608/D101</f>
        <v>#DIV/0!</v>
      </c>
      <c r="E107" s="2349" t="e">
        <f>0.6482/E101</f>
        <v>#DIV/0!</v>
      </c>
      <c r="F107" s="2349" t="e">
        <f>0.6482/F101</f>
        <v>#DIV/0!</v>
      </c>
      <c r="G107" s="2349" t="e">
        <f>0.6482/G101</f>
        <v>#DIV/0!</v>
      </c>
      <c r="H107" s="2349" t="e">
        <f>0.6482/H101</f>
        <v>#DIV/0!</v>
      </c>
      <c r="I107" s="2349" t="e">
        <f>0.6482/I101</f>
        <v>#DIV/0!</v>
      </c>
      <c r="J107" s="2349" t="e">
        <f>0.4525/J101</f>
        <v>#DIV/0!</v>
      </c>
      <c r="K107" s="2349" t="e">
        <f>0.4525/K101</f>
        <v>#DIV/0!</v>
      </c>
      <c r="L107" s="2349" t="e">
        <f>0.4525/L101</f>
        <v>#DIV/0!</v>
      </c>
      <c r="M107" s="2349" t="e">
        <f>0.4525/M101</f>
        <v>#DIV/0!</v>
      </c>
      <c r="N107" s="2349" t="e">
        <f>0.4525/N101</f>
        <v>#DIV/0!</v>
      </c>
    </row>
    <row r="108" spans="1:14">
      <c r="A108" s="3586"/>
      <c r="B108" s="3588" t="s">
        <v>2797</v>
      </c>
      <c r="C108" s="2350">
        <f>C99</f>
        <v>2</v>
      </c>
      <c r="D108" s="2350">
        <f t="shared" ref="D108:N108" si="34">D99</f>
        <v>2</v>
      </c>
      <c r="E108" s="2350">
        <f t="shared" si="34"/>
        <v>2</v>
      </c>
      <c r="F108" s="2350">
        <f t="shared" si="34"/>
        <v>2</v>
      </c>
      <c r="G108" s="2350">
        <f t="shared" si="34"/>
        <v>2</v>
      </c>
      <c r="H108" s="2350">
        <f t="shared" si="34"/>
        <v>2</v>
      </c>
      <c r="I108" s="2350">
        <f t="shared" si="34"/>
        <v>2</v>
      </c>
      <c r="J108" s="2350">
        <f t="shared" si="34"/>
        <v>2</v>
      </c>
      <c r="K108" s="2350">
        <f t="shared" si="34"/>
        <v>2</v>
      </c>
      <c r="L108" s="2350">
        <f t="shared" si="34"/>
        <v>2</v>
      </c>
      <c r="M108" s="2350">
        <f t="shared" si="34"/>
        <v>2</v>
      </c>
      <c r="N108" s="2350">
        <f t="shared" si="34"/>
        <v>2</v>
      </c>
    </row>
    <row r="109" spans="1:14">
      <c r="A109" s="3587"/>
      <c r="B109" s="3589"/>
      <c r="C109" s="2351" t="e">
        <f>(-0.163*(C108^2)-0.59*C108+7617)*(10^(-4))/C101</f>
        <v>#DIV/0!</v>
      </c>
      <c r="D109" s="2351" t="e">
        <f>(-0.163*(D108^2)-0.59*D108+7617)*(10^(-4))/D101</f>
        <v>#DIV/0!</v>
      </c>
      <c r="E109" s="2351" t="e">
        <f>(-0.161*(E108^2)-7.509*E108+6533)*(10^(-4))/E101</f>
        <v>#DIV/0!</v>
      </c>
      <c r="F109" s="2351" t="e">
        <f>(-0.161*(F108^2)-7.509*F108+6533)*(10^(-4))/F101</f>
        <v>#DIV/0!</v>
      </c>
      <c r="G109" s="2351" t="e">
        <f>(-0.161*(G108^2)-7.509*G108+6533)*(10^(-4))/G101</f>
        <v>#DIV/0!</v>
      </c>
      <c r="H109" s="2351" t="e">
        <f>(-0.161*(H108^2)-7.509*H108+6533)*(10^(-4))/H101</f>
        <v>#DIV/0!</v>
      </c>
      <c r="I109" s="2351" t="e">
        <f>(-0.161*(I108^2)-7.509*I108+6533)*(10^(-4))/I101</f>
        <v>#DIV/0!</v>
      </c>
      <c r="J109" s="2351" t="e">
        <f>(-0.214*(J108^2)-21.991*J108+4665)*(10^(-4))/J101</f>
        <v>#DIV/0!</v>
      </c>
      <c r="K109" s="2351" t="e">
        <f>(-0.214*(K108^2)-21.991*K108+4665)*(10^(-4))/K101</f>
        <v>#DIV/0!</v>
      </c>
      <c r="L109" s="2351" t="e">
        <f>(-0.214*(L108^2)-21.991*L108+4665)*(10^(-4))/L101</f>
        <v>#DIV/0!</v>
      </c>
      <c r="M109" s="2351" t="e">
        <f>(-0.214*(M108^2)-21.991*M108+4665)*(10^(-4))/M101</f>
        <v>#DIV/0!</v>
      </c>
      <c r="N109" s="2351" t="e">
        <f>(-0.214*(N108^2)-21.991*N108+4665)*(10^(-4))/N101</f>
        <v>#DIV/0!</v>
      </c>
    </row>
    <row r="110" spans="1:14">
      <c r="A110" s="3583" t="s">
        <v>2798</v>
      </c>
      <c r="B110" s="3583"/>
      <c r="C110" s="3583"/>
      <c r="D110" s="3583"/>
      <c r="E110" s="3583"/>
      <c r="F110" s="3583"/>
      <c r="G110" s="3583"/>
      <c r="H110" s="3583"/>
      <c r="I110" s="3583"/>
      <c r="J110" s="3583"/>
      <c r="K110" s="2354"/>
      <c r="L110" s="2354"/>
      <c r="M110" s="2354"/>
      <c r="N110" s="2354"/>
    </row>
    <row r="112" spans="1:14" ht="13.5" thickBot="1"/>
    <row r="113" spans="1:13" ht="25.5" thickBot="1">
      <c r="A113" s="842" t="s">
        <v>2799</v>
      </c>
      <c r="B113" s="1197" t="e">
        <f>G3</f>
        <v>#DIV/0!</v>
      </c>
      <c r="C113" s="843" t="s">
        <v>2800</v>
      </c>
      <c r="D113" s="844" t="e">
        <f>SUMPRODUCT((A115:A118=F113)*(B114:M114=H113)*B115:M118)</f>
        <v>#DIV/0!</v>
      </c>
      <c r="E113" s="2190" t="s">
        <v>2635</v>
      </c>
      <c r="F113" s="2356" t="str">
        <f>E2</f>
        <v>商业</v>
      </c>
      <c r="G113" s="2190" t="s">
        <v>2636</v>
      </c>
      <c r="H113" s="2356">
        <f>G2</f>
        <v>0</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5">I115</f>
        <v>#DIV/0!</v>
      </c>
      <c r="K115" s="849" t="e">
        <f t="shared" si="35"/>
        <v>#DIV/0!</v>
      </c>
      <c r="L115" s="849" t="e">
        <f t="shared" si="35"/>
        <v>#DIV/0!</v>
      </c>
      <c r="M115" s="850" t="e">
        <f t="shared" si="35"/>
        <v>#DIV/0!</v>
      </c>
    </row>
    <row r="116" spans="1:13">
      <c r="A116" s="848" t="s">
        <v>2700</v>
      </c>
      <c r="B116" s="849" t="e">
        <f>ROUND(0.949-0.012*B113,4)</f>
        <v>#DIV/0!</v>
      </c>
      <c r="C116" s="849" t="e">
        <f>B116</f>
        <v>#DIV/0!</v>
      </c>
      <c r="D116" s="849" t="e">
        <f>ROUND(0.8567-0.013*B113,4)</f>
        <v>#DIV/0!</v>
      </c>
      <c r="E116" s="849" t="e">
        <f t="shared" ref="E116:H117" si="36">D116</f>
        <v>#DIV/0!</v>
      </c>
      <c r="F116" s="849" t="e">
        <f t="shared" si="36"/>
        <v>#DIV/0!</v>
      </c>
      <c r="G116" s="849" t="e">
        <f t="shared" si="36"/>
        <v>#DIV/0!</v>
      </c>
      <c r="H116" s="849" t="e">
        <f t="shared" si="36"/>
        <v>#DIV/0!</v>
      </c>
      <c r="I116" s="849" t="e">
        <f>ROUND(0.7694-0.014*B113,4)</f>
        <v>#DIV/0!</v>
      </c>
      <c r="J116" s="849" t="e">
        <f t="shared" si="35"/>
        <v>#DIV/0!</v>
      </c>
      <c r="K116" s="849" t="e">
        <f t="shared" si="35"/>
        <v>#DIV/0!</v>
      </c>
      <c r="L116" s="849" t="e">
        <f t="shared" si="35"/>
        <v>#DIV/0!</v>
      </c>
      <c r="M116" s="850" t="e">
        <f t="shared" si="35"/>
        <v>#DIV/0!</v>
      </c>
    </row>
    <row r="117" spans="1:13">
      <c r="A117" s="848" t="s">
        <v>2701</v>
      </c>
      <c r="B117" s="849" t="e">
        <f>ROUND(0.8808-0.006*B113,4)</f>
        <v>#DIV/0!</v>
      </c>
      <c r="C117" s="849" t="e">
        <f>B117</f>
        <v>#DIV/0!</v>
      </c>
      <c r="D117" s="849" t="e">
        <f>ROUND(0.8748-0.008*B113,4)</f>
        <v>#DIV/0!</v>
      </c>
      <c r="E117" s="849" t="e">
        <f t="shared" si="36"/>
        <v>#DIV/0!</v>
      </c>
      <c r="F117" s="849" t="e">
        <f t="shared" si="36"/>
        <v>#DIV/0!</v>
      </c>
      <c r="G117" s="849" t="e">
        <f t="shared" si="36"/>
        <v>#DIV/0!</v>
      </c>
      <c r="H117" s="849" t="e">
        <f t="shared" si="36"/>
        <v>#DIV/0!</v>
      </c>
      <c r="I117" s="849" t="e">
        <f>ROUND(0.7412-0.0095*B113,4)</f>
        <v>#DIV/0!</v>
      </c>
      <c r="J117" s="849" t="e">
        <f t="shared" si="35"/>
        <v>#DIV/0!</v>
      </c>
      <c r="K117" s="849" t="e">
        <f t="shared" si="35"/>
        <v>#DIV/0!</v>
      </c>
      <c r="L117" s="849" t="e">
        <f t="shared" si="35"/>
        <v>#DIV/0!</v>
      </c>
      <c r="M117" s="850" t="e">
        <f t="shared" si="35"/>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5"/>
        <v>#DIV/0!</v>
      </c>
      <c r="K118" s="851" t="e">
        <f t="shared" si="35"/>
        <v>#DIV/0!</v>
      </c>
      <c r="L118" s="851" t="e">
        <f t="shared" si="35"/>
        <v>#DIV/0!</v>
      </c>
      <c r="M118" s="852" t="e">
        <f t="shared" si="35"/>
        <v>#DIV/0!</v>
      </c>
    </row>
  </sheetData>
  <sheetProtection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5" priority="5" stopIfTrue="1" operator="notEqual">
      <formula>"——"</formula>
    </cfRule>
  </conditionalFormatting>
  <conditionalFormatting sqref="F59">
    <cfRule type="cellIs" dxfId="44" priority="4" stopIfTrue="1" operator="notEqual">
      <formula>"——"</formula>
    </cfRule>
  </conditionalFormatting>
  <conditionalFormatting sqref="F70">
    <cfRule type="cellIs" dxfId="43" priority="3" stopIfTrue="1" operator="notEqual">
      <formula>"——"</formula>
    </cfRule>
  </conditionalFormatting>
  <conditionalFormatting sqref="F81">
    <cfRule type="cellIs" dxfId="42" priority="2" stopIfTrue="1" operator="notEqual">
      <formula>"——"</formula>
    </cfRule>
  </conditionalFormatting>
  <conditionalFormatting sqref="H48:H56 H59:H67 H70:H78 H81:H88">
    <cfRule type="cellIs" dxfId="4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96" t="s">
        <v>183</v>
      </c>
      <c r="B18" s="821" t="s">
        <v>560</v>
      </c>
      <c r="C18" s="822" t="s">
        <v>561</v>
      </c>
      <c r="D18" s="823"/>
      <c r="E18" s="821">
        <v>1</v>
      </c>
      <c r="F18" s="824" t="s">
        <v>562</v>
      </c>
      <c r="G18" s="825"/>
      <c r="H18" s="817"/>
      <c r="I18" s="817"/>
    </row>
    <row r="19" spans="1:9" s="826" customFormat="1" ht="19.5" customHeight="1">
      <c r="A19" s="3596"/>
      <c r="B19" s="3596" t="s">
        <v>563</v>
      </c>
      <c r="C19" s="822" t="s">
        <v>564</v>
      </c>
      <c r="D19" s="823"/>
      <c r="E19" s="821">
        <v>0.9</v>
      </c>
      <c r="F19" s="824" t="s">
        <v>565</v>
      </c>
      <c r="G19" s="825"/>
      <c r="H19" s="817"/>
      <c r="I19" s="817"/>
    </row>
    <row r="20" spans="1:9" s="826" customFormat="1" ht="19.5" customHeight="1">
      <c r="A20" s="3596"/>
      <c r="B20" s="3596"/>
      <c r="C20" s="822" t="s">
        <v>566</v>
      </c>
      <c r="D20" s="823"/>
      <c r="E20" s="821">
        <v>1.1000000000000001</v>
      </c>
      <c r="F20" s="824" t="s">
        <v>567</v>
      </c>
      <c r="G20" s="825"/>
      <c r="H20" s="817"/>
      <c r="I20" s="817"/>
    </row>
    <row r="21" spans="1:9" s="826" customFormat="1" ht="19.5" customHeight="1">
      <c r="A21" s="3596"/>
      <c r="B21" s="3596"/>
      <c r="C21" s="822" t="s">
        <v>568</v>
      </c>
      <c r="D21" s="823"/>
      <c r="E21" s="821">
        <v>0.8</v>
      </c>
      <c r="F21" s="824" t="s">
        <v>569</v>
      </c>
      <c r="G21" s="825"/>
      <c r="H21" s="817"/>
      <c r="I21" s="817"/>
    </row>
    <row r="22" spans="1:9" s="826" customFormat="1" ht="19.5" customHeight="1">
      <c r="A22" s="3596"/>
      <c r="B22" s="3596"/>
      <c r="C22" s="822" t="s">
        <v>570</v>
      </c>
      <c r="D22" s="823"/>
      <c r="E22" s="821">
        <v>0.5</v>
      </c>
      <c r="F22" s="824"/>
      <c r="G22" s="825"/>
      <c r="H22" s="817"/>
      <c r="I22" s="817"/>
    </row>
    <row r="23" spans="1:9" s="826" customFormat="1" ht="19.5" customHeight="1">
      <c r="A23" s="3596" t="s">
        <v>184</v>
      </c>
      <c r="B23" s="821" t="s">
        <v>560</v>
      </c>
      <c r="C23" s="822" t="s">
        <v>571</v>
      </c>
      <c r="D23" s="823"/>
      <c r="E23" s="821">
        <v>1</v>
      </c>
      <c r="F23" s="824" t="s">
        <v>572</v>
      </c>
      <c r="G23" s="825"/>
      <c r="H23" s="817"/>
      <c r="I23" s="817"/>
    </row>
    <row r="24" spans="1:9" s="826" customFormat="1" ht="19.5" customHeight="1">
      <c r="A24" s="3596"/>
      <c r="B24" s="3596" t="s">
        <v>563</v>
      </c>
      <c r="C24" s="822" t="s">
        <v>573</v>
      </c>
      <c r="D24" s="823"/>
      <c r="E24" s="821">
        <v>0.5</v>
      </c>
      <c r="F24" s="824"/>
      <c r="G24" s="825"/>
      <c r="H24" s="817"/>
      <c r="I24" s="817"/>
    </row>
    <row r="25" spans="1:9" s="826" customFormat="1" ht="19.5" customHeight="1">
      <c r="A25" s="3596"/>
      <c r="B25" s="3596"/>
      <c r="C25" s="822" t="s">
        <v>574</v>
      </c>
      <c r="D25" s="823"/>
      <c r="E25" s="821">
        <v>1.1000000000000001</v>
      </c>
      <c r="F25" s="824"/>
      <c r="G25" s="825"/>
      <c r="H25" s="817"/>
      <c r="I25" s="817"/>
    </row>
    <row r="26" spans="1:9" s="826" customFormat="1" ht="19.5" customHeight="1">
      <c r="A26" s="3596"/>
      <c r="B26" s="3596"/>
      <c r="C26" s="822" t="s">
        <v>575</v>
      </c>
      <c r="D26" s="823"/>
      <c r="E26" s="821">
        <v>1.1000000000000001</v>
      </c>
      <c r="F26" s="824"/>
      <c r="G26" s="825"/>
      <c r="H26" s="817"/>
      <c r="I26" s="817"/>
    </row>
    <row r="27" spans="1:9" s="826" customFormat="1" ht="19.5" customHeight="1">
      <c r="A27" s="3596"/>
      <c r="B27" s="3596"/>
      <c r="C27" s="822" t="s">
        <v>576</v>
      </c>
      <c r="D27" s="823"/>
      <c r="E27" s="821">
        <v>0.9</v>
      </c>
      <c r="F27" s="824" t="s">
        <v>577</v>
      </c>
      <c r="G27" s="825"/>
      <c r="H27" s="817"/>
      <c r="I27" s="817"/>
    </row>
    <row r="28" spans="1:9" s="826" customFormat="1" ht="19.5" customHeight="1">
      <c r="A28" s="3596"/>
      <c r="B28" s="3596"/>
      <c r="C28" s="822" t="s">
        <v>578</v>
      </c>
      <c r="D28" s="823"/>
      <c r="E28" s="821">
        <v>0.9</v>
      </c>
      <c r="F28" s="824" t="s">
        <v>579</v>
      </c>
      <c r="G28" s="825"/>
      <c r="H28" s="817"/>
      <c r="I28" s="817"/>
    </row>
    <row r="29" spans="1:9" s="826" customFormat="1" ht="19.5" customHeight="1">
      <c r="A29" s="3596"/>
      <c r="B29" s="3596"/>
      <c r="C29" s="822" t="s">
        <v>580</v>
      </c>
      <c r="D29" s="823"/>
      <c r="E29" s="821">
        <v>0.9</v>
      </c>
      <c r="F29" s="824" t="s">
        <v>581</v>
      </c>
      <c r="G29" s="825"/>
      <c r="H29" s="817"/>
      <c r="I29" s="817"/>
    </row>
    <row r="30" spans="1:9" s="826" customFormat="1" ht="19.5" customHeight="1">
      <c r="A30" s="3596"/>
      <c r="B30" s="3596"/>
      <c r="C30" s="822" t="s">
        <v>582</v>
      </c>
      <c r="D30" s="823"/>
      <c r="E30" s="821">
        <v>0.9</v>
      </c>
      <c r="F30" s="824" t="s">
        <v>583</v>
      </c>
      <c r="G30" s="825"/>
      <c r="H30" s="817"/>
      <c r="I30" s="817"/>
    </row>
    <row r="31" spans="1:9" s="826" customFormat="1" ht="19.5" customHeight="1">
      <c r="A31" s="3596"/>
      <c r="B31" s="3596"/>
      <c r="C31" s="822" t="s">
        <v>584</v>
      </c>
      <c r="D31" s="823"/>
      <c r="E31" s="821">
        <v>0.8</v>
      </c>
      <c r="F31" s="824" t="s">
        <v>585</v>
      </c>
      <c r="G31" s="825"/>
      <c r="H31" s="817"/>
      <c r="I31" s="817"/>
    </row>
    <row r="32" spans="1:9" s="826" customFormat="1" ht="19.5" customHeight="1">
      <c r="A32" s="3596"/>
      <c r="B32" s="3596"/>
      <c r="C32" s="822" t="s">
        <v>586</v>
      </c>
      <c r="D32" s="823"/>
      <c r="E32" s="821">
        <v>0.8</v>
      </c>
      <c r="F32" s="824" t="s">
        <v>587</v>
      </c>
      <c r="G32" s="825"/>
      <c r="H32" s="817"/>
      <c r="I32" s="817"/>
    </row>
    <row r="33" spans="1:9" s="826" customFormat="1" ht="19.5" customHeight="1">
      <c r="A33" s="3596" t="s">
        <v>185</v>
      </c>
      <c r="B33" s="821" t="s">
        <v>560</v>
      </c>
      <c r="C33" s="822" t="s">
        <v>588</v>
      </c>
      <c r="D33" s="823"/>
      <c r="E33" s="821">
        <v>1</v>
      </c>
      <c r="F33" s="824" t="s">
        <v>589</v>
      </c>
      <c r="G33" s="825"/>
      <c r="H33" s="817"/>
      <c r="I33" s="817"/>
    </row>
    <row r="34" spans="1:9" s="826" customFormat="1" ht="19.5" customHeight="1">
      <c r="A34" s="3596"/>
      <c r="B34" s="821" t="s">
        <v>563</v>
      </c>
      <c r="C34" s="822" t="s">
        <v>590</v>
      </c>
      <c r="D34" s="823"/>
      <c r="E34" s="821">
        <v>1.5</v>
      </c>
      <c r="F34" s="824" t="s">
        <v>591</v>
      </c>
      <c r="G34" s="825"/>
      <c r="H34" s="817"/>
      <c r="I34" s="817"/>
    </row>
    <row r="35" spans="1:9" s="826" customFormat="1" ht="19.5" customHeight="1">
      <c r="A35" s="3596" t="s">
        <v>186</v>
      </c>
      <c r="B35" s="821" t="s">
        <v>560</v>
      </c>
      <c r="C35" s="822" t="s">
        <v>592</v>
      </c>
      <c r="D35" s="823"/>
      <c r="E35" s="821">
        <v>1</v>
      </c>
      <c r="F35" s="824" t="s">
        <v>593</v>
      </c>
      <c r="G35" s="825"/>
      <c r="H35" s="817"/>
      <c r="I35" s="817"/>
    </row>
    <row r="36" spans="1:9" s="826" customFormat="1" ht="19.5" customHeight="1">
      <c r="A36" s="3596"/>
      <c r="B36" s="3596" t="s">
        <v>563</v>
      </c>
      <c r="C36" s="822" t="s">
        <v>594</v>
      </c>
      <c r="D36" s="823"/>
      <c r="E36" s="821">
        <v>1</v>
      </c>
      <c r="F36" s="824" t="s">
        <v>595</v>
      </c>
      <c r="G36" s="825"/>
      <c r="H36" s="817"/>
      <c r="I36" s="817"/>
    </row>
    <row r="37" spans="1:9" s="826" customFormat="1" ht="19.5" customHeight="1">
      <c r="A37" s="3596"/>
      <c r="B37" s="3596"/>
      <c r="C37" s="822" t="s">
        <v>596</v>
      </c>
      <c r="D37" s="823"/>
      <c r="E37" s="821">
        <v>1.5</v>
      </c>
      <c r="F37" s="824" t="s">
        <v>597</v>
      </c>
      <c r="G37" s="825"/>
      <c r="H37" s="817"/>
      <c r="I37" s="817"/>
    </row>
    <row r="38" spans="1:9" s="826" customFormat="1" ht="19.5" customHeight="1">
      <c r="A38" s="3596"/>
      <c r="B38" s="3596"/>
      <c r="C38" s="822" t="s">
        <v>598</v>
      </c>
      <c r="D38" s="823"/>
      <c r="E38" s="821">
        <v>1</v>
      </c>
      <c r="F38" s="824" t="s">
        <v>599</v>
      </c>
      <c r="G38" s="825"/>
      <c r="H38" s="817"/>
      <c r="I38" s="817"/>
    </row>
    <row r="39" spans="1:9" s="826" customFormat="1" ht="19.5" customHeight="1">
      <c r="A39" s="3596"/>
      <c r="B39" s="359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25">
      <c r="A60" s="878"/>
      <c r="B60" s="878"/>
      <c r="C60" s="878" t="s">
        <v>745</v>
      </c>
      <c r="D60" s="878"/>
      <c r="E60" s="834" t="s">
        <v>1</v>
      </c>
      <c r="F60" s="878" t="s">
        <v>1</v>
      </c>
    </row>
    <row r="61" spans="1:8" s="817" customFormat="1" ht="25.5">
      <c r="A61" s="821">
        <v>1</v>
      </c>
      <c r="B61" s="3596" t="s">
        <v>614</v>
      </c>
      <c r="C61" s="757" t="s">
        <v>615</v>
      </c>
      <c r="D61" s="757" t="s">
        <v>616</v>
      </c>
      <c r="E61" s="834">
        <v>0.5</v>
      </c>
      <c r="F61" s="821">
        <v>80</v>
      </c>
    </row>
    <row r="62" spans="1:8" s="817" customFormat="1" ht="25.5">
      <c r="A62" s="821">
        <v>2</v>
      </c>
      <c r="B62" s="3596"/>
      <c r="C62" s="757" t="s">
        <v>617</v>
      </c>
      <c r="D62" s="757" t="s">
        <v>618</v>
      </c>
      <c r="E62" s="834">
        <v>0.5</v>
      </c>
      <c r="F62" s="821">
        <v>80</v>
      </c>
    </row>
    <row r="63" spans="1:8" s="817" customFormat="1" ht="38.25">
      <c r="A63" s="821">
        <v>3</v>
      </c>
      <c r="B63" s="3596"/>
      <c r="C63" s="757" t="s">
        <v>619</v>
      </c>
      <c r="D63" s="757" t="s">
        <v>620</v>
      </c>
      <c r="E63" s="834">
        <v>0.5</v>
      </c>
      <c r="F63" s="821">
        <v>80</v>
      </c>
    </row>
    <row r="64" spans="1:8" s="817" customFormat="1" ht="38.25">
      <c r="A64" s="821">
        <v>4</v>
      </c>
      <c r="B64" s="3596"/>
      <c r="C64" s="757" t="s">
        <v>621</v>
      </c>
      <c r="D64" s="757" t="s">
        <v>622</v>
      </c>
      <c r="E64" s="834">
        <v>0.4</v>
      </c>
      <c r="F64" s="821">
        <v>60</v>
      </c>
    </row>
    <row r="65" spans="1:6" s="817" customFormat="1" ht="38.25">
      <c r="A65" s="821">
        <v>5</v>
      </c>
      <c r="B65" s="3596"/>
      <c r="C65" s="757" t="s">
        <v>623</v>
      </c>
      <c r="D65" s="757" t="s">
        <v>624</v>
      </c>
      <c r="E65" s="834">
        <v>0.2</v>
      </c>
      <c r="F65" s="821">
        <v>30</v>
      </c>
    </row>
    <row r="66" spans="1:6" s="817" customFormat="1" ht="38.25">
      <c r="A66" s="821">
        <v>6</v>
      </c>
      <c r="B66" s="3596"/>
      <c r="C66" s="757" t="s">
        <v>625</v>
      </c>
      <c r="D66" s="757" t="s">
        <v>626</v>
      </c>
      <c r="E66" s="834">
        <v>0.3</v>
      </c>
      <c r="F66" s="821">
        <v>50</v>
      </c>
    </row>
    <row r="67" spans="1:6" s="817" customFormat="1" ht="38.25">
      <c r="A67" s="821">
        <v>7</v>
      </c>
      <c r="B67" s="3596"/>
      <c r="C67" s="757" t="s">
        <v>627</v>
      </c>
      <c r="D67" s="757" t="s">
        <v>628</v>
      </c>
      <c r="E67" s="834">
        <v>0.2</v>
      </c>
      <c r="F67" s="821">
        <v>30</v>
      </c>
    </row>
    <row r="68" spans="1:6" s="817" customFormat="1" ht="38.25">
      <c r="A68" s="821">
        <v>8</v>
      </c>
      <c r="B68" s="3596"/>
      <c r="C68" s="757" t="s">
        <v>629</v>
      </c>
      <c r="D68" s="757" t="s">
        <v>630</v>
      </c>
      <c r="E68" s="834">
        <v>0.2</v>
      </c>
      <c r="F68" s="821">
        <v>30</v>
      </c>
    </row>
    <row r="69" spans="1:6" s="817" customFormat="1" ht="38.25">
      <c r="A69" s="821">
        <v>9</v>
      </c>
      <c r="B69" s="3596"/>
      <c r="C69" s="757" t="s">
        <v>631</v>
      </c>
      <c r="D69" s="757" t="s">
        <v>632</v>
      </c>
      <c r="E69" s="834">
        <v>0.2</v>
      </c>
      <c r="F69" s="821">
        <v>30</v>
      </c>
    </row>
    <row r="70" spans="1:6" s="817" customFormat="1" ht="51">
      <c r="A70" s="821">
        <v>10</v>
      </c>
      <c r="B70" s="3596"/>
      <c r="C70" s="757" t="s">
        <v>633</v>
      </c>
      <c r="D70" s="757" t="s">
        <v>634</v>
      </c>
      <c r="E70" s="834">
        <v>0.2</v>
      </c>
      <c r="F70" s="821">
        <v>30</v>
      </c>
    </row>
    <row r="71" spans="1:6" s="817" customFormat="1" ht="51">
      <c r="A71" s="821">
        <v>11</v>
      </c>
      <c r="B71" s="3596"/>
      <c r="C71" s="757" t="s">
        <v>635</v>
      </c>
      <c r="D71" s="757" t="s">
        <v>636</v>
      </c>
      <c r="E71" s="834">
        <v>0.2</v>
      </c>
      <c r="F71" s="821">
        <v>30</v>
      </c>
    </row>
    <row r="72" spans="1:6" s="817" customFormat="1" ht="38.25">
      <c r="A72" s="821">
        <v>12</v>
      </c>
      <c r="B72" s="3596"/>
      <c r="C72" s="757" t="s">
        <v>637</v>
      </c>
      <c r="D72" s="757" t="s">
        <v>638</v>
      </c>
      <c r="E72" s="834">
        <v>0.5</v>
      </c>
      <c r="F72" s="821">
        <v>80</v>
      </c>
    </row>
    <row r="73" spans="1:6" s="817" customFormat="1" ht="25.5">
      <c r="A73" s="821">
        <v>13</v>
      </c>
      <c r="B73" s="3596"/>
      <c r="C73" s="757" t="s">
        <v>639</v>
      </c>
      <c r="D73" s="757" t="s">
        <v>640</v>
      </c>
      <c r="E73" s="834">
        <v>0.4</v>
      </c>
      <c r="F73" s="821">
        <v>60</v>
      </c>
    </row>
    <row r="74" spans="1:6" s="817" customFormat="1" ht="25.5">
      <c r="A74" s="821">
        <v>14</v>
      </c>
      <c r="B74" s="3596"/>
      <c r="C74" s="757" t="s">
        <v>641</v>
      </c>
      <c r="D74" s="757" t="s">
        <v>642</v>
      </c>
      <c r="E74" s="834">
        <v>0.2</v>
      </c>
      <c r="F74" s="821">
        <v>30</v>
      </c>
    </row>
    <row r="75" spans="1:6" s="817" customFormat="1" ht="25.5">
      <c r="A75" s="821">
        <v>15</v>
      </c>
      <c r="B75" s="3596"/>
      <c r="C75" s="757" t="s">
        <v>643</v>
      </c>
      <c r="D75" s="757" t="s">
        <v>644</v>
      </c>
      <c r="E75" s="834">
        <v>0.2</v>
      </c>
      <c r="F75" s="821">
        <v>30</v>
      </c>
    </row>
    <row r="76" spans="1:6" s="817" customFormat="1" ht="25.5">
      <c r="A76" s="821">
        <v>16</v>
      </c>
      <c r="B76" s="3596" t="s">
        <v>645</v>
      </c>
      <c r="C76" s="757" t="s">
        <v>646</v>
      </c>
      <c r="D76" s="757" t="s">
        <v>647</v>
      </c>
      <c r="E76" s="834">
        <v>0.5</v>
      </c>
      <c r="F76" s="821">
        <v>80</v>
      </c>
    </row>
    <row r="77" spans="1:6" s="817" customFormat="1" ht="25.5">
      <c r="A77" s="821">
        <v>17</v>
      </c>
      <c r="B77" s="3596"/>
      <c r="C77" s="757" t="s">
        <v>648</v>
      </c>
      <c r="D77" s="757" t="s">
        <v>649</v>
      </c>
      <c r="E77" s="834">
        <v>0.5</v>
      </c>
      <c r="F77" s="821">
        <v>80</v>
      </c>
    </row>
    <row r="78" spans="1:6" s="817" customFormat="1" ht="25.5">
      <c r="A78" s="821">
        <v>18</v>
      </c>
      <c r="B78" s="3596"/>
      <c r="C78" s="757" t="s">
        <v>650</v>
      </c>
      <c r="D78" s="757" t="s">
        <v>651</v>
      </c>
      <c r="E78" s="834">
        <v>0.2</v>
      </c>
      <c r="F78" s="821">
        <v>30</v>
      </c>
    </row>
    <row r="79" spans="1:6" s="817" customFormat="1" ht="25.5">
      <c r="A79" s="821">
        <v>19</v>
      </c>
      <c r="B79" s="3596"/>
      <c r="C79" s="757" t="s">
        <v>652</v>
      </c>
      <c r="D79" s="757" t="s">
        <v>653</v>
      </c>
      <c r="E79" s="834">
        <v>0.5</v>
      </c>
      <c r="F79" s="821">
        <v>80</v>
      </c>
    </row>
    <row r="80" spans="1:6" s="817" customFormat="1" ht="38.25">
      <c r="A80" s="821">
        <v>20</v>
      </c>
      <c r="B80" s="3596"/>
      <c r="C80" s="757" t="s">
        <v>654</v>
      </c>
      <c r="D80" s="757" t="s">
        <v>655</v>
      </c>
      <c r="E80" s="834">
        <v>0.2</v>
      </c>
      <c r="F80" s="821">
        <v>30</v>
      </c>
    </row>
    <row r="81" spans="1:6" s="817" customFormat="1" ht="38.25">
      <c r="A81" s="821">
        <v>21</v>
      </c>
      <c r="B81" s="3596"/>
      <c r="C81" s="757" t="s">
        <v>656</v>
      </c>
      <c r="D81" s="757" t="s">
        <v>657</v>
      </c>
      <c r="E81" s="834">
        <v>0.2</v>
      </c>
      <c r="F81" s="821">
        <v>30</v>
      </c>
    </row>
    <row r="82" spans="1:6" s="817" customFormat="1" ht="51">
      <c r="A82" s="821">
        <v>22</v>
      </c>
      <c r="B82" s="3596"/>
      <c r="C82" s="757" t="s">
        <v>658</v>
      </c>
      <c r="D82" s="757" t="s">
        <v>659</v>
      </c>
      <c r="E82" s="834">
        <v>0.2</v>
      </c>
      <c r="F82" s="821">
        <v>30</v>
      </c>
    </row>
    <row r="83" spans="1:6" s="817" customFormat="1" ht="51">
      <c r="A83" s="821">
        <v>23</v>
      </c>
      <c r="B83" s="3596"/>
      <c r="C83" s="757" t="s">
        <v>660</v>
      </c>
      <c r="D83" s="757" t="s">
        <v>661</v>
      </c>
      <c r="E83" s="834">
        <v>0.2</v>
      </c>
      <c r="F83" s="821">
        <v>30</v>
      </c>
    </row>
    <row r="84" spans="1:6" s="817" customFormat="1" ht="38.25">
      <c r="A84" s="821">
        <v>24</v>
      </c>
      <c r="B84" s="3596"/>
      <c r="C84" s="757" t="s">
        <v>662</v>
      </c>
      <c r="D84" s="757" t="s">
        <v>663</v>
      </c>
      <c r="E84" s="834">
        <v>0.2</v>
      </c>
      <c r="F84" s="821">
        <v>30</v>
      </c>
    </row>
    <row r="85" spans="1:6" s="817" customFormat="1" ht="38.25">
      <c r="A85" s="821">
        <v>25</v>
      </c>
      <c r="B85" s="3596"/>
      <c r="C85" s="757" t="s">
        <v>664</v>
      </c>
      <c r="D85" s="757" t="s">
        <v>665</v>
      </c>
      <c r="E85" s="834">
        <v>0.5</v>
      </c>
      <c r="F85" s="821">
        <v>80</v>
      </c>
    </row>
    <row r="86" spans="1:6" s="817" customFormat="1" ht="38.25">
      <c r="A86" s="821">
        <v>26</v>
      </c>
      <c r="B86" s="3596"/>
      <c r="C86" s="757" t="s">
        <v>666</v>
      </c>
      <c r="D86" s="757" t="s">
        <v>667</v>
      </c>
      <c r="E86" s="834">
        <v>0.2</v>
      </c>
      <c r="F86" s="821">
        <v>30</v>
      </c>
    </row>
    <row r="87" spans="1:6" s="817" customFormat="1" ht="38.25">
      <c r="A87" s="821">
        <v>27</v>
      </c>
      <c r="B87" s="3596"/>
      <c r="C87" s="757" t="s">
        <v>668</v>
      </c>
      <c r="D87" s="757" t="s">
        <v>669</v>
      </c>
      <c r="E87" s="834">
        <v>0.2</v>
      </c>
      <c r="F87" s="821">
        <v>30</v>
      </c>
    </row>
    <row r="88" spans="1:6" s="817" customFormat="1" ht="38.25">
      <c r="A88" s="821">
        <v>28</v>
      </c>
      <c r="B88" s="3596"/>
      <c r="C88" s="757" t="s">
        <v>670</v>
      </c>
      <c r="D88" s="757" t="s">
        <v>671</v>
      </c>
      <c r="E88" s="834">
        <v>0.2</v>
      </c>
      <c r="F88" s="821">
        <v>30</v>
      </c>
    </row>
    <row r="89" spans="1:6" s="817" customFormat="1" ht="25.5">
      <c r="A89" s="821">
        <v>29</v>
      </c>
      <c r="B89" s="3596"/>
      <c r="C89" s="757" t="s">
        <v>672</v>
      </c>
      <c r="D89" s="757" t="s">
        <v>673</v>
      </c>
      <c r="E89" s="834">
        <v>0.2</v>
      </c>
      <c r="F89" s="821">
        <v>30</v>
      </c>
    </row>
    <row r="90" spans="1:6" s="817" customFormat="1" ht="25.5">
      <c r="A90" s="821">
        <v>30</v>
      </c>
      <c r="B90" s="3596"/>
      <c r="C90" s="757" t="s">
        <v>674</v>
      </c>
      <c r="D90" s="757" t="s">
        <v>675</v>
      </c>
      <c r="E90" s="834">
        <v>0.2</v>
      </c>
      <c r="F90" s="821">
        <v>30</v>
      </c>
    </row>
    <row r="91" spans="1:6" s="817" customFormat="1" ht="38.25">
      <c r="A91" s="821">
        <v>31</v>
      </c>
      <c r="B91" s="3596"/>
      <c r="C91" s="757" t="s">
        <v>676</v>
      </c>
      <c r="D91" s="757" t="s">
        <v>677</v>
      </c>
      <c r="E91" s="834">
        <v>0.2</v>
      </c>
      <c r="F91" s="821">
        <v>30</v>
      </c>
    </row>
    <row r="92" spans="1:6" s="817" customFormat="1" ht="25.5">
      <c r="A92" s="821">
        <v>32</v>
      </c>
      <c r="B92" s="3596" t="s">
        <v>678</v>
      </c>
      <c r="C92" s="821" t="s">
        <v>679</v>
      </c>
      <c r="D92" s="757" t="s">
        <v>680</v>
      </c>
      <c r="E92" s="834">
        <v>0.2</v>
      </c>
      <c r="F92" s="821">
        <v>30</v>
      </c>
    </row>
    <row r="93" spans="1:6" s="817" customFormat="1" ht="38.25">
      <c r="A93" s="821">
        <v>33</v>
      </c>
      <c r="B93" s="3596"/>
      <c r="C93" s="821" t="s">
        <v>681</v>
      </c>
      <c r="D93" s="757" t="s">
        <v>682</v>
      </c>
      <c r="E93" s="834">
        <v>0.2</v>
      </c>
      <c r="F93" s="821">
        <v>30</v>
      </c>
    </row>
    <row r="94" spans="1:6" s="817" customFormat="1" ht="51">
      <c r="A94" s="821">
        <v>34</v>
      </c>
      <c r="B94" s="3596"/>
      <c r="C94" s="821" t="s">
        <v>683</v>
      </c>
      <c r="D94" s="757" t="s">
        <v>684</v>
      </c>
      <c r="E94" s="834">
        <v>0.2</v>
      </c>
      <c r="F94" s="821">
        <v>30</v>
      </c>
    </row>
    <row r="95" spans="1:6" s="817" customFormat="1" ht="38.25">
      <c r="A95" s="821">
        <v>35</v>
      </c>
      <c r="B95" s="3596"/>
      <c r="C95" s="821" t="s">
        <v>685</v>
      </c>
      <c r="D95" s="757" t="s">
        <v>686</v>
      </c>
      <c r="E95" s="834">
        <v>0.2</v>
      </c>
      <c r="F95" s="821">
        <v>30</v>
      </c>
    </row>
    <row r="96" spans="1:6" s="817" customFormat="1" ht="51">
      <c r="A96" s="821">
        <v>36</v>
      </c>
      <c r="B96" s="3596"/>
      <c r="C96" s="757" t="s">
        <v>687</v>
      </c>
      <c r="D96" s="757" t="s">
        <v>688</v>
      </c>
      <c r="E96" s="834">
        <v>0.2</v>
      </c>
      <c r="F96" s="821">
        <v>30</v>
      </c>
    </row>
    <row r="97" spans="1:6" s="817" customFormat="1" ht="38.25">
      <c r="A97" s="821">
        <v>37</v>
      </c>
      <c r="B97" s="3596"/>
      <c r="C97" s="821" t="s">
        <v>689</v>
      </c>
      <c r="D97" s="757" t="s">
        <v>690</v>
      </c>
      <c r="E97" s="834">
        <v>0.2</v>
      </c>
      <c r="F97" s="821">
        <v>30</v>
      </c>
    </row>
    <row r="98" spans="1:6" s="817" customFormat="1" ht="38.25">
      <c r="A98" s="821">
        <v>38</v>
      </c>
      <c r="B98" s="3596"/>
      <c r="C98" s="821" t="s">
        <v>691</v>
      </c>
      <c r="D98" s="757" t="s">
        <v>692</v>
      </c>
      <c r="E98" s="834">
        <v>0.2</v>
      </c>
      <c r="F98" s="821">
        <v>30</v>
      </c>
    </row>
    <row r="99" spans="1:6" s="817" customFormat="1" ht="38.25">
      <c r="A99" s="821">
        <v>39</v>
      </c>
      <c r="B99" s="3596" t="s">
        <v>693</v>
      </c>
      <c r="C99" s="821" t="s">
        <v>694</v>
      </c>
      <c r="D99" s="757" t="s">
        <v>695</v>
      </c>
      <c r="E99" s="834">
        <v>0.3</v>
      </c>
      <c r="F99" s="821">
        <v>50</v>
      </c>
    </row>
    <row r="100" spans="1:6" s="817" customFormat="1" ht="25.5">
      <c r="A100" s="821">
        <v>40</v>
      </c>
      <c r="B100" s="3596"/>
      <c r="C100" s="821" t="s">
        <v>696</v>
      </c>
      <c r="D100" s="757" t="s">
        <v>697</v>
      </c>
      <c r="E100" s="834">
        <v>0.2</v>
      </c>
      <c r="F100" s="821">
        <v>30</v>
      </c>
    </row>
    <row r="101" spans="1:6" s="817" customFormat="1" ht="38.25">
      <c r="A101" s="821">
        <v>41</v>
      </c>
      <c r="B101" s="3596"/>
      <c r="C101" s="821" t="s">
        <v>698</v>
      </c>
      <c r="D101" s="757" t="s">
        <v>695</v>
      </c>
      <c r="E101" s="834">
        <v>0.2</v>
      </c>
      <c r="F101" s="821">
        <v>30</v>
      </c>
    </row>
    <row r="102" spans="1:6" s="817" customFormat="1" ht="51">
      <c r="A102" s="821">
        <v>42</v>
      </c>
      <c r="B102" s="821" t="s">
        <v>699</v>
      </c>
      <c r="C102" s="757" t="s">
        <v>700</v>
      </c>
      <c r="D102" s="757" t="s">
        <v>701</v>
      </c>
      <c r="E102" s="834">
        <v>0.2</v>
      </c>
      <c r="F102" s="821">
        <v>30</v>
      </c>
    </row>
    <row r="103" spans="1:6" s="817" customFormat="1" ht="25.5">
      <c r="A103" s="821">
        <v>43</v>
      </c>
      <c r="B103" s="821" t="s">
        <v>702</v>
      </c>
      <c r="C103" s="821" t="s">
        <v>703</v>
      </c>
      <c r="D103" s="757" t="s">
        <v>704</v>
      </c>
      <c r="E103" s="834">
        <v>0.2</v>
      </c>
      <c r="F103" s="821">
        <v>30</v>
      </c>
    </row>
    <row r="104" spans="1:6" s="817" customFormat="1" ht="38.25">
      <c r="A104" s="821">
        <v>44</v>
      </c>
      <c r="B104" s="821" t="s">
        <v>705</v>
      </c>
      <c r="C104" s="821" t="s">
        <v>706</v>
      </c>
      <c r="D104" s="757" t="s">
        <v>707</v>
      </c>
      <c r="E104" s="834">
        <v>0.2</v>
      </c>
      <c r="F104" s="821">
        <v>30</v>
      </c>
    </row>
    <row r="105" spans="1:6" s="817" customFormat="1" ht="38.25">
      <c r="A105" s="821">
        <v>45</v>
      </c>
      <c r="B105" s="3596" t="s">
        <v>708</v>
      </c>
      <c r="C105" s="821" t="s">
        <v>709</v>
      </c>
      <c r="D105" s="757" t="s">
        <v>710</v>
      </c>
      <c r="E105" s="834">
        <v>0.2</v>
      </c>
      <c r="F105" s="821">
        <v>30</v>
      </c>
    </row>
    <row r="106" spans="1:6" s="817" customFormat="1" ht="38.25">
      <c r="A106" s="821">
        <v>46</v>
      </c>
      <c r="B106" s="3596"/>
      <c r="C106" s="821" t="s">
        <v>711</v>
      </c>
      <c r="D106" s="757" t="s">
        <v>712</v>
      </c>
      <c r="E106" s="834">
        <v>0.2</v>
      </c>
      <c r="F106" s="821">
        <v>30</v>
      </c>
    </row>
    <row r="107" spans="1:6" s="817" customFormat="1" ht="38.25">
      <c r="A107" s="821">
        <v>47</v>
      </c>
      <c r="B107" s="3596" t="s">
        <v>713</v>
      </c>
      <c r="C107" s="821" t="s">
        <v>714</v>
      </c>
      <c r="D107" s="757" t="s">
        <v>715</v>
      </c>
      <c r="E107" s="834">
        <v>0.3</v>
      </c>
      <c r="F107" s="821">
        <v>50</v>
      </c>
    </row>
    <row r="108" spans="1:6" s="817" customFormat="1" ht="38.25">
      <c r="A108" s="821">
        <v>48</v>
      </c>
      <c r="B108" s="3596"/>
      <c r="C108" s="821" t="s">
        <v>716</v>
      </c>
      <c r="D108" s="757" t="s">
        <v>717</v>
      </c>
      <c r="E108" s="834">
        <v>0.2</v>
      </c>
      <c r="F108" s="821">
        <v>30</v>
      </c>
    </row>
    <row r="109" spans="1:6" s="817" customFormat="1" ht="38.25">
      <c r="A109" s="821">
        <v>49</v>
      </c>
      <c r="B109" s="821" t="s">
        <v>718</v>
      </c>
      <c r="C109" s="821" t="s">
        <v>719</v>
      </c>
      <c r="D109" s="757" t="s">
        <v>720</v>
      </c>
      <c r="E109" s="834">
        <v>0.2</v>
      </c>
      <c r="F109" s="821">
        <v>30</v>
      </c>
    </row>
    <row r="110" spans="1:6" s="817" customFormat="1" ht="38.25">
      <c r="A110" s="821">
        <v>50</v>
      </c>
      <c r="B110" s="821" t="s">
        <v>721</v>
      </c>
      <c r="C110" s="821" t="s">
        <v>722</v>
      </c>
      <c r="D110" s="757" t="s">
        <v>723</v>
      </c>
      <c r="E110" s="834">
        <v>0.2</v>
      </c>
      <c r="F110" s="821">
        <v>30</v>
      </c>
    </row>
    <row r="111" spans="1:6" s="817" customFormat="1" ht="38.25">
      <c r="A111" s="821">
        <v>51</v>
      </c>
      <c r="B111" s="3596" t="s">
        <v>724</v>
      </c>
      <c r="C111" s="821" t="s">
        <v>725</v>
      </c>
      <c r="D111" s="757" t="s">
        <v>726</v>
      </c>
      <c r="E111" s="834">
        <v>0.2</v>
      </c>
      <c r="F111" s="821">
        <v>30</v>
      </c>
    </row>
    <row r="112" spans="1:6" s="817" customFormat="1" ht="25.5">
      <c r="A112" s="821">
        <v>52</v>
      </c>
      <c r="B112" s="3596"/>
      <c r="C112" s="821" t="s">
        <v>727</v>
      </c>
      <c r="D112" s="757" t="s">
        <v>728</v>
      </c>
      <c r="E112" s="834">
        <v>0.2</v>
      </c>
      <c r="F112" s="821">
        <v>30</v>
      </c>
    </row>
    <row r="113" spans="1:6" s="817" customFormat="1" ht="25.5">
      <c r="A113" s="821">
        <v>53</v>
      </c>
      <c r="B113" s="3596"/>
      <c r="C113" s="821" t="s">
        <v>729</v>
      </c>
      <c r="D113" s="757" t="s">
        <v>730</v>
      </c>
      <c r="E113" s="834">
        <v>0.2</v>
      </c>
      <c r="F113" s="821">
        <v>30</v>
      </c>
    </row>
    <row r="114" spans="1:6" ht="38.25">
      <c r="A114" s="821">
        <v>54</v>
      </c>
      <c r="B114" s="821" t="s">
        <v>731</v>
      </c>
      <c r="C114" s="821" t="s">
        <v>732</v>
      </c>
      <c r="D114" s="757" t="s">
        <v>733</v>
      </c>
      <c r="E114" s="834">
        <v>0.2</v>
      </c>
      <c r="F114" s="821">
        <v>30</v>
      </c>
    </row>
    <row r="115" spans="1:6" ht="25.5">
      <c r="A115" s="821">
        <v>55</v>
      </c>
      <c r="B115" s="821" t="s">
        <v>734</v>
      </c>
      <c r="C115" s="821" t="s">
        <v>735</v>
      </c>
      <c r="D115" s="757" t="s">
        <v>736</v>
      </c>
      <c r="E115" s="834">
        <v>0.2</v>
      </c>
      <c r="F115" s="821">
        <v>30</v>
      </c>
    </row>
    <row r="116" spans="1:6" ht="25.5">
      <c r="A116" s="821">
        <v>56</v>
      </c>
      <c r="B116" s="3596" t="s">
        <v>737</v>
      </c>
      <c r="C116" s="821" t="s">
        <v>738</v>
      </c>
      <c r="D116" s="757" t="s">
        <v>739</v>
      </c>
      <c r="E116" s="834">
        <v>0.2</v>
      </c>
      <c r="F116" s="821">
        <v>30</v>
      </c>
    </row>
    <row r="117" spans="1:6" ht="38.25">
      <c r="A117" s="821">
        <v>57</v>
      </c>
      <c r="B117" s="3596"/>
      <c r="C117" s="821" t="s">
        <v>740</v>
      </c>
      <c r="D117" s="757" t="s">
        <v>741</v>
      </c>
      <c r="E117" s="834">
        <v>0.2</v>
      </c>
      <c r="F117" s="821">
        <v>30</v>
      </c>
    </row>
    <row r="118" spans="1:6" ht="38.25">
      <c r="A118" s="821">
        <v>58</v>
      </c>
      <c r="B118" s="821" t="s">
        <v>742</v>
      </c>
      <c r="C118" s="821" t="s">
        <v>743</v>
      </c>
      <c r="D118" s="757" t="s">
        <v>744</v>
      </c>
      <c r="E118" s="834">
        <v>0.2</v>
      </c>
      <c r="F118" s="821">
        <v>30</v>
      </c>
    </row>
    <row r="119" spans="1:6" ht="14.2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dimension ref="A1:N408"/>
  <sheetViews>
    <sheetView workbookViewId="0">
      <selection activeCell="V30" sqref="V30"/>
    </sheetView>
  </sheetViews>
  <sheetFormatPr defaultColWidth="9" defaultRowHeight="14.25"/>
  <cols>
    <col min="1" max="1" width="9" style="854"/>
    <col min="2" max="16384" width="9" style="837"/>
  </cols>
  <sheetData>
    <row r="1" spans="1:14">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c r="A103" s="835" t="s">
        <v>748</v>
      </c>
      <c r="B103" s="836"/>
      <c r="C103" s="836"/>
      <c r="D103" s="836"/>
      <c r="E103" s="836"/>
      <c r="F103" s="836"/>
      <c r="G103" s="836"/>
      <c r="H103" s="836"/>
      <c r="I103" s="836"/>
      <c r="J103" s="836"/>
      <c r="K103" s="836"/>
      <c r="L103" s="836"/>
      <c r="M103" s="836"/>
      <c r="N103" s="836"/>
    </row>
    <row r="104" spans="1:14">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2D050"/>
  </sheetPr>
  <dimension ref="A1:P21"/>
  <sheetViews>
    <sheetView view="pageBreakPreview"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4"/>
      <c r="G1" s="3024"/>
      <c r="H1" s="3024"/>
      <c r="I1" s="3024"/>
      <c r="J1" s="3024"/>
      <c r="K1" s="3024"/>
      <c r="L1" s="3024"/>
      <c r="M1" s="3024"/>
      <c r="N1" s="3024"/>
      <c r="O1" s="3024"/>
      <c r="P1" s="3024"/>
    </row>
    <row r="2" spans="1:16" ht="15.75">
      <c r="A2" s="2363" t="s">
        <v>2813</v>
      </c>
      <c r="B2" s="2828" t="e">
        <f ca="1">SUMIF(B6:B13,"&lt;&gt;#ref!",B6:B13)</f>
        <v>#DIV/0!</v>
      </c>
      <c r="C2" s="2363" t="s">
        <v>2814</v>
      </c>
      <c r="D2" s="2363" t="s">
        <v>2815</v>
      </c>
      <c r="E2" s="2838">
        <f ca="1">SUMIF(E6:E13,"&lt;&gt;#ref!",E6:E13)</f>
        <v>445.5</v>
      </c>
      <c r="F2" s="3024"/>
      <c r="G2" s="3024"/>
      <c r="H2" s="3024"/>
      <c r="I2" s="3024"/>
      <c r="J2" s="3024"/>
      <c r="K2" s="3024"/>
      <c r="L2" s="3024"/>
      <c r="M2" s="3024"/>
      <c r="N2" s="3024"/>
      <c r="O2" s="3024"/>
      <c r="P2" s="3024"/>
    </row>
    <row r="3" spans="1:16" ht="15.75">
      <c r="A3" s="2363" t="s">
        <v>2816</v>
      </c>
      <c r="B3" s="2828" t="e">
        <f ca="1">ROUND(B2*10000/E2,0)</f>
        <v>#DIV/0!</v>
      </c>
      <c r="C3" s="2363"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4"/>
      <c r="D5" s="3024"/>
      <c r="E5" s="2837" t="s">
        <v>2819</v>
      </c>
      <c r="F5" s="3024"/>
      <c r="G5" s="3024"/>
      <c r="H5" s="3024"/>
      <c r="I5" s="3024"/>
      <c r="J5" s="3024"/>
      <c r="K5" s="3024"/>
      <c r="L5" s="3024"/>
      <c r="M5" s="3024"/>
      <c r="N5" s="3024"/>
      <c r="O5" s="3024"/>
      <c r="P5" s="3024"/>
    </row>
    <row r="6" spans="1:16" ht="15.75">
      <c r="A6" s="2835" t="s">
        <v>2820</v>
      </c>
      <c r="B6" s="2828" t="e">
        <f ca="1">SUMIF(INDIRECT("'"&amp;A6&amp;"'"&amp;"!A:A"),"总价",INDIRECT("'"&amp;A6&amp;"'"&amp;"!B:B"))</f>
        <v>#DIV/0!</v>
      </c>
      <c r="C6" s="2363" t="s">
        <v>2814</v>
      </c>
      <c r="D6" s="3024"/>
      <c r="E6" s="2838">
        <f ca="1">SUMIF(INDIRECT("'"&amp;A6&amp;"'"&amp;"!C:C"),"建筑面积",INDIRECT("'"&amp;A6&amp;"'"&amp;"!D:D"))</f>
        <v>445.5</v>
      </c>
      <c r="F6" s="3024"/>
      <c r="G6" s="3024"/>
      <c r="H6" s="3024"/>
      <c r="I6" s="3024"/>
      <c r="J6" s="3024"/>
      <c r="K6" s="3024"/>
      <c r="L6" s="3024"/>
      <c r="M6" s="3024"/>
      <c r="N6" s="3024"/>
      <c r="O6" s="3024"/>
      <c r="P6" s="3024"/>
    </row>
    <row r="7" spans="1:16" ht="15.75">
      <c r="A7" s="2835"/>
      <c r="B7" s="2828" t="e">
        <f ca="1">SUMIF(INDIRECT("'"&amp;A7&amp;"'"&amp;"!A:A"),"总价",INDIRECT("'"&amp;A7&amp;"'"&amp;"!B:B"))</f>
        <v>#REF!</v>
      </c>
      <c r="C7" s="2363"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3"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3"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3"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3"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3"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3"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4"/>
  <sheetViews>
    <sheetView view="pageBreakPreview" topLeftCell="A37" zoomScale="85" zoomScaleNormal="70" zoomScaleSheetLayoutView="85" workbookViewId="0">
      <selection activeCell="F62" sqref="F62"/>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6" t="s">
        <v>2463</v>
      </c>
      <c r="C1" s="1406" t="s">
        <v>2351</v>
      </c>
      <c r="D1" s="1393" t="s">
        <v>1343</v>
      </c>
      <c r="E1" s="2545"/>
      <c r="F1" s="2067" t="s">
        <v>3204</v>
      </c>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f>IF(C2="——",ROUND(C49*D3/10000,0),ROUND(C49*D3/10000,0)-D2)</f>
        <v>2604</v>
      </c>
      <c r="C2" s="2069" t="s">
        <v>70</v>
      </c>
      <c r="D2" s="1275" t="e">
        <f ca="1">SUMIF(INDIRECT("'"&amp;F2&amp;"'"&amp;"!A:A"),"承租人权益价值",INDIRECT("'"&amp;F2&amp;"'"&amp;"!c:c"))</f>
        <v>#REF!</v>
      </c>
      <c r="E2" s="2070" t="s">
        <v>2149</v>
      </c>
      <c r="F2" s="2071"/>
      <c r="G2" s="1039"/>
      <c r="H2" s="1039"/>
      <c r="I2" s="1039"/>
      <c r="J2" s="1039"/>
      <c r="K2" s="1039"/>
      <c r="L2" s="2963"/>
      <c r="M2" s="2964"/>
      <c r="N2" s="2964"/>
      <c r="O2" s="2964"/>
      <c r="P2" s="2140"/>
      <c r="Q2" s="1043"/>
      <c r="R2" s="1043"/>
      <c r="S2" s="1043"/>
      <c r="T2" s="1043"/>
      <c r="U2" s="1043"/>
      <c r="V2" s="1043"/>
      <c r="W2" s="1043"/>
      <c r="X2" s="1043"/>
      <c r="Y2" s="1043"/>
      <c r="Z2" s="1043"/>
      <c r="AA2" s="1043"/>
      <c r="AB2" s="1043"/>
      <c r="AC2" s="2141"/>
    </row>
    <row r="3" spans="1:29" s="358" customFormat="1" ht="28.5" customHeight="1" thickBot="1">
      <c r="A3" s="209" t="s">
        <v>2150</v>
      </c>
      <c r="B3" s="566">
        <f>IF(C2="——",C49,ROUND(B2*10000/D3,0))</f>
        <v>58454</v>
      </c>
      <c r="C3" s="360" t="s">
        <v>2465</v>
      </c>
      <c r="D3" s="359">
        <f>IF(D1="",'数据-汇总表'!E3,SUMIF('数据-汇总表'!$C19:$C33,D1,'数据-汇总表'!$E19:$E33))</f>
        <v>445.5</v>
      </c>
      <c r="E3" s="2142"/>
      <c r="F3" s="1040"/>
      <c r="G3" s="1039"/>
      <c r="H3" s="1039"/>
      <c r="I3" s="1039"/>
      <c r="J3" s="1039"/>
      <c r="K3" s="1041"/>
      <c r="L3" s="2963"/>
      <c r="M3" s="2964"/>
      <c r="N3" s="2964"/>
      <c r="O3" s="2964"/>
      <c r="P3" s="2140"/>
      <c r="Q3" s="1043"/>
      <c r="R3" s="1043"/>
      <c r="S3" s="1043"/>
      <c r="T3" s="1043"/>
      <c r="U3" s="1043"/>
      <c r="V3" s="1043"/>
      <c r="W3" s="1043"/>
      <c r="X3" s="1043"/>
      <c r="Y3" s="1043"/>
      <c r="Z3" s="1043"/>
      <c r="AA3" s="1043"/>
      <c r="AB3" s="1043"/>
      <c r="AC3" s="2142"/>
    </row>
    <row r="4" spans="1:29" ht="15">
      <c r="A4" s="361" t="s">
        <v>2466</v>
      </c>
      <c r="B4" s="362"/>
      <c r="C4" s="3431" t="s">
        <v>2467</v>
      </c>
      <c r="D4" s="3432"/>
      <c r="E4" s="3433" t="s">
        <v>2468</v>
      </c>
      <c r="F4" s="3434"/>
      <c r="G4" s="3431" t="s">
        <v>2469</v>
      </c>
      <c r="H4" s="3432"/>
      <c r="I4" s="3431" t="s">
        <v>2470</v>
      </c>
      <c r="J4" s="3432"/>
      <c r="K4" s="567" t="s">
        <v>2471</v>
      </c>
      <c r="L4" s="2944"/>
      <c r="M4" s="2945"/>
      <c r="N4" s="2945"/>
      <c r="O4" s="2945"/>
      <c r="P4" s="3548" t="s">
        <v>2472</v>
      </c>
      <c r="Q4" s="3549"/>
      <c r="R4" s="3552" t="s">
        <v>2468</v>
      </c>
      <c r="S4" s="3553"/>
      <c r="T4" s="3552" t="s">
        <v>2469</v>
      </c>
      <c r="U4" s="3553"/>
      <c r="V4" s="3448" t="s">
        <v>2470</v>
      </c>
      <c r="W4" s="3448"/>
      <c r="X4" s="1541"/>
      <c r="Y4" s="3552" t="s">
        <v>2472</v>
      </c>
      <c r="Z4" s="3553"/>
      <c r="AA4" s="3547" t="s">
        <v>2468</v>
      </c>
      <c r="AB4" s="3448" t="s">
        <v>2469</v>
      </c>
      <c r="AC4" s="3547" t="s">
        <v>2470</v>
      </c>
    </row>
    <row r="5" spans="1:29" ht="15">
      <c r="A5" s="364"/>
      <c r="B5" s="365"/>
      <c r="C5" s="3455" t="str">
        <f>'租金比较法-商业'!C5:D5</f>
        <v>恒毅大厦</v>
      </c>
      <c r="D5" s="3456"/>
      <c r="E5" s="3449" t="str">
        <f>商业案例!B2</f>
        <v>芍药居北里</v>
      </c>
      <c r="F5" s="3450"/>
      <c r="G5" s="3449" t="str">
        <f>商业案例!B3</f>
        <v>保利香槟花园</v>
      </c>
      <c r="H5" s="3450"/>
      <c r="I5" s="3449" t="str">
        <f>商业案例!B3</f>
        <v>保利香槟花园</v>
      </c>
      <c r="J5" s="3450"/>
      <c r="K5" s="567"/>
      <c r="L5" s="2944"/>
      <c r="M5" s="2945"/>
      <c r="N5" s="2945"/>
      <c r="O5" s="2945"/>
      <c r="P5" s="3550"/>
      <c r="Q5" s="3438"/>
      <c r="R5" s="3443"/>
      <c r="S5" s="3444"/>
      <c r="T5" s="3443"/>
      <c r="U5" s="3444"/>
      <c r="V5" s="3448"/>
      <c r="W5" s="3448"/>
      <c r="X5" s="1541"/>
      <c r="Y5" s="3443"/>
      <c r="Z5" s="3444"/>
      <c r="AA5" s="3460"/>
      <c r="AB5" s="3448"/>
      <c r="AC5" s="3460"/>
    </row>
    <row r="6" spans="1:29" ht="24.75" customHeight="1" thickBot="1">
      <c r="A6" s="366"/>
      <c r="B6" s="367"/>
      <c r="C6" s="3457" t="s">
        <v>3368</v>
      </c>
      <c r="D6" s="3458"/>
      <c r="E6" s="3554" t="str">
        <f>商业案例!C2</f>
        <v>北京市朝阳区北四环东路和育慧南路交叉口东侧</v>
      </c>
      <c r="F6" s="3555"/>
      <c r="G6" s="3597" t="str">
        <f>商业案例!C3</f>
        <v>北京市朝阳区小营路6号</v>
      </c>
      <c r="H6" s="3598"/>
      <c r="I6" s="3554" t="str">
        <f>商业案例!C4</f>
        <v>北京市朝阳区北沙滩桥东南角大屯路南沙滩66号</v>
      </c>
      <c r="J6" s="3555"/>
      <c r="K6" s="567" t="s">
        <v>2368</v>
      </c>
      <c r="L6" s="2944"/>
      <c r="M6" s="2945"/>
      <c r="N6" s="2945"/>
      <c r="O6" s="2945"/>
      <c r="P6" s="3551"/>
      <c r="Q6" s="3440"/>
      <c r="R6" s="3443"/>
      <c r="S6" s="3444"/>
      <c r="T6" s="3445"/>
      <c r="U6" s="3446"/>
      <c r="V6" s="3448"/>
      <c r="W6" s="3448"/>
      <c r="X6" s="1541"/>
      <c r="Y6" s="3445"/>
      <c r="Z6" s="3446"/>
      <c r="AA6" s="3461"/>
      <c r="AB6" s="3448"/>
      <c r="AC6" s="3461"/>
    </row>
    <row r="7" spans="1:29" s="113" customFormat="1" ht="15.75" thickBot="1">
      <c r="A7" s="368" t="s">
        <v>2369</v>
      </c>
      <c r="B7" s="369"/>
      <c r="C7" s="370">
        <f>'数据-取费表'!B2</f>
        <v>44959</v>
      </c>
      <c r="D7" s="371">
        <v>100</v>
      </c>
      <c r="E7" s="372">
        <f>C7</f>
        <v>44959</v>
      </c>
      <c r="F7" s="373">
        <f>SUMIF(58:58,YEAR(E7)&amp;"-"&amp;MONTH(E7),59:59)</f>
        <v>100</v>
      </c>
      <c r="G7" s="372">
        <f>C7</f>
        <v>44959</v>
      </c>
      <c r="H7" s="371">
        <f>SUMIF(58:58,YEAR(G7)&amp;"-"&amp;MONTH(G7),59:59)</f>
        <v>100</v>
      </c>
      <c r="I7" s="372">
        <f>C7</f>
        <v>44959</v>
      </c>
      <c r="J7" s="371">
        <f>SUMIF(58:58,YEAR(I7)&amp;"-"&amp;MONTH(I7),59:59)</f>
        <v>100</v>
      </c>
      <c r="K7" s="568"/>
      <c r="L7" s="2946"/>
      <c r="M7" s="2947"/>
      <c r="N7" s="2947"/>
      <c r="O7" s="2947"/>
      <c r="P7" s="3453" t="s">
        <v>2370</v>
      </c>
      <c r="Q7" s="3454"/>
      <c r="R7" s="710" t="s">
        <v>17</v>
      </c>
      <c r="S7" s="711">
        <f t="shared" ref="S7:S15" si="0">F7</f>
        <v>100</v>
      </c>
      <c r="T7" s="710" t="s">
        <v>17</v>
      </c>
      <c r="U7" s="711">
        <f t="shared" ref="U7:U15" si="1">H7</f>
        <v>100</v>
      </c>
      <c r="V7" s="710" t="s">
        <v>17</v>
      </c>
      <c r="W7" s="711">
        <f t="shared" ref="W7:W15" si="2">J7</f>
        <v>100</v>
      </c>
      <c r="X7" s="712"/>
      <c r="Y7" s="3453" t="s">
        <v>2370</v>
      </c>
      <c r="Z7" s="3452"/>
      <c r="AA7" s="713">
        <f>D7/F7</f>
        <v>1</v>
      </c>
      <c r="AB7" s="713">
        <f>D7/H7</f>
        <v>1</v>
      </c>
      <c r="AC7" s="713">
        <f>D7/J7</f>
        <v>1</v>
      </c>
    </row>
    <row r="8" spans="1:29" s="113" customFormat="1" ht="15.75" thickBot="1">
      <c r="A8" s="368" t="s">
        <v>2371</v>
      </c>
      <c r="B8" s="369"/>
      <c r="C8" s="374" t="s">
        <v>2473</v>
      </c>
      <c r="D8" s="371">
        <v>100</v>
      </c>
      <c r="E8" s="374" t="s">
        <v>3314</v>
      </c>
      <c r="F8" s="373">
        <f>SUMIF(61:61,E8,62:62)-SUMIF(61:61,C8,62:62)+100</f>
        <v>100</v>
      </c>
      <c r="G8" s="374" t="s">
        <v>3314</v>
      </c>
      <c r="H8" s="371">
        <f>SUMIF(61:61,G8,62:62)-SUMIF(61:61,C8,62:62)+100</f>
        <v>100</v>
      </c>
      <c r="I8" s="374" t="s">
        <v>3314</v>
      </c>
      <c r="J8" s="371">
        <f>SUMIF(61:61,I8,62:62)-SUMIF(61:61,C8,62:62)+100</f>
        <v>100</v>
      </c>
      <c r="K8" s="568"/>
      <c r="L8" s="2946"/>
      <c r="M8" s="2947"/>
      <c r="N8" s="2947"/>
      <c r="O8" s="2947"/>
      <c r="P8" s="3453" t="s">
        <v>2373</v>
      </c>
      <c r="Q8" s="3452"/>
      <c r="R8" s="710" t="s">
        <v>17</v>
      </c>
      <c r="S8" s="711">
        <f t="shared" si="0"/>
        <v>100</v>
      </c>
      <c r="T8" s="710" t="s">
        <v>17</v>
      </c>
      <c r="U8" s="711">
        <f t="shared" si="1"/>
        <v>100</v>
      </c>
      <c r="V8" s="710" t="s">
        <v>17</v>
      </c>
      <c r="W8" s="711">
        <f t="shared" si="2"/>
        <v>100</v>
      </c>
      <c r="X8" s="712"/>
      <c r="Y8" s="3453" t="s">
        <v>2373</v>
      </c>
      <c r="Z8" s="3452"/>
      <c r="AA8" s="713">
        <f t="shared" ref="AA8:AA46" si="3">D8/F8</f>
        <v>1</v>
      </c>
      <c r="AB8" s="713">
        <f t="shared" ref="AB8:AB46" si="4">D8/H8</f>
        <v>1</v>
      </c>
      <c r="AC8" s="713">
        <f t="shared" ref="AC8:AC46" si="5">D8/J8</f>
        <v>1</v>
      </c>
    </row>
    <row r="9" spans="1:29" s="113" customFormat="1" ht="15" thickBot="1">
      <c r="A9" s="375" t="s">
        <v>2374</v>
      </c>
      <c r="B9" s="67" t="s">
        <v>2375</v>
      </c>
      <c r="C9" s="3123" t="s">
        <v>3309</v>
      </c>
      <c r="D9" s="131">
        <v>100</v>
      </c>
      <c r="E9" s="3213" t="s">
        <v>3310</v>
      </c>
      <c r="F9" s="378">
        <f>SUMIF(63:63,E9,64:64)-SUMIF(63:63,C9,64:64)+100</f>
        <v>100</v>
      </c>
      <c r="G9" s="3213" t="s">
        <v>3310</v>
      </c>
      <c r="H9" s="131">
        <f>SUMIF(63:63,G9,64:64)-SUMIF(63:63,C9,64:64)+100</f>
        <v>100</v>
      </c>
      <c r="I9" s="3213" t="s">
        <v>3310</v>
      </c>
      <c r="J9" s="131">
        <f>SUMIF(63:63,I9,64:64)-SUMIF(63:63,C9,64:64)+100</f>
        <v>100</v>
      </c>
      <c r="K9" s="568"/>
      <c r="L9" s="2946"/>
      <c r="M9" s="2947"/>
      <c r="N9" s="2947"/>
      <c r="O9" s="2947"/>
      <c r="P9" s="3412"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hidden="1">
      <c r="A10" s="380"/>
      <c r="B10" s="381" t="s">
        <v>2378</v>
      </c>
      <c r="C10" s="382" t="s">
        <v>3290</v>
      </c>
      <c r="D10" s="132">
        <v>100</v>
      </c>
      <c r="E10" s="383" t="s">
        <v>3290</v>
      </c>
      <c r="F10" s="384">
        <f>SUMIF(65:65,E10,66:66)-SUMIF(65:65,C10,66:66)+100</f>
        <v>100</v>
      </c>
      <c r="G10" s="383" t="s">
        <v>3290</v>
      </c>
      <c r="H10" s="132">
        <f>SUMIF(65:65,G10,66:66)-SUMIF(65:65,C10,66:66)+100</f>
        <v>100</v>
      </c>
      <c r="I10" s="383" t="s">
        <v>3290</v>
      </c>
      <c r="J10" s="132">
        <f>SUMIF(65:65,I10,66:66)-SUMIF(65:65,C10,66:66)+100</f>
        <v>100</v>
      </c>
      <c r="K10" s="569">
        <v>2</v>
      </c>
      <c r="L10" s="2948"/>
      <c r="M10" s="2949"/>
      <c r="N10" s="2949"/>
      <c r="O10" s="2949"/>
      <c r="P10" s="3412"/>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hidden="1">
      <c r="A11" s="387"/>
      <c r="B11" s="381" t="s">
        <v>2379</v>
      </c>
      <c r="C11" s="388">
        <v>2.5</v>
      </c>
      <c r="D11" s="132">
        <v>100</v>
      </c>
      <c r="E11" s="389">
        <v>2.5</v>
      </c>
      <c r="F11" s="384">
        <f>LOOKUP(E11,68:68,69:69)-LOOKUP(C11,68:68,69:69)+100</f>
        <v>100</v>
      </c>
      <c r="G11" s="388">
        <v>2.5</v>
      </c>
      <c r="H11" s="132">
        <f>LOOKUP(G11,68:68,69:69)-LOOKUP(C11,68:68,69:69)+100</f>
        <v>100</v>
      </c>
      <c r="I11" s="388">
        <v>2.5</v>
      </c>
      <c r="J11" s="132">
        <f>LOOKUP(I11,68:68,69:69)-LOOKUP(C11,68:68,69:69)+100</f>
        <v>100</v>
      </c>
      <c r="K11" s="569"/>
      <c r="L11" s="2950"/>
      <c r="M11" s="2945"/>
      <c r="N11" s="2945"/>
      <c r="O11" s="2945"/>
      <c r="P11" s="3412"/>
      <c r="Q11" s="1529" t="str">
        <f t="shared" si="6"/>
        <v>容积率</v>
      </c>
      <c r="R11" s="710" t="s">
        <v>17</v>
      </c>
      <c r="S11" s="711">
        <f t="shared" si="0"/>
        <v>100</v>
      </c>
      <c r="T11" s="710" t="s">
        <v>17</v>
      </c>
      <c r="U11" s="711">
        <f t="shared" si="1"/>
        <v>100</v>
      </c>
      <c r="V11" s="710" t="s">
        <v>17</v>
      </c>
      <c r="W11" s="711">
        <f t="shared" si="2"/>
        <v>100</v>
      </c>
      <c r="X11" s="712"/>
      <c r="Y11" s="3313"/>
      <c r="Z11" s="55" t="str">
        <f t="shared" si="7"/>
        <v>容积率</v>
      </c>
      <c r="AA11" s="713">
        <f t="shared" si="3"/>
        <v>1</v>
      </c>
      <c r="AB11" s="713">
        <f t="shared" si="4"/>
        <v>1</v>
      </c>
      <c r="AC11" s="713">
        <f t="shared" si="5"/>
        <v>1</v>
      </c>
    </row>
    <row r="12" spans="1:29" s="113" customFormat="1" ht="15" hidden="1">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12"/>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hidden="1">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12"/>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hidden="1"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12"/>
      <c r="Q14" s="1529">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71.25">
      <c r="A15" s="399" t="s">
        <v>2380</v>
      </c>
      <c r="B15" s="65" t="s">
        <v>2474</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2</v>
      </c>
      <c r="L15" s="2951"/>
      <c r="M15" s="2945"/>
      <c r="N15" s="2945"/>
      <c r="O15" s="2945"/>
      <c r="P15" s="3418" t="s">
        <v>2381</v>
      </c>
      <c r="Q15" s="1538" t="str">
        <f t="shared" si="6"/>
        <v>商业繁华度</v>
      </c>
      <c r="R15" s="714" t="s">
        <v>17</v>
      </c>
      <c r="S15" s="715">
        <f t="shared" si="0"/>
        <v>100</v>
      </c>
      <c r="T15" s="714" t="s">
        <v>17</v>
      </c>
      <c r="U15" s="715">
        <f t="shared" si="1"/>
        <v>100</v>
      </c>
      <c r="V15" s="714" t="s">
        <v>17</v>
      </c>
      <c r="W15" s="715">
        <f t="shared" si="2"/>
        <v>100</v>
      </c>
      <c r="X15" s="1541"/>
      <c r="Y15" s="3420" t="s">
        <v>2381</v>
      </c>
      <c r="Z15" s="1542" t="str">
        <f t="shared" si="7"/>
        <v>商业繁华度</v>
      </c>
      <c r="AA15" s="1539">
        <f t="shared" si="3"/>
        <v>1</v>
      </c>
      <c r="AB15" s="1539">
        <f t="shared" si="4"/>
        <v>1</v>
      </c>
      <c r="AC15" s="1539">
        <f t="shared" si="5"/>
        <v>1</v>
      </c>
    </row>
    <row r="16" spans="1:29" ht="15">
      <c r="A16" s="387"/>
      <c r="B16" s="405"/>
      <c r="C16" s="406" t="s">
        <v>3209</v>
      </c>
      <c r="D16" s="407"/>
      <c r="E16" s="406" t="s">
        <v>3209</v>
      </c>
      <c r="F16" s="408"/>
      <c r="G16" s="406" t="s">
        <v>3209</v>
      </c>
      <c r="H16" s="409"/>
      <c r="I16" s="406" t="s">
        <v>3209</v>
      </c>
      <c r="J16" s="407"/>
      <c r="K16" s="572"/>
      <c r="L16" s="2951"/>
      <c r="M16" s="2945"/>
      <c r="N16" s="2945"/>
      <c r="O16" s="2945"/>
      <c r="P16" s="3419"/>
      <c r="Q16" s="1538"/>
      <c r="R16" s="714"/>
      <c r="S16" s="715"/>
      <c r="T16" s="714"/>
      <c r="U16" s="715"/>
      <c r="V16" s="714"/>
      <c r="W16" s="715"/>
      <c r="X16" s="1541"/>
      <c r="Y16" s="3421"/>
      <c r="Z16" s="1542"/>
      <c r="AA16" s="1539">
        <v>1</v>
      </c>
      <c r="AB16" s="1539">
        <v>1</v>
      </c>
      <c r="AC16" s="1539">
        <v>1</v>
      </c>
    </row>
    <row r="17" spans="1:29" ht="85.5">
      <c r="A17" s="387"/>
      <c r="B17" s="410" t="s">
        <v>1945</v>
      </c>
      <c r="C17" s="2088" t="str">
        <f>估价对象房地状况!C6</f>
        <v>好-估价对象临近城市主干道—安定路，临近地铁10号线（安贞门站）有18路、108路、124路、380路、387路等10余条公交线路</v>
      </c>
      <c r="D17" s="409">
        <v>100</v>
      </c>
      <c r="E17" s="411"/>
      <c r="F17" s="412">
        <f>SUMIF(78:78,E18,79:79)-SUMIF(78:78,C18,79:79)+100</f>
        <v>100</v>
      </c>
      <c r="G17" s="413"/>
      <c r="H17" s="414">
        <f>SUMIF(78:78,G18,79:79)-SUMIF(78:78,C18,79:79)+100</f>
        <v>100</v>
      </c>
      <c r="I17" s="411"/>
      <c r="J17" s="414">
        <f>SUMIF(78:78,I18,79:79)-SUMIF(78:78,C18,79:79)+100</f>
        <v>100</v>
      </c>
      <c r="K17" s="571">
        <v>2</v>
      </c>
      <c r="L17" s="2951"/>
      <c r="M17" s="2945"/>
      <c r="N17" s="2945"/>
      <c r="O17" s="2945"/>
      <c r="P17" s="3419"/>
      <c r="Q17" s="1538" t="str">
        <f>B17</f>
        <v>交通便捷度</v>
      </c>
      <c r="R17" s="714" t="s">
        <v>17</v>
      </c>
      <c r="S17" s="715">
        <f>F17</f>
        <v>100</v>
      </c>
      <c r="T17" s="714" t="s">
        <v>17</v>
      </c>
      <c r="U17" s="715">
        <f>H17</f>
        <v>100</v>
      </c>
      <c r="V17" s="714" t="s">
        <v>17</v>
      </c>
      <c r="W17" s="715">
        <f>J17</f>
        <v>100</v>
      </c>
      <c r="X17" s="1541"/>
      <c r="Y17" s="3421"/>
      <c r="Z17" s="1542" t="str">
        <f>Q17</f>
        <v>交通便捷度</v>
      </c>
      <c r="AA17" s="1539">
        <f t="shared" si="3"/>
        <v>1</v>
      </c>
      <c r="AB17" s="1539">
        <f t="shared" si="4"/>
        <v>1</v>
      </c>
      <c r="AC17" s="1539">
        <f t="shared" si="5"/>
        <v>1</v>
      </c>
    </row>
    <row r="18" spans="1:29" ht="15">
      <c r="A18" s="387"/>
      <c r="B18" s="415"/>
      <c r="C18" s="2089" t="s">
        <v>3208</v>
      </c>
      <c r="D18" s="409"/>
      <c r="E18" s="2089" t="s">
        <v>3208</v>
      </c>
      <c r="F18" s="412"/>
      <c r="G18" s="2089" t="s">
        <v>3208</v>
      </c>
      <c r="H18" s="407"/>
      <c r="I18" s="2089" t="s">
        <v>3208</v>
      </c>
      <c r="J18" s="407"/>
      <c r="K18" s="572"/>
      <c r="L18" s="2951"/>
      <c r="M18" s="2945"/>
      <c r="N18" s="2945"/>
      <c r="O18" s="2945"/>
      <c r="P18" s="3419"/>
      <c r="Q18" s="1538"/>
      <c r="R18" s="714"/>
      <c r="S18" s="715"/>
      <c r="T18" s="714"/>
      <c r="U18" s="715"/>
      <c r="V18" s="714"/>
      <c r="W18" s="715"/>
      <c r="X18" s="1541"/>
      <c r="Y18" s="3421"/>
      <c r="Z18" s="1542"/>
      <c r="AA18" s="1539">
        <v>1</v>
      </c>
      <c r="AB18" s="1539">
        <v>1</v>
      </c>
      <c r="AC18" s="1539">
        <v>1</v>
      </c>
    </row>
    <row r="19" spans="1:29" ht="42.75">
      <c r="A19" s="387"/>
      <c r="B19" s="410" t="s">
        <v>2475</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1"/>
      <c r="M19" s="2945"/>
      <c r="N19" s="2945"/>
      <c r="O19" s="2945"/>
      <c r="P19" s="3419"/>
      <c r="Q19" s="1538" t="str">
        <f>B19</f>
        <v>公共配套设施</v>
      </c>
      <c r="R19" s="714" t="s">
        <v>17</v>
      </c>
      <c r="S19" s="715">
        <f>F19</f>
        <v>100</v>
      </c>
      <c r="T19" s="714" t="s">
        <v>17</v>
      </c>
      <c r="U19" s="715">
        <f>H19</f>
        <v>100</v>
      </c>
      <c r="V19" s="714" t="s">
        <v>17</v>
      </c>
      <c r="W19" s="715">
        <f>J19</f>
        <v>100</v>
      </c>
      <c r="X19" s="1541"/>
      <c r="Y19" s="3421"/>
      <c r="Z19" s="1542" t="str">
        <f>Q19</f>
        <v>公共配套设施</v>
      </c>
      <c r="AA19" s="1539">
        <f t="shared" si="3"/>
        <v>1</v>
      </c>
      <c r="AB19" s="1539">
        <f t="shared" si="4"/>
        <v>1</v>
      </c>
      <c r="AC19" s="1539">
        <f t="shared" si="5"/>
        <v>1</v>
      </c>
    </row>
    <row r="20" spans="1:29" ht="15">
      <c r="A20" s="387"/>
      <c r="B20" s="415"/>
      <c r="C20" s="2089" t="s">
        <v>3209</v>
      </c>
      <c r="D20" s="407"/>
      <c r="E20" s="2089" t="s">
        <v>3209</v>
      </c>
      <c r="F20" s="408"/>
      <c r="G20" s="2089" t="s">
        <v>3209</v>
      </c>
      <c r="H20" s="407"/>
      <c r="I20" s="2089" t="s">
        <v>3209</v>
      </c>
      <c r="J20" s="407"/>
      <c r="K20" s="572"/>
      <c r="L20" s="2951"/>
      <c r="M20" s="2945"/>
      <c r="N20" s="2945"/>
      <c r="O20" s="2945"/>
      <c r="P20" s="3419"/>
      <c r="Q20" s="1538"/>
      <c r="R20" s="714"/>
      <c r="S20" s="715"/>
      <c r="T20" s="714"/>
      <c r="U20" s="715"/>
      <c r="V20" s="714"/>
      <c r="W20" s="715"/>
      <c r="X20" s="1541"/>
      <c r="Y20" s="3421"/>
      <c r="Z20" s="1542"/>
      <c r="AA20" s="1539">
        <v>1</v>
      </c>
      <c r="AB20" s="1539">
        <v>1</v>
      </c>
      <c r="AC20" s="1539">
        <v>1</v>
      </c>
    </row>
    <row r="21" spans="1:29" ht="28.5">
      <c r="A21" s="387"/>
      <c r="B21" s="1293" t="s">
        <v>2476</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1"/>
      <c r="M21" s="2945"/>
      <c r="N21" s="2945"/>
      <c r="O21" s="2945"/>
      <c r="P21" s="3419"/>
      <c r="Q21" s="1538" t="str">
        <f>B21</f>
        <v>基础设施水平</v>
      </c>
      <c r="R21" s="714" t="s">
        <v>17</v>
      </c>
      <c r="S21" s="715">
        <f>F21</f>
        <v>100</v>
      </c>
      <c r="T21" s="714" t="s">
        <v>17</v>
      </c>
      <c r="U21" s="715">
        <f>H21</f>
        <v>100</v>
      </c>
      <c r="V21" s="714" t="s">
        <v>17</v>
      </c>
      <c r="W21" s="715">
        <f>J21</f>
        <v>100</v>
      </c>
      <c r="X21" s="1541"/>
      <c r="Y21" s="3421"/>
      <c r="Z21" s="1542" t="str">
        <f>Q21</f>
        <v>基础设施水平</v>
      </c>
      <c r="AA21" s="1539">
        <f t="shared" ref="AA21" si="8">D21/F21</f>
        <v>1</v>
      </c>
      <c r="AB21" s="1539">
        <f t="shared" ref="AB21" si="9">D21/H21</f>
        <v>1</v>
      </c>
      <c r="AC21" s="1539">
        <f t="shared" ref="AC21" si="10">D21/J21</f>
        <v>1</v>
      </c>
    </row>
    <row r="22" spans="1:29" ht="15">
      <c r="A22" s="387"/>
      <c r="B22" s="1293"/>
      <c r="C22" s="2089" t="s">
        <v>3324</v>
      </c>
      <c r="D22" s="407"/>
      <c r="E22" s="2089" t="s">
        <v>3324</v>
      </c>
      <c r="F22" s="408"/>
      <c r="G22" s="2089" t="s">
        <v>3324</v>
      </c>
      <c r="H22" s="407"/>
      <c r="I22" s="2089" t="s">
        <v>3324</v>
      </c>
      <c r="J22" s="407"/>
      <c r="K22" s="1292"/>
      <c r="L22" s="2951"/>
      <c r="M22" s="2945"/>
      <c r="N22" s="2945"/>
      <c r="O22" s="2945"/>
      <c r="P22" s="3419"/>
      <c r="Q22" s="1538"/>
      <c r="R22" s="714"/>
      <c r="S22" s="715"/>
      <c r="T22" s="714"/>
      <c r="U22" s="715"/>
      <c r="V22" s="714"/>
      <c r="W22" s="715"/>
      <c r="X22" s="1541"/>
      <c r="Y22" s="3421"/>
      <c r="Z22" s="1542"/>
      <c r="AA22" s="1539">
        <v>1</v>
      </c>
      <c r="AB22" s="1539">
        <v>1</v>
      </c>
      <c r="AC22" s="1539">
        <v>1</v>
      </c>
    </row>
    <row r="23" spans="1:29" ht="57">
      <c r="A23" s="387"/>
      <c r="B23" s="410" t="s">
        <v>1947</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1"/>
      <c r="M23" s="2945"/>
      <c r="N23" s="2945"/>
      <c r="O23" s="2945"/>
      <c r="P23" s="3419"/>
      <c r="Q23" s="1538" t="str">
        <f>B23</f>
        <v>自然及人文环境</v>
      </c>
      <c r="R23" s="714" t="s">
        <v>17</v>
      </c>
      <c r="S23" s="715">
        <f>F23</f>
        <v>100</v>
      </c>
      <c r="T23" s="714" t="s">
        <v>17</v>
      </c>
      <c r="U23" s="715">
        <f>H23</f>
        <v>100</v>
      </c>
      <c r="V23" s="714" t="s">
        <v>17</v>
      </c>
      <c r="W23" s="715">
        <f>J23</f>
        <v>100</v>
      </c>
      <c r="X23" s="1541"/>
      <c r="Y23" s="3421"/>
      <c r="Z23" s="1542" t="str">
        <f>Q23</f>
        <v>自然及人文环境</v>
      </c>
      <c r="AA23" s="1539">
        <f t="shared" si="3"/>
        <v>1</v>
      </c>
      <c r="AB23" s="1539">
        <f t="shared" si="4"/>
        <v>1</v>
      </c>
      <c r="AC23" s="1539">
        <f t="shared" si="5"/>
        <v>1</v>
      </c>
    </row>
    <row r="24" spans="1:29" ht="15">
      <c r="A24" s="387"/>
      <c r="B24" s="415"/>
      <c r="C24" s="406" t="s">
        <v>3208</v>
      </c>
      <c r="D24" s="407"/>
      <c r="E24" s="406" t="s">
        <v>3208</v>
      </c>
      <c r="F24" s="408"/>
      <c r="G24" s="406" t="s">
        <v>3208</v>
      </c>
      <c r="H24" s="407"/>
      <c r="I24" s="406" t="s">
        <v>3208</v>
      </c>
      <c r="J24" s="407"/>
      <c r="K24" s="572"/>
      <c r="L24" s="2951"/>
      <c r="M24" s="2945"/>
      <c r="N24" s="2945"/>
      <c r="O24" s="2945"/>
      <c r="P24" s="3419"/>
      <c r="Q24" s="1538"/>
      <c r="R24" s="714"/>
      <c r="S24" s="715"/>
      <c r="T24" s="714"/>
      <c r="U24" s="715"/>
      <c r="V24" s="714"/>
      <c r="W24" s="715"/>
      <c r="X24" s="1541"/>
      <c r="Y24" s="3421"/>
      <c r="Z24" s="1542"/>
      <c r="AA24" s="1539">
        <v>1</v>
      </c>
      <c r="AB24" s="1539">
        <v>1</v>
      </c>
      <c r="AC24" s="1539">
        <v>1</v>
      </c>
    </row>
    <row r="25" spans="1:29" ht="15">
      <c r="A25" s="387"/>
      <c r="B25" s="381" t="s">
        <v>2477</v>
      </c>
      <c r="C25" s="573" t="s">
        <v>3257</v>
      </c>
      <c r="D25" s="394">
        <v>100</v>
      </c>
      <c r="E25" s="573" t="s">
        <v>3257</v>
      </c>
      <c r="F25" s="420">
        <f>SUMIF(86:86,E25,87:87)-SUMIF(86:86,C25,87:87)+100</f>
        <v>100</v>
      </c>
      <c r="G25" s="573" t="s">
        <v>3257</v>
      </c>
      <c r="H25" s="394">
        <f>SUMIF(86:86,G25,87:87)-SUMIF(86:86,C25,87:87)+100</f>
        <v>100</v>
      </c>
      <c r="I25" s="573" t="s">
        <v>3257</v>
      </c>
      <c r="J25" s="394">
        <f>SUMIF(86:86,I25,87:87)-SUMIF(86:86,C25,87:87)+100</f>
        <v>100</v>
      </c>
      <c r="K25" s="569">
        <v>2</v>
      </c>
      <c r="L25" s="2951"/>
      <c r="M25" s="2945"/>
      <c r="N25" s="2945"/>
      <c r="O25" s="2945"/>
      <c r="P25" s="3419"/>
      <c r="Q25" s="1538" t="str">
        <f t="shared" ref="Q25:Q46" si="11">B25</f>
        <v>临街状况</v>
      </c>
      <c r="R25" s="714" t="s">
        <v>17</v>
      </c>
      <c r="S25" s="715">
        <f>F25</f>
        <v>100</v>
      </c>
      <c r="T25" s="714" t="s">
        <v>17</v>
      </c>
      <c r="U25" s="715">
        <f>H25</f>
        <v>100</v>
      </c>
      <c r="V25" s="714" t="s">
        <v>17</v>
      </c>
      <c r="W25" s="715">
        <f>J25</f>
        <v>100</v>
      </c>
      <c r="X25" s="1541"/>
      <c r="Y25" s="3421"/>
      <c r="Z25" s="1542" t="str">
        <f>Q25</f>
        <v>临街状况</v>
      </c>
      <c r="AA25" s="1539">
        <f t="shared" si="3"/>
        <v>1</v>
      </c>
      <c r="AB25" s="1539">
        <f t="shared" si="4"/>
        <v>1</v>
      </c>
      <c r="AC25" s="1539">
        <f t="shared" si="5"/>
        <v>1</v>
      </c>
    </row>
    <row r="26" spans="1:29" ht="15">
      <c r="A26" s="387"/>
      <c r="B26" s="1295" t="s">
        <v>2478</v>
      </c>
      <c r="C26" s="393" t="s">
        <v>3298</v>
      </c>
      <c r="D26" s="394">
        <v>100</v>
      </c>
      <c r="E26" s="3214" t="s">
        <v>3311</v>
      </c>
      <c r="F26" s="420">
        <f>SUMIF(88:88,E26,89:89)-SUMIF(88:88,C26,89:89)+100</f>
        <v>100</v>
      </c>
      <c r="G26" s="3214" t="s">
        <v>3311</v>
      </c>
      <c r="H26" s="394">
        <f>SUMIF(88:88,G26,89:89)-SUMIF(88:88,C26,89:89)+100</f>
        <v>100</v>
      </c>
      <c r="I26" s="3214" t="s">
        <v>3311</v>
      </c>
      <c r="J26" s="394">
        <f>SUMIF(88:88,I26,89:89)-SUMIF(88:88,C26,89:89)+100</f>
        <v>100</v>
      </c>
      <c r="K26" s="570"/>
      <c r="L26" s="2951"/>
      <c r="M26" s="2945"/>
      <c r="N26" s="2945"/>
      <c r="O26" s="2945"/>
      <c r="P26" s="3419"/>
      <c r="Q26" s="1538" t="str">
        <f t="shared" si="11"/>
        <v>平面位置/可视性</v>
      </c>
      <c r="R26" s="714" t="s">
        <v>17</v>
      </c>
      <c r="S26" s="715">
        <f>F26</f>
        <v>100</v>
      </c>
      <c r="T26" s="714" t="s">
        <v>17</v>
      </c>
      <c r="U26" s="715">
        <f>H26</f>
        <v>100</v>
      </c>
      <c r="V26" s="714" t="s">
        <v>17</v>
      </c>
      <c r="W26" s="715">
        <f>J26</f>
        <v>100</v>
      </c>
      <c r="X26" s="1541"/>
      <c r="Y26" s="3421"/>
      <c r="Z26" s="1542" t="str">
        <f>Q26</f>
        <v>平面位置/可视性</v>
      </c>
      <c r="AA26" s="1539">
        <f t="shared" si="3"/>
        <v>1</v>
      </c>
      <c r="AB26" s="1539">
        <f t="shared" si="4"/>
        <v>1</v>
      </c>
      <c r="AC26" s="1539">
        <f t="shared" si="5"/>
        <v>1</v>
      </c>
    </row>
    <row r="27" spans="1:29" s="113" customFormat="1" ht="15">
      <c r="A27" s="390"/>
      <c r="B27" s="410" t="s">
        <v>2479</v>
      </c>
      <c r="C27" s="2144" t="s">
        <v>3318</v>
      </c>
      <c r="D27" s="421">
        <v>100</v>
      </c>
      <c r="E27" s="2144" t="s">
        <v>3318</v>
      </c>
      <c r="F27" s="423">
        <f>SUMIF(90:90,E27,91:91)-SUMIF(90:90,C27,91:91)+100</f>
        <v>100</v>
      </c>
      <c r="G27" s="2144" t="s">
        <v>3318</v>
      </c>
      <c r="H27" s="421">
        <f>SUMIF(90:90,G27,91:91)-SUMIF(90:90,C27,91:91)+100</f>
        <v>100</v>
      </c>
      <c r="I27" s="2144" t="s">
        <v>3318</v>
      </c>
      <c r="J27" s="421">
        <f>SUMIF(90:90,I27,91:91)-SUMIF(90:90,C27,91:91)+100</f>
        <v>100</v>
      </c>
      <c r="K27" s="569"/>
      <c r="L27" s="2946"/>
      <c r="M27" s="2947"/>
      <c r="N27" s="2947"/>
      <c r="O27" s="2947"/>
      <c r="P27" s="3419"/>
      <c r="Q27" s="1529" t="str">
        <f t="shared" si="11"/>
        <v>人流量</v>
      </c>
      <c r="R27" s="710" t="s">
        <v>17</v>
      </c>
      <c r="S27" s="711">
        <f>F27</f>
        <v>100</v>
      </c>
      <c r="T27" s="710" t="s">
        <v>17</v>
      </c>
      <c r="U27" s="711">
        <f>H27</f>
        <v>100</v>
      </c>
      <c r="V27" s="710" t="s">
        <v>17</v>
      </c>
      <c r="W27" s="711">
        <f>J27</f>
        <v>100</v>
      </c>
      <c r="X27" s="712"/>
      <c r="Y27" s="3421"/>
      <c r="Z27" s="55" t="str">
        <f>Q27</f>
        <v>人流量</v>
      </c>
      <c r="AA27" s="1539">
        <f>D27/F27</f>
        <v>1</v>
      </c>
      <c r="AB27" s="1539">
        <f>D27/H27</f>
        <v>1</v>
      </c>
      <c r="AC27" s="1539">
        <f>D27/J27</f>
        <v>1</v>
      </c>
    </row>
    <row r="28" spans="1:29" ht="15.75" thickBot="1">
      <c r="A28" s="387"/>
      <c r="B28" s="381" t="s">
        <v>2480</v>
      </c>
      <c r="C28" s="573" t="s">
        <v>3312</v>
      </c>
      <c r="D28" s="394">
        <v>100</v>
      </c>
      <c r="E28" s="573" t="s">
        <v>3312</v>
      </c>
      <c r="F28" s="420">
        <f>SUMIF(92:92,E28,93:93)-SUMIF(92:92,C28,93:93)+100</f>
        <v>100</v>
      </c>
      <c r="G28" s="573" t="s">
        <v>3312</v>
      </c>
      <c r="H28" s="394">
        <f>SUMIF(92:92,G28,93:93)-SUMIF(92:92,C28,93:93)+100</f>
        <v>100</v>
      </c>
      <c r="I28" s="573" t="s">
        <v>3312</v>
      </c>
      <c r="J28" s="394">
        <f>SUMIF(92:92,I28,93:93)-SUMIF(92:92,C28,93:93)+100</f>
        <v>100</v>
      </c>
      <c r="K28" s="570"/>
      <c r="L28" s="2951"/>
      <c r="M28" s="2945"/>
      <c r="N28" s="2945"/>
      <c r="O28" s="2945"/>
      <c r="P28" s="3419"/>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421"/>
      <c r="Z28" s="1542" t="str">
        <f t="shared" ref="Z28:Z46" si="15">Q28</f>
        <v>楼层</v>
      </c>
      <c r="AA28" s="1539">
        <f t="shared" si="3"/>
        <v>1</v>
      </c>
      <c r="AB28" s="1539">
        <f t="shared" si="4"/>
        <v>1</v>
      </c>
      <c r="AC28" s="1539">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19"/>
      <c r="Q29" s="1538">
        <f t="shared" si="11"/>
        <v>111</v>
      </c>
      <c r="R29" s="714" t="s">
        <v>17</v>
      </c>
      <c r="S29" s="715">
        <f t="shared" si="12"/>
        <v>100</v>
      </c>
      <c r="T29" s="714" t="s">
        <v>17</v>
      </c>
      <c r="U29" s="715">
        <f t="shared" si="13"/>
        <v>100</v>
      </c>
      <c r="V29" s="714" t="s">
        <v>17</v>
      </c>
      <c r="W29" s="715">
        <f t="shared" si="14"/>
        <v>100</v>
      </c>
      <c r="X29" s="1541"/>
      <c r="Y29" s="3421"/>
      <c r="Z29" s="1542">
        <f t="shared" si="15"/>
        <v>111</v>
      </c>
      <c r="AA29" s="1539">
        <f t="shared" si="3"/>
        <v>1</v>
      </c>
      <c r="AB29" s="1539">
        <f t="shared" si="4"/>
        <v>1</v>
      </c>
      <c r="AC29" s="1539">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19"/>
      <c r="Q30" s="1538">
        <f t="shared" si="11"/>
        <v>111</v>
      </c>
      <c r="R30" s="714" t="s">
        <v>17</v>
      </c>
      <c r="S30" s="715">
        <f t="shared" si="12"/>
        <v>100</v>
      </c>
      <c r="T30" s="714" t="s">
        <v>17</v>
      </c>
      <c r="U30" s="715">
        <f t="shared" si="13"/>
        <v>100</v>
      </c>
      <c r="V30" s="714" t="s">
        <v>17</v>
      </c>
      <c r="W30" s="715">
        <f t="shared" si="14"/>
        <v>100</v>
      </c>
      <c r="X30" s="1541"/>
      <c r="Y30" s="3421"/>
      <c r="Z30" s="1542">
        <f t="shared" si="15"/>
        <v>111</v>
      </c>
      <c r="AA30" s="1539">
        <f t="shared" si="3"/>
        <v>1</v>
      </c>
      <c r="AB30" s="1539">
        <f t="shared" si="4"/>
        <v>1</v>
      </c>
      <c r="AC30" s="1539">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19"/>
      <c r="Q31" s="1538">
        <f t="shared" si="11"/>
        <v>111</v>
      </c>
      <c r="R31" s="714" t="s">
        <v>17</v>
      </c>
      <c r="S31" s="715">
        <f t="shared" si="12"/>
        <v>100</v>
      </c>
      <c r="T31" s="714" t="s">
        <v>17</v>
      </c>
      <c r="U31" s="715">
        <f t="shared" si="13"/>
        <v>100</v>
      </c>
      <c r="V31" s="714" t="s">
        <v>17</v>
      </c>
      <c r="W31" s="715">
        <f t="shared" si="14"/>
        <v>100</v>
      </c>
      <c r="X31" s="1541"/>
      <c r="Y31" s="3421"/>
      <c r="Z31" s="1542">
        <f t="shared" si="15"/>
        <v>111</v>
      </c>
      <c r="AA31" s="1539">
        <f t="shared" si="3"/>
        <v>1</v>
      </c>
      <c r="AB31" s="1539">
        <f t="shared" si="4"/>
        <v>1</v>
      </c>
      <c r="AC31" s="1539">
        <f t="shared" si="5"/>
        <v>1</v>
      </c>
    </row>
    <row r="32" spans="1:29" ht="15">
      <c r="A32" s="399" t="s">
        <v>2384</v>
      </c>
      <c r="B32" s="67" t="s">
        <v>2481</v>
      </c>
      <c r="C32" s="2098" t="s">
        <v>3320</v>
      </c>
      <c r="D32" s="426">
        <v>100</v>
      </c>
      <c r="E32" s="2098" t="s">
        <v>3303</v>
      </c>
      <c r="F32" s="420">
        <f>SUMIF(100:100,E32,101:101)-SUMIF(100:100,C32,101:101)+100</f>
        <v>95</v>
      </c>
      <c r="G32" s="2098" t="s">
        <v>3303</v>
      </c>
      <c r="H32" s="394">
        <f>SUMIF(100:100,G32,101:101)-SUMIF(100:100,C32,101:101)+100</f>
        <v>95</v>
      </c>
      <c r="I32" s="2098" t="s">
        <v>3303</v>
      </c>
      <c r="J32" s="426">
        <f>SUMIF(100:100,I32,101:101)-SUMIF(100:100,C32,101:101)+100</f>
        <v>95</v>
      </c>
      <c r="K32" s="569">
        <v>5</v>
      </c>
      <c r="L32" s="2098"/>
      <c r="M32" s="2945"/>
      <c r="N32" s="2945"/>
      <c r="O32" s="2945"/>
      <c r="P32" s="3422" t="s">
        <v>2386</v>
      </c>
      <c r="Q32" s="1538" t="str">
        <f t="shared" si="11"/>
        <v>商业类型</v>
      </c>
      <c r="R32" s="714" t="s">
        <v>17</v>
      </c>
      <c r="S32" s="715">
        <f t="shared" si="12"/>
        <v>95</v>
      </c>
      <c r="T32" s="714" t="s">
        <v>17</v>
      </c>
      <c r="U32" s="715">
        <f t="shared" si="13"/>
        <v>95</v>
      </c>
      <c r="V32" s="714" t="s">
        <v>17</v>
      </c>
      <c r="W32" s="715">
        <f t="shared" si="14"/>
        <v>95</v>
      </c>
      <c r="X32" s="1541"/>
      <c r="Y32" s="3425" t="s">
        <v>2386</v>
      </c>
      <c r="Z32" s="1542" t="str">
        <f t="shared" si="15"/>
        <v>商业类型</v>
      </c>
      <c r="AA32" s="1539">
        <f t="shared" si="3"/>
        <v>1.0526315789473684</v>
      </c>
      <c r="AB32" s="1539">
        <f t="shared" si="4"/>
        <v>1.0526315789473684</v>
      </c>
      <c r="AC32" s="1539">
        <f t="shared" si="5"/>
        <v>1.0526315789473684</v>
      </c>
    </row>
    <row r="33" spans="1:29" s="430" customFormat="1" ht="15">
      <c r="A33" s="427"/>
      <c r="B33" s="381" t="s">
        <v>2387</v>
      </c>
      <c r="C33" s="428">
        <f>'租金比较法-商业'!C47</f>
        <v>445.5</v>
      </c>
      <c r="D33" s="132">
        <v>100</v>
      </c>
      <c r="E33" s="389">
        <f>商业案例!$D$2</f>
        <v>129.68</v>
      </c>
      <c r="F33" s="384">
        <v>96</v>
      </c>
      <c r="G33" s="388">
        <f>商业案例!$D$3</f>
        <v>118.99</v>
      </c>
      <c r="H33" s="132">
        <v>96</v>
      </c>
      <c r="I33" s="388">
        <f>商业案例!$D$4</f>
        <v>86</v>
      </c>
      <c r="J33" s="132">
        <v>96</v>
      </c>
      <c r="K33" s="570"/>
      <c r="L33" s="2950"/>
      <c r="M33" s="2952"/>
      <c r="N33" s="2952"/>
      <c r="O33" s="2952"/>
      <c r="P33" s="3423"/>
      <c r="Q33" s="716" t="str">
        <f t="shared" si="11"/>
        <v>项目建筑规模</v>
      </c>
      <c r="R33" s="717" t="s">
        <v>17</v>
      </c>
      <c r="S33" s="718">
        <f t="shared" si="12"/>
        <v>96</v>
      </c>
      <c r="T33" s="717" t="s">
        <v>17</v>
      </c>
      <c r="U33" s="718">
        <f t="shared" si="13"/>
        <v>96</v>
      </c>
      <c r="V33" s="717" t="s">
        <v>17</v>
      </c>
      <c r="W33" s="718">
        <f t="shared" si="14"/>
        <v>96</v>
      </c>
      <c r="X33" s="719"/>
      <c r="Y33" s="3425"/>
      <c r="Z33" s="720" t="str">
        <f t="shared" si="15"/>
        <v>项目建筑规模</v>
      </c>
      <c r="AA33" s="1539">
        <f t="shared" si="3"/>
        <v>1.0416666666666667</v>
      </c>
      <c r="AB33" s="1539">
        <f t="shared" si="4"/>
        <v>1.0416666666666667</v>
      </c>
      <c r="AC33" s="1539">
        <f t="shared" si="5"/>
        <v>1.0416666666666667</v>
      </c>
    </row>
    <row r="34" spans="1:29" ht="15">
      <c r="A34" s="431"/>
      <c r="B34" s="381" t="s">
        <v>2388</v>
      </c>
      <c r="C34" s="2100" t="s">
        <v>3222</v>
      </c>
      <c r="D34" s="394">
        <v>100</v>
      </c>
      <c r="E34" s="2100" t="s">
        <v>3222</v>
      </c>
      <c r="F34" s="420">
        <f>SUMIF(105:105,E34,106:106)-SUMIF(105:105,C34,106:106)+100</f>
        <v>100</v>
      </c>
      <c r="G34" s="2100" t="s">
        <v>3222</v>
      </c>
      <c r="H34" s="394">
        <f>SUMIF(105:105,G34,106:106)-SUMIF(105:105,C34,106:106)+100</f>
        <v>100</v>
      </c>
      <c r="I34" s="2100" t="s">
        <v>3222</v>
      </c>
      <c r="J34" s="394">
        <f>SUMIF(105:105,I34,106:106)-SUMIF(105:105,C34,106:106)+100</f>
        <v>100</v>
      </c>
      <c r="K34" s="569"/>
      <c r="L34" s="2951"/>
      <c r="M34" s="2945"/>
      <c r="N34" s="2945"/>
      <c r="O34" s="2945"/>
      <c r="P34" s="3423"/>
      <c r="Q34" s="1538" t="str">
        <f t="shared" si="11"/>
        <v>建筑结构</v>
      </c>
      <c r="R34" s="714" t="s">
        <v>17</v>
      </c>
      <c r="S34" s="715">
        <f t="shared" si="12"/>
        <v>100</v>
      </c>
      <c r="T34" s="714" t="s">
        <v>17</v>
      </c>
      <c r="U34" s="715">
        <f t="shared" si="13"/>
        <v>100</v>
      </c>
      <c r="V34" s="714" t="s">
        <v>17</v>
      </c>
      <c r="W34" s="715">
        <f t="shared" si="14"/>
        <v>100</v>
      </c>
      <c r="X34" s="1541"/>
      <c r="Y34" s="3425"/>
      <c r="Z34" s="1542" t="str">
        <f t="shared" si="15"/>
        <v>建筑结构</v>
      </c>
      <c r="AA34" s="1539">
        <f t="shared" si="3"/>
        <v>1</v>
      </c>
      <c r="AB34" s="1539">
        <f t="shared" si="4"/>
        <v>1</v>
      </c>
      <c r="AC34" s="1539">
        <f t="shared" si="5"/>
        <v>1</v>
      </c>
    </row>
    <row r="35" spans="1:29" ht="15">
      <c r="A35" s="431"/>
      <c r="B35" s="381" t="s">
        <v>2482</v>
      </c>
      <c r="C35" s="2094" t="s">
        <v>3224</v>
      </c>
      <c r="D35" s="394">
        <v>100</v>
      </c>
      <c r="E35" s="2094" t="s">
        <v>3224</v>
      </c>
      <c r="F35" s="420">
        <f>SUMIF(107:107,E35,108:108)-SUMIF(107:107,C35,108:108)+100</f>
        <v>100</v>
      </c>
      <c r="G35" s="2094" t="s">
        <v>3224</v>
      </c>
      <c r="H35" s="394">
        <f>SUMIF(107:107,G35,108:108)-SUMIF(107:107,C35,108:108)+100</f>
        <v>100</v>
      </c>
      <c r="I35" s="2094" t="s">
        <v>3224</v>
      </c>
      <c r="J35" s="394">
        <f>SUMIF(107:107,I35,108:108)-SUMIF(107:107,C35,108:108)+100</f>
        <v>100</v>
      </c>
      <c r="K35" s="569"/>
      <c r="L35" s="2951"/>
      <c r="M35" s="2945"/>
      <c r="N35" s="2945"/>
      <c r="O35" s="2945"/>
      <c r="P35" s="3423"/>
      <c r="Q35" s="1538" t="str">
        <f t="shared" si="11"/>
        <v>公共部分装修</v>
      </c>
      <c r="R35" s="714" t="s">
        <v>17</v>
      </c>
      <c r="S35" s="715">
        <f t="shared" si="12"/>
        <v>100</v>
      </c>
      <c r="T35" s="714" t="s">
        <v>17</v>
      </c>
      <c r="U35" s="715">
        <f t="shared" si="13"/>
        <v>100</v>
      </c>
      <c r="V35" s="714" t="s">
        <v>17</v>
      </c>
      <c r="W35" s="715">
        <f t="shared" si="14"/>
        <v>100</v>
      </c>
      <c r="X35" s="1541"/>
      <c r="Y35" s="3425"/>
      <c r="Z35" s="1542" t="str">
        <f t="shared" si="15"/>
        <v>公共部分装修</v>
      </c>
      <c r="AA35" s="1539">
        <f t="shared" si="3"/>
        <v>1</v>
      </c>
      <c r="AB35" s="1539">
        <f t="shared" si="4"/>
        <v>1</v>
      </c>
      <c r="AC35" s="1539">
        <f t="shared" si="5"/>
        <v>1</v>
      </c>
    </row>
    <row r="36" spans="1:29" ht="15" hidden="1">
      <c r="A36" s="431"/>
      <c r="B36" s="381" t="s">
        <v>2483</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c r="L36" s="2951"/>
      <c r="M36" s="2945"/>
      <c r="N36" s="2945"/>
      <c r="O36" s="2945"/>
      <c r="P36" s="3423"/>
      <c r="Q36" s="1538" t="str">
        <f t="shared" si="11"/>
        <v>成新度</v>
      </c>
      <c r="R36" s="714" t="s">
        <v>17</v>
      </c>
      <c r="S36" s="715">
        <f t="shared" si="12"/>
        <v>100</v>
      </c>
      <c r="T36" s="714" t="s">
        <v>17</v>
      </c>
      <c r="U36" s="715">
        <f t="shared" si="13"/>
        <v>100</v>
      </c>
      <c r="V36" s="714" t="s">
        <v>17</v>
      </c>
      <c r="W36" s="715">
        <f t="shared" si="14"/>
        <v>100</v>
      </c>
      <c r="X36" s="1541"/>
      <c r="Y36" s="3425"/>
      <c r="Z36" s="1542" t="str">
        <f t="shared" si="15"/>
        <v>成新度</v>
      </c>
      <c r="AA36" s="1539">
        <f t="shared" si="3"/>
        <v>1</v>
      </c>
      <c r="AB36" s="1539">
        <f t="shared" si="4"/>
        <v>1</v>
      </c>
      <c r="AC36" s="1539">
        <f t="shared" si="5"/>
        <v>1</v>
      </c>
    </row>
    <row r="37" spans="1:29" s="113" customFormat="1" ht="15">
      <c r="A37" s="432"/>
      <c r="B37" s="381" t="s">
        <v>2484</v>
      </c>
      <c r="C37" s="2094" t="s">
        <v>3321</v>
      </c>
      <c r="D37" s="132">
        <v>100</v>
      </c>
      <c r="E37" s="2094" t="s">
        <v>3321</v>
      </c>
      <c r="F37" s="420">
        <f>SUMIF(112:112,E37,113:113)-SUMIF(112:112,C37,113:113)+100</f>
        <v>100</v>
      </c>
      <c r="G37" s="2094" t="s">
        <v>3321</v>
      </c>
      <c r="H37" s="394">
        <f>SUMIF(112:112,G37,113:113)-SUMIF(112:112,C37,113:113)+100</f>
        <v>100</v>
      </c>
      <c r="I37" s="2094" t="s">
        <v>3321</v>
      </c>
      <c r="J37" s="394">
        <f>SUMIF(112:112,I37,113:113)-SUMIF(112:112,C37,113:113)+100</f>
        <v>100</v>
      </c>
      <c r="K37" s="569">
        <v>2</v>
      </c>
      <c r="L37" s="2946"/>
      <c r="M37" s="2947"/>
      <c r="N37" s="2947"/>
      <c r="O37" s="2947"/>
      <c r="P37" s="3423"/>
      <c r="Q37" s="1529" t="str">
        <f t="shared" si="11"/>
        <v>市政基础设施</v>
      </c>
      <c r="R37" s="710" t="s">
        <v>17</v>
      </c>
      <c r="S37" s="711">
        <f t="shared" si="12"/>
        <v>100</v>
      </c>
      <c r="T37" s="710" t="s">
        <v>17</v>
      </c>
      <c r="U37" s="711">
        <f t="shared" si="13"/>
        <v>100</v>
      </c>
      <c r="V37" s="710" t="s">
        <v>17</v>
      </c>
      <c r="W37" s="711">
        <f t="shared" si="14"/>
        <v>100</v>
      </c>
      <c r="X37" s="712"/>
      <c r="Y37" s="3425"/>
      <c r="Z37" s="55" t="str">
        <f t="shared" si="15"/>
        <v>市政基础设施</v>
      </c>
      <c r="AA37" s="713">
        <f t="shared" si="3"/>
        <v>1</v>
      </c>
      <c r="AB37" s="713">
        <f t="shared" si="4"/>
        <v>1</v>
      </c>
      <c r="AC37" s="713">
        <f t="shared" si="5"/>
        <v>1</v>
      </c>
    </row>
    <row r="38" spans="1:29" ht="15" hidden="1">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1"/>
      <c r="M38" s="2945"/>
      <c r="N38" s="2945"/>
      <c r="O38" s="2945"/>
      <c r="P38" s="3423" t="s">
        <v>2386</v>
      </c>
      <c r="Q38" s="1538" t="str">
        <f t="shared" si="11"/>
        <v>业态</v>
      </c>
      <c r="R38" s="714" t="s">
        <v>17</v>
      </c>
      <c r="S38" s="715">
        <f t="shared" si="12"/>
        <v>100</v>
      </c>
      <c r="T38" s="714" t="s">
        <v>17</v>
      </c>
      <c r="U38" s="715">
        <f t="shared" si="13"/>
        <v>100</v>
      </c>
      <c r="V38" s="714" t="s">
        <v>17</v>
      </c>
      <c r="W38" s="715">
        <f t="shared" si="14"/>
        <v>100</v>
      </c>
      <c r="X38" s="1541"/>
      <c r="Y38" s="3425" t="s">
        <v>2386</v>
      </c>
      <c r="Z38" s="1542" t="str">
        <f t="shared" si="15"/>
        <v>业态</v>
      </c>
      <c r="AA38" s="1539">
        <f t="shared" si="3"/>
        <v>1</v>
      </c>
      <c r="AB38" s="1539">
        <f t="shared" si="4"/>
        <v>1</v>
      </c>
      <c r="AC38" s="1539">
        <f t="shared" si="5"/>
        <v>1</v>
      </c>
    </row>
    <row r="39" spans="1:29" ht="15">
      <c r="A39" s="431"/>
      <c r="B39" s="381" t="s">
        <v>2486</v>
      </c>
      <c r="C39" s="2094" t="s">
        <v>3230</v>
      </c>
      <c r="D39" s="394">
        <v>100</v>
      </c>
      <c r="E39" s="2094" t="s">
        <v>3230</v>
      </c>
      <c r="F39" s="420">
        <f>SUMIF(116:116,E39,117:117)-SUMIF(116:116,C39,117:117)+100</f>
        <v>100</v>
      </c>
      <c r="G39" s="2094" t="s">
        <v>3230</v>
      </c>
      <c r="H39" s="394">
        <f>SUMIF(116:116,G39,117:117)-SUMIF(116:116,C39,117:117)+100</f>
        <v>100</v>
      </c>
      <c r="I39" s="2094" t="s">
        <v>3230</v>
      </c>
      <c r="J39" s="394">
        <f>SUMIF(116:116,I39,117:117)-SUMIF(116:116,C39,117:117)+100</f>
        <v>100</v>
      </c>
      <c r="K39" s="569">
        <v>2</v>
      </c>
      <c r="L39" s="2951"/>
      <c r="M39" s="2945"/>
      <c r="N39" s="2945"/>
      <c r="O39" s="2945"/>
      <c r="P39" s="3423"/>
      <c r="Q39" s="1538" t="str">
        <f t="shared" si="11"/>
        <v>层高</v>
      </c>
      <c r="R39" s="714" t="s">
        <v>17</v>
      </c>
      <c r="S39" s="715">
        <f t="shared" si="12"/>
        <v>100</v>
      </c>
      <c r="T39" s="714" t="s">
        <v>17</v>
      </c>
      <c r="U39" s="715">
        <f t="shared" si="13"/>
        <v>100</v>
      </c>
      <c r="V39" s="714" t="s">
        <v>17</v>
      </c>
      <c r="W39" s="715">
        <f t="shared" si="14"/>
        <v>100</v>
      </c>
      <c r="X39" s="1541"/>
      <c r="Y39" s="3425"/>
      <c r="Z39" s="1542" t="str">
        <f t="shared" si="15"/>
        <v>层高</v>
      </c>
      <c r="AA39" s="1539">
        <f t="shared" si="3"/>
        <v>1</v>
      </c>
      <c r="AB39" s="1539">
        <f t="shared" si="4"/>
        <v>1</v>
      </c>
      <c r="AC39" s="1539">
        <f t="shared" si="5"/>
        <v>1</v>
      </c>
    </row>
    <row r="40" spans="1:29" ht="15" hidden="1">
      <c r="A40" s="431"/>
      <c r="B40" s="381" t="s">
        <v>2487</v>
      </c>
      <c r="C40" s="574"/>
      <c r="D40" s="394">
        <v>100</v>
      </c>
      <c r="E40" s="574"/>
      <c r="F40" s="420">
        <f>SUMIF(118:118,E40,119:119)-SUMIF(118:118,C40,119:119)+100</f>
        <v>100</v>
      </c>
      <c r="G40" s="575"/>
      <c r="H40" s="394">
        <f>SUMIF(118:118,G40,119:119)-SUMIF(118:118,C40,119:119)+100</f>
        <v>100</v>
      </c>
      <c r="I40" s="574"/>
      <c r="J40" s="394">
        <f>SUMIF(118:118,I40,119:119)-SUMIF(118:118,C40,119:119)+100</f>
        <v>100</v>
      </c>
      <c r="K40" s="570"/>
      <c r="L40" s="2951"/>
      <c r="M40" s="2945"/>
      <c r="N40" s="2945"/>
      <c r="O40" s="2945"/>
      <c r="P40" s="3423"/>
      <c r="Q40" s="1538" t="str">
        <f t="shared" si="11"/>
        <v>单套建筑面积</v>
      </c>
      <c r="R40" s="714" t="s">
        <v>17</v>
      </c>
      <c r="S40" s="715">
        <f t="shared" si="12"/>
        <v>100</v>
      </c>
      <c r="T40" s="714" t="s">
        <v>17</v>
      </c>
      <c r="U40" s="715">
        <f t="shared" si="13"/>
        <v>100</v>
      </c>
      <c r="V40" s="714" t="s">
        <v>17</v>
      </c>
      <c r="W40" s="715">
        <f t="shared" si="14"/>
        <v>100</v>
      </c>
      <c r="X40" s="1541"/>
      <c r="Y40" s="3425"/>
      <c r="Z40" s="1542" t="str">
        <f t="shared" si="15"/>
        <v>单套建筑面积</v>
      </c>
      <c r="AA40" s="1539">
        <f t="shared" si="3"/>
        <v>1</v>
      </c>
      <c r="AB40" s="1539">
        <f t="shared" si="4"/>
        <v>1</v>
      </c>
      <c r="AC40" s="1539">
        <f t="shared" si="5"/>
        <v>1</v>
      </c>
    </row>
    <row r="41" spans="1:29" s="430" customFormat="1" ht="15">
      <c r="A41" s="427"/>
      <c r="B41" s="1540" t="s">
        <v>2488</v>
      </c>
      <c r="C41" s="573" t="s">
        <v>3264</v>
      </c>
      <c r="D41" s="394">
        <v>100</v>
      </c>
      <c r="E41" s="573" t="s">
        <v>3264</v>
      </c>
      <c r="F41" s="420">
        <f>SUMIF(120:120,E41,121:121)-SUMIF(120:120,C41,121:121)+100</f>
        <v>100</v>
      </c>
      <c r="G41" s="573" t="s">
        <v>3264</v>
      </c>
      <c r="H41" s="394">
        <f>SUMIF(120:120,G41,121:121)-SUMIF(120:120,C41,121:121)+100</f>
        <v>100</v>
      </c>
      <c r="I41" s="573" t="s">
        <v>3264</v>
      </c>
      <c r="J41" s="394">
        <f>SUMIF(120:120,I41,121:121)-SUMIF(120:120,C41,121:121)+100</f>
        <v>100</v>
      </c>
      <c r="K41" s="569">
        <v>1</v>
      </c>
      <c r="L41" s="2950"/>
      <c r="M41" s="2952"/>
      <c r="N41" s="2952"/>
      <c r="O41" s="2952"/>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1539">
        <f t="shared" si="3"/>
        <v>1</v>
      </c>
      <c r="AB41" s="1539">
        <f t="shared" si="4"/>
        <v>1</v>
      </c>
      <c r="AC41" s="1539">
        <f t="shared" si="5"/>
        <v>1</v>
      </c>
    </row>
    <row r="42" spans="1:29" ht="15">
      <c r="A42" s="431"/>
      <c r="B42" s="381" t="s">
        <v>2489</v>
      </c>
      <c r="C42" s="2094" t="s">
        <v>3224</v>
      </c>
      <c r="D42" s="394">
        <v>100</v>
      </c>
      <c r="E42" s="2094" t="s">
        <v>3233</v>
      </c>
      <c r="F42" s="420">
        <f>SUMIF(122:122,E42,123:123)-SUMIF(122:122,C42,123:123)+100</f>
        <v>98</v>
      </c>
      <c r="G42" s="2094" t="s">
        <v>3233</v>
      </c>
      <c r="H42" s="394">
        <f>SUMIF(122:122,G42,123:123)-SUMIF(122:122,C42,123:123)+100</f>
        <v>98</v>
      </c>
      <c r="I42" s="2094" t="s">
        <v>3233</v>
      </c>
      <c r="J42" s="394">
        <f>SUMIF(122:122,I42,123:123)-SUMIF(122:122,C42,123:123)+100</f>
        <v>98</v>
      </c>
      <c r="K42" s="569">
        <v>2</v>
      </c>
      <c r="L42" s="2951"/>
      <c r="M42" s="2945"/>
      <c r="N42" s="2945"/>
      <c r="O42" s="2945"/>
      <c r="P42" s="3423"/>
      <c r="Q42" s="1538" t="str">
        <f t="shared" si="11"/>
        <v>内部装修</v>
      </c>
      <c r="R42" s="714" t="s">
        <v>17</v>
      </c>
      <c r="S42" s="715">
        <f t="shared" si="12"/>
        <v>98</v>
      </c>
      <c r="T42" s="714" t="s">
        <v>17</v>
      </c>
      <c r="U42" s="715">
        <f t="shared" si="13"/>
        <v>98</v>
      </c>
      <c r="V42" s="714" t="s">
        <v>17</v>
      </c>
      <c r="W42" s="715">
        <f t="shared" si="14"/>
        <v>98</v>
      </c>
      <c r="X42" s="1541"/>
      <c r="Y42" s="3425"/>
      <c r="Z42" s="1542" t="str">
        <f t="shared" si="15"/>
        <v>内部装修</v>
      </c>
      <c r="AA42" s="1539">
        <f t="shared" si="3"/>
        <v>1.0204081632653061</v>
      </c>
      <c r="AB42" s="1539">
        <f t="shared" si="4"/>
        <v>1.0204081632653061</v>
      </c>
      <c r="AC42" s="1539">
        <f t="shared" si="5"/>
        <v>1.0204081632653061</v>
      </c>
    </row>
    <row r="43" spans="1:29" ht="15">
      <c r="A43" s="431"/>
      <c r="B43" s="381" t="s">
        <v>2397</v>
      </c>
      <c r="C43" s="2094" t="s">
        <v>3209</v>
      </c>
      <c r="D43" s="394">
        <v>100</v>
      </c>
      <c r="E43" s="2094" t="s">
        <v>3209</v>
      </c>
      <c r="F43" s="420">
        <f>SUMIF(124:124,E43,125:125)-SUMIF(124:124,C43,125:125)+100</f>
        <v>100</v>
      </c>
      <c r="G43" s="2094" t="s">
        <v>3209</v>
      </c>
      <c r="H43" s="394">
        <f>SUMIF(124:124,G43,125:125)-SUMIF(124:124,C43,125:125)+100</f>
        <v>100</v>
      </c>
      <c r="I43" s="2094" t="s">
        <v>3209</v>
      </c>
      <c r="J43" s="394">
        <f>SUMIF(124:124,I43,125:125)-SUMIF(124:124,C43,125:125)+100</f>
        <v>100</v>
      </c>
      <c r="K43" s="569">
        <v>1</v>
      </c>
      <c r="L43" s="2951"/>
      <c r="M43" s="2945"/>
      <c r="N43" s="2945"/>
      <c r="O43" s="2945"/>
      <c r="P43" s="3423"/>
      <c r="Q43" s="1538" t="str">
        <f t="shared" si="11"/>
        <v>内部装修维护情况</v>
      </c>
      <c r="R43" s="714" t="s">
        <v>17</v>
      </c>
      <c r="S43" s="715">
        <f t="shared" si="12"/>
        <v>100</v>
      </c>
      <c r="T43" s="714" t="s">
        <v>17</v>
      </c>
      <c r="U43" s="715">
        <f t="shared" si="13"/>
        <v>100</v>
      </c>
      <c r="V43" s="714" t="s">
        <v>17</v>
      </c>
      <c r="W43" s="715">
        <f t="shared" si="14"/>
        <v>100</v>
      </c>
      <c r="X43" s="1541"/>
      <c r="Y43" s="3425"/>
      <c r="Z43" s="1542" t="str">
        <f t="shared" si="15"/>
        <v>内部装修维护情况</v>
      </c>
      <c r="AA43" s="1539">
        <f t="shared" si="3"/>
        <v>1</v>
      </c>
      <c r="AB43" s="1539">
        <f t="shared" si="4"/>
        <v>1</v>
      </c>
      <c r="AC43" s="1539">
        <f t="shared" si="5"/>
        <v>1</v>
      </c>
    </row>
    <row r="44" spans="1:29" s="113" customFormat="1" ht="15.75" thickBot="1">
      <c r="A44" s="432"/>
      <c r="B44" s="3124" t="s">
        <v>3325</v>
      </c>
      <c r="C44" s="433">
        <v>0.9</v>
      </c>
      <c r="D44" s="132">
        <v>100</v>
      </c>
      <c r="E44" s="433">
        <v>0.78</v>
      </c>
      <c r="F44" s="384">
        <f>D127</f>
        <v>96</v>
      </c>
      <c r="G44" s="433">
        <v>0.95</v>
      </c>
      <c r="H44" s="132">
        <f>SUMIF(126:126,G44,127:127)-SUMIF(126:126,C44,127:127)+100</f>
        <v>100</v>
      </c>
      <c r="I44" s="433">
        <v>0.75</v>
      </c>
      <c r="J44" s="132">
        <f>F127</f>
        <v>96</v>
      </c>
      <c r="K44" s="570"/>
      <c r="L44" s="2946"/>
      <c r="M44" s="2947"/>
      <c r="N44" s="2947"/>
      <c r="O44" s="2947"/>
      <c r="P44" s="3423"/>
      <c r="Q44" s="1529" t="str">
        <f t="shared" si="11"/>
        <v>成新度</v>
      </c>
      <c r="R44" s="710" t="s">
        <v>17</v>
      </c>
      <c r="S44" s="711">
        <f t="shared" si="12"/>
        <v>96</v>
      </c>
      <c r="T44" s="710" t="s">
        <v>17</v>
      </c>
      <c r="U44" s="711">
        <f t="shared" si="13"/>
        <v>100</v>
      </c>
      <c r="V44" s="710" t="s">
        <v>17</v>
      </c>
      <c r="W44" s="711">
        <f t="shared" si="14"/>
        <v>96</v>
      </c>
      <c r="X44" s="712"/>
      <c r="Y44" s="3425"/>
      <c r="Z44" s="55" t="str">
        <f t="shared" si="15"/>
        <v>成新度</v>
      </c>
      <c r="AA44" s="713">
        <f t="shared" si="3"/>
        <v>1.0416666666666667</v>
      </c>
      <c r="AB44" s="713">
        <f t="shared" si="4"/>
        <v>1</v>
      </c>
      <c r="AC44" s="713">
        <f t="shared" si="5"/>
        <v>1.0416666666666667</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23"/>
      <c r="Q45" s="1538">
        <f t="shared" si="11"/>
        <v>111</v>
      </c>
      <c r="R45" s="714" t="s">
        <v>17</v>
      </c>
      <c r="S45" s="715">
        <f t="shared" si="12"/>
        <v>100</v>
      </c>
      <c r="T45" s="714" t="s">
        <v>17</v>
      </c>
      <c r="U45" s="715">
        <f t="shared" si="13"/>
        <v>100</v>
      </c>
      <c r="V45" s="714" t="s">
        <v>17</v>
      </c>
      <c r="W45" s="715">
        <f t="shared" si="14"/>
        <v>100</v>
      </c>
      <c r="X45" s="1541"/>
      <c r="Y45" s="3425"/>
      <c r="Z45" s="1542">
        <f t="shared" si="15"/>
        <v>111</v>
      </c>
      <c r="AA45" s="1539">
        <f t="shared" si="3"/>
        <v>1</v>
      </c>
      <c r="AB45" s="1539">
        <f t="shared" si="4"/>
        <v>1</v>
      </c>
      <c r="AC45" s="1539">
        <f t="shared" si="5"/>
        <v>1</v>
      </c>
    </row>
    <row r="46" spans="1:29" ht="15.75" hidden="1"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24"/>
      <c r="Q46" s="1538">
        <f t="shared" si="11"/>
        <v>111</v>
      </c>
      <c r="R46" s="714" t="s">
        <v>17</v>
      </c>
      <c r="S46" s="715">
        <f t="shared" si="12"/>
        <v>100</v>
      </c>
      <c r="T46" s="714" t="s">
        <v>17</v>
      </c>
      <c r="U46" s="715">
        <f t="shared" si="13"/>
        <v>100</v>
      </c>
      <c r="V46" s="714" t="s">
        <v>17</v>
      </c>
      <c r="W46" s="715">
        <f t="shared" si="14"/>
        <v>100</v>
      </c>
      <c r="X46" s="1541"/>
      <c r="Y46" s="3426"/>
      <c r="Z46" s="1542">
        <f t="shared" si="15"/>
        <v>111</v>
      </c>
      <c r="AA46" s="1539">
        <f t="shared" si="3"/>
        <v>1</v>
      </c>
      <c r="AB46" s="1539">
        <f t="shared" si="4"/>
        <v>1</v>
      </c>
      <c r="AC46" s="1539">
        <f t="shared" si="5"/>
        <v>1</v>
      </c>
    </row>
    <row r="47" spans="1:29" ht="15">
      <c r="A47" s="438" t="s">
        <v>2398</v>
      </c>
      <c r="B47" s="439"/>
      <c r="C47" s="1316" t="s">
        <v>1</v>
      </c>
      <c r="D47" s="1317"/>
      <c r="E47" s="1318">
        <f>商业案例!E2</f>
        <v>50123</v>
      </c>
      <c r="F47" s="1319"/>
      <c r="G47" s="1320">
        <f>商业案例!E3</f>
        <v>50013</v>
      </c>
      <c r="H47" s="1321"/>
      <c r="I47" s="1318">
        <f>商业案例!E4</f>
        <v>52326</v>
      </c>
      <c r="J47" s="1321"/>
      <c r="K47" s="723"/>
      <c r="L47" s="2953"/>
      <c r="M47" s="2954"/>
      <c r="N47" s="2945"/>
      <c r="O47" s="2954"/>
      <c r="P47" s="3413" t="str">
        <f>A47</f>
        <v>成交单价（元/平方米）</v>
      </c>
      <c r="Q47" s="3413"/>
      <c r="R47" s="3448">
        <f>E47</f>
        <v>50123</v>
      </c>
      <c r="S47" s="3448"/>
      <c r="T47" s="3448">
        <f>G47</f>
        <v>50013</v>
      </c>
      <c r="U47" s="3448"/>
      <c r="V47" s="3448">
        <f>I47</f>
        <v>52326</v>
      </c>
      <c r="W47" s="3448"/>
      <c r="X47" s="699"/>
      <c r="Y47" s="721"/>
      <c r="Z47" s="699"/>
      <c r="AA47" s="699"/>
      <c r="AB47" s="699"/>
      <c r="AC47" s="699"/>
    </row>
    <row r="48" spans="1:29" ht="15.75" thickBot="1">
      <c r="A48" s="445" t="s">
        <v>2490</v>
      </c>
      <c r="B48" s="446"/>
      <c r="C48" s="1322">
        <f>R49</f>
        <v>58454</v>
      </c>
      <c r="D48" s="2540" t="s">
        <v>2879</v>
      </c>
      <c r="E48" s="1323">
        <f>R48</f>
        <v>58418</v>
      </c>
      <c r="F48" s="2541"/>
      <c r="G48" s="1322">
        <f>T48</f>
        <v>55958</v>
      </c>
      <c r="H48" s="2541"/>
      <c r="I48" s="1323">
        <f>V48</f>
        <v>60985</v>
      </c>
      <c r="J48" s="2541"/>
      <c r="K48" s="2543">
        <f>F48+H48+J48</f>
        <v>0</v>
      </c>
      <c r="L48" s="2953"/>
      <c r="M48" s="2954"/>
      <c r="N48" s="2945"/>
      <c r="O48" s="2954"/>
      <c r="P48" s="3413" t="str">
        <f>A48</f>
        <v>比较价值（元/平方米）</v>
      </c>
      <c r="Q48" s="3413"/>
      <c r="R48" s="3427">
        <f>IF(F1="售价",ROUND(PRODUCT(R47,AA7:AA46),0),ROUND(PRODUCT(R47,AA7:AA46),1))</f>
        <v>58418</v>
      </c>
      <c r="S48" s="3427"/>
      <c r="T48" s="3427">
        <f>IF(F1="售价",ROUND(PRODUCT(T47,AB7:AB46),0),ROUND(PRODUCT(T47,AB7:AB46),1))</f>
        <v>55958</v>
      </c>
      <c r="U48" s="3427"/>
      <c r="V48" s="3427">
        <f>IF(F1="售价",ROUND(PRODUCT(V47,AC7:AC46),0),ROUND(PRODUCT(V47,AC7:AC46),1))</f>
        <v>60985</v>
      </c>
      <c r="W48" s="3427"/>
      <c r="X48" s="699"/>
      <c r="Y48" s="699"/>
      <c r="Z48" s="699"/>
      <c r="AA48" s="699"/>
      <c r="AB48" s="699"/>
      <c r="AC48" s="699"/>
    </row>
    <row r="49" spans="1:29" ht="15.75" thickBot="1">
      <c r="A49" s="449" t="s">
        <v>2491</v>
      </c>
      <c r="B49" s="450"/>
      <c r="C49" s="1325">
        <f>R49</f>
        <v>58454</v>
      </c>
      <c r="D49" s="1325"/>
      <c r="E49" s="1325"/>
      <c r="F49" s="1325"/>
      <c r="G49" s="1325"/>
      <c r="H49" s="1325"/>
      <c r="I49" s="1325"/>
      <c r="J49" s="1325"/>
      <c r="K49" s="724"/>
      <c r="L49" s="2953"/>
      <c r="M49" s="2954"/>
      <c r="N49" s="2945"/>
      <c r="O49" s="2954"/>
      <c r="P49" s="3544" t="str">
        <f>A49</f>
        <v>估价对象XX用房的比较价值（楼面单价，元/平方米）</v>
      </c>
      <c r="Q49" s="3545"/>
      <c r="R49" s="3546">
        <f>IF(F1="售价",ROUND(IF(D48="简单平均",AVERAGE(R48:V48),R48*F48+T48*H48+V48*J48),0),ROUND(IF(D48="简单平均",AVERAGE(R48:V48),R48*F48+T48*H48+V48*J48),1))</f>
        <v>58454</v>
      </c>
      <c r="S49" s="3546"/>
      <c r="T49" s="3546"/>
      <c r="U49" s="3546"/>
      <c r="V49" s="3546"/>
      <c r="W49" s="3546"/>
      <c r="X49" s="699"/>
      <c r="Y49" s="699"/>
      <c r="Z49" s="699"/>
      <c r="AA49" s="699"/>
      <c r="AB49" s="699"/>
      <c r="AC49" s="699"/>
    </row>
    <row r="50" spans="1:29">
      <c r="A50" s="2954"/>
      <c r="B50" s="2954"/>
      <c r="C50" s="2954">
        <v>0</v>
      </c>
      <c r="D50" s="2954">
        <v>200</v>
      </c>
      <c r="E50" s="2954">
        <v>400</v>
      </c>
      <c r="F50" s="2954">
        <v>600</v>
      </c>
      <c r="G50" s="2954">
        <v>800</v>
      </c>
      <c r="H50" s="2954">
        <v>1000</v>
      </c>
      <c r="I50" s="2954">
        <v>1200</v>
      </c>
      <c r="J50" s="2954">
        <v>1400</v>
      </c>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v>96</v>
      </c>
      <c r="D51" s="2954">
        <v>98</v>
      </c>
      <c r="E51" s="2954">
        <v>100</v>
      </c>
      <c r="F51" s="2954">
        <v>98</v>
      </c>
      <c r="G51" s="2954">
        <v>96</v>
      </c>
      <c r="H51" s="2954">
        <v>94</v>
      </c>
      <c r="I51" s="2954">
        <v>108</v>
      </c>
      <c r="J51" s="2954">
        <v>110</v>
      </c>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f>IF(E47&lt;E48,E48/E47-1,E47/E48-1)</f>
        <v>0.16549288749675806</v>
      </c>
      <c r="F52" s="457" t="str">
        <f>IF(OR(E52&gt;=0.3,E52&lt;=-0.3),"超过30%","")</f>
        <v/>
      </c>
      <c r="G52" s="456">
        <f>IF(G47&lt;G48,G48/G47-1,G47/G48-1)</f>
        <v>0.11886909403555079</v>
      </c>
      <c r="H52" s="457" t="str">
        <f>IF(OR(G52&gt;=0.3,G52&lt;=-0.3),"超过30%","")</f>
        <v/>
      </c>
      <c r="I52" s="456">
        <f>IF(I47&lt;I48,I48/I47-1,I47/I48-1)</f>
        <v>0.16548178725681306</v>
      </c>
      <c r="J52" s="457" t="str">
        <f>IF(OR(I52&gt;=0.3,I52&lt;=-0.3),"超过30%","")</f>
        <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f>IF(E48&lt;G48,G48/E48-1,E48/G48-1)</f>
        <v>4.396154258551066E-2</v>
      </c>
      <c r="F53" s="457" t="str">
        <f>IF(OR(E53&gt;=0.2,E53&lt;=-0.2),"超过20%","")</f>
        <v/>
      </c>
      <c r="G53" s="456">
        <f>IF(G48&lt;I48,I48/G48-1,G48/I48-1)</f>
        <v>8.9835233568033246E-2</v>
      </c>
      <c r="H53" s="457" t="str">
        <f>IF(OR(G53&gt;=0.2,G53&lt;=-0.2),"超过20%","")</f>
        <v/>
      </c>
      <c r="I53" s="456">
        <f>IF(I48&lt;E48,E48/I48-1,I48/E48-1)</f>
        <v>4.394193570474858E-2</v>
      </c>
      <c r="J53" s="457" t="str">
        <f>IF(OR(I53&gt;=0.2,I53&lt;=-0.2),"超过20%","")</f>
        <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f>IF(E47&lt;G47,G47/E47-1,E47/G47-1)</f>
        <v>2.1994281486812373E-3</v>
      </c>
      <c r="F54" s="457" t="str">
        <f>IF(OR(E54&gt;=0.3,E54&lt;=-0.3),"超过30%","")</f>
        <v/>
      </c>
      <c r="G54" s="456">
        <f>IF(G47&lt;I47,I47/G47-1,G47/I47-1)</f>
        <v>4.6247975526363172E-2</v>
      </c>
      <c r="H54" s="457" t="str">
        <f>IF(OR(G54&gt;=0.3,G54&lt;=-0.3),"超过30%","")</f>
        <v/>
      </c>
      <c r="I54" s="456">
        <f>IF(I47&lt;E47,E47/I47-1,I47/E47-1)</f>
        <v>4.3951878379187237E-2</v>
      </c>
      <c r="J54" s="457" t="str">
        <f>IF(OR(I54&gt;=0.3,I54&lt;=-0.3),"超过30%","")</f>
        <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2023-2</v>
      </c>
      <c r="D58" s="1347">
        <f>EDATE(C58,-1)</f>
        <v>44927</v>
      </c>
      <c r="E58" s="1347">
        <f t="shared" ref="E58:N58" si="16">EDATE(D58,-1)</f>
        <v>44896</v>
      </c>
      <c r="F58" s="1347">
        <f t="shared" si="16"/>
        <v>44866</v>
      </c>
      <c r="G58" s="1347">
        <f t="shared" si="16"/>
        <v>44835</v>
      </c>
      <c r="H58" s="1347">
        <f t="shared" si="16"/>
        <v>44805</v>
      </c>
      <c r="I58" s="1347">
        <f t="shared" si="16"/>
        <v>44774</v>
      </c>
      <c r="J58" s="1347">
        <f t="shared" si="16"/>
        <v>44743</v>
      </c>
      <c r="K58" s="1347">
        <f t="shared" si="16"/>
        <v>44713</v>
      </c>
      <c r="L58" s="1347">
        <f t="shared" si="16"/>
        <v>44682</v>
      </c>
      <c r="M58" s="1347">
        <f t="shared" si="16"/>
        <v>44652</v>
      </c>
      <c r="N58" s="1347">
        <f t="shared" si="16"/>
        <v>44621</v>
      </c>
      <c r="O58" s="1347">
        <f>EDATE(N58,-1)</f>
        <v>44593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3121" t="s">
        <v>3266</v>
      </c>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v>102</v>
      </c>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t="str">
        <f>C9</f>
        <v>商业</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v>0</v>
      </c>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98</v>
      </c>
      <c r="E77" s="501">
        <f>D77-$K15</f>
        <v>96</v>
      </c>
      <c r="F77" s="501">
        <f>E77-$K15</f>
        <v>94</v>
      </c>
      <c r="G77" s="501">
        <f>F77-$K15</f>
        <v>92</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98</v>
      </c>
      <c r="E79" s="501">
        <f>D79-$K17</f>
        <v>96</v>
      </c>
      <c r="F79" s="501">
        <f>E79-$K17</f>
        <v>94</v>
      </c>
      <c r="G79" s="501">
        <f>F79-$K17</f>
        <v>92</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98</v>
      </c>
      <c r="E81" s="501">
        <f>D81-$K19</f>
        <v>96</v>
      </c>
      <c r="F81" s="501">
        <f>E81-$K19</f>
        <v>94</v>
      </c>
      <c r="G81" s="501">
        <f>F81-$K19</f>
        <v>92</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98</v>
      </c>
      <c r="E85" s="501">
        <f>D85-$K23</f>
        <v>96</v>
      </c>
      <c r="F85" s="501">
        <f>E85-$K23</f>
        <v>94</v>
      </c>
      <c r="G85" s="501">
        <f>F85-$K23</f>
        <v>92</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3127" t="s">
        <v>3259</v>
      </c>
      <c r="D86" s="3127" t="s">
        <v>3258</v>
      </c>
      <c r="E86" s="3127"/>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t="s">
        <v>3298</v>
      </c>
      <c r="D88" s="511" t="s">
        <v>3299</v>
      </c>
      <c r="E88" s="511"/>
      <c r="F88" s="2115"/>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v>100</v>
      </c>
      <c r="D89" s="493">
        <v>95</v>
      </c>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3127" t="s">
        <v>3319</v>
      </c>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t="s">
        <v>3256</v>
      </c>
      <c r="D92" s="511" t="s">
        <v>3295</v>
      </c>
      <c r="E92" s="3189" t="s">
        <v>3293</v>
      </c>
      <c r="F92" s="3127" t="s">
        <v>3294</v>
      </c>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v>105</v>
      </c>
      <c r="D93" s="493">
        <v>100</v>
      </c>
      <c r="E93" s="493">
        <v>102</v>
      </c>
      <c r="F93" s="493">
        <v>104</v>
      </c>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6"/>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3189" t="s">
        <v>3296</v>
      </c>
      <c r="D100" s="3122" t="s">
        <v>3260</v>
      </c>
      <c r="E100" s="3122" t="s">
        <v>3274</v>
      </c>
      <c r="F100" s="3122" t="s">
        <v>3275</v>
      </c>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3"/>
      <c r="O101" s="2983"/>
      <c r="P101" s="2973"/>
      <c r="Q101" s="2968"/>
      <c r="R101" s="2954"/>
      <c r="S101" s="2954"/>
      <c r="T101" s="2954"/>
      <c r="U101" s="2954"/>
      <c r="V101" s="2954"/>
      <c r="W101" s="2954"/>
      <c r="X101" s="2954"/>
      <c r="Y101" s="2954"/>
      <c r="Z101" s="2954"/>
      <c r="AA101" s="2954"/>
      <c r="AB101" s="2954"/>
      <c r="AC101" s="2954"/>
    </row>
    <row r="102" spans="1:29" ht="29.25" thickTop="1">
      <c r="A102" s="491"/>
      <c r="B102" s="495" t="s">
        <v>2434</v>
      </c>
      <c r="C102" s="535" t="str">
        <f>C103&amp;"(含)"&amp;"-"&amp;D103</f>
        <v>0(含)-500</v>
      </c>
      <c r="D102" s="535" t="str">
        <f t="shared" ref="D102:L102" si="23">D103&amp;"(含)"&amp;"-"&amp;E103</f>
        <v>500(含)-1000</v>
      </c>
      <c r="E102" s="535" t="str">
        <f t="shared" si="23"/>
        <v>1000(含)-1500</v>
      </c>
      <c r="F102" s="535" t="str">
        <f t="shared" si="23"/>
        <v>1500(含)-2000</v>
      </c>
      <c r="G102" s="535" t="str">
        <f t="shared" si="23"/>
        <v>2000(含)-1500</v>
      </c>
      <c r="H102" s="535" t="str">
        <f t="shared" si="23"/>
        <v>1500(含)-1800</v>
      </c>
      <c r="I102" s="535" t="str">
        <f t="shared" si="23"/>
        <v>1800(含)-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v>0</v>
      </c>
      <c r="D103" s="552">
        <v>500</v>
      </c>
      <c r="E103" s="552">
        <v>1000</v>
      </c>
      <c r="F103" s="552">
        <v>1500</v>
      </c>
      <c r="G103" s="552">
        <v>2000</v>
      </c>
      <c r="H103" s="552">
        <v>1500</v>
      </c>
      <c r="I103" s="552">
        <v>1800</v>
      </c>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v>100</v>
      </c>
      <c r="D104" s="493">
        <v>98</v>
      </c>
      <c r="E104" s="493">
        <v>96</v>
      </c>
      <c r="F104" s="493">
        <v>94</v>
      </c>
      <c r="G104" s="493">
        <v>92</v>
      </c>
      <c r="H104" s="493">
        <v>110</v>
      </c>
      <c r="I104" s="493">
        <v>112</v>
      </c>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3127" t="s">
        <v>3261</v>
      </c>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3127" t="s">
        <v>3262</v>
      </c>
      <c r="D107" s="3127" t="s">
        <v>3276</v>
      </c>
      <c r="E107" s="3127" t="s">
        <v>3277</v>
      </c>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3628" t="s">
        <v>3365</v>
      </c>
      <c r="D112" s="3127" t="s">
        <v>3322</v>
      </c>
      <c r="E112" s="3127" t="s">
        <v>3323</v>
      </c>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3127" t="s">
        <v>3263</v>
      </c>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3128" t="s">
        <v>3265</v>
      </c>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99</v>
      </c>
      <c r="E121" s="501">
        <f t="shared" ref="E121:M121" si="29">D121-$K41</f>
        <v>98</v>
      </c>
      <c r="F121" s="501">
        <f t="shared" si="29"/>
        <v>97</v>
      </c>
      <c r="G121" s="501">
        <f t="shared" si="29"/>
        <v>96</v>
      </c>
      <c r="H121" s="501">
        <f t="shared" si="29"/>
        <v>95</v>
      </c>
      <c r="I121" s="501">
        <f t="shared" si="29"/>
        <v>94</v>
      </c>
      <c r="J121" s="501">
        <f t="shared" si="29"/>
        <v>93</v>
      </c>
      <c r="K121" s="501">
        <f t="shared" si="29"/>
        <v>92</v>
      </c>
      <c r="L121" s="501">
        <f t="shared" si="29"/>
        <v>91</v>
      </c>
      <c r="M121" s="502">
        <f t="shared" si="29"/>
        <v>90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3127" t="s">
        <v>3262</v>
      </c>
      <c r="D122" s="3127" t="s">
        <v>3276</v>
      </c>
      <c r="E122" s="3127" t="s">
        <v>3277</v>
      </c>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99</v>
      </c>
      <c r="E125" s="501">
        <f>D125-$K43</f>
        <v>98</v>
      </c>
      <c r="F125" s="501">
        <f>E125-$K43</f>
        <v>97</v>
      </c>
      <c r="G125" s="501">
        <f>F125-$K43</f>
        <v>96</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t="str">
        <f>B44</f>
        <v>成新度</v>
      </c>
      <c r="C126" s="3624">
        <v>0.9</v>
      </c>
      <c r="D126" s="3624">
        <v>0.78</v>
      </c>
      <c r="E126" s="3624">
        <v>0.95</v>
      </c>
      <c r="F126" s="3624">
        <v>0.75</v>
      </c>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v>100</v>
      </c>
      <c r="D127" s="493">
        <v>96</v>
      </c>
      <c r="E127" s="493">
        <v>100</v>
      </c>
      <c r="F127" s="493">
        <v>96</v>
      </c>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row r="133" spans="1:29">
      <c r="F133" s="363">
        <v>100</v>
      </c>
      <c r="G133" s="363">
        <v>90</v>
      </c>
      <c r="H133" s="363">
        <v>80</v>
      </c>
      <c r="I133" s="363">
        <v>70</v>
      </c>
    </row>
    <row r="134" spans="1:29">
      <c r="F134" s="363">
        <v>102</v>
      </c>
      <c r="G134" s="363">
        <v>100</v>
      </c>
      <c r="H134" s="363">
        <v>98</v>
      </c>
      <c r="I134" s="363">
        <v>96</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40" priority="21" stopIfTrue="1" operator="containsText" text="超过">
      <formula>NOT(ISERROR(SEARCH("超过",F52)))</formula>
    </cfRule>
  </conditionalFormatting>
  <conditionalFormatting sqref="H54">
    <cfRule type="containsText" dxfId="39" priority="19" stopIfTrue="1" operator="containsText" text="超过">
      <formula>NOT(ISERROR(SEARCH("超过",H54)))</formula>
    </cfRule>
  </conditionalFormatting>
  <conditionalFormatting sqref="F54">
    <cfRule type="containsText" dxfId="38" priority="18" stopIfTrue="1" operator="containsText" text="超过">
      <formula>NOT(ISERROR(SEARCH("超过",F54)))</formula>
    </cfRule>
  </conditionalFormatting>
  <conditionalFormatting sqref="F53 H53">
    <cfRule type="containsText" dxfId="37" priority="17" stopIfTrue="1" operator="containsText" text="超过">
      <formula>NOT(ISERROR(SEARCH("超过",F53)))</formula>
    </cfRule>
  </conditionalFormatting>
  <conditionalFormatting sqref="E52">
    <cfRule type="expression" dxfId="36" priority="16" stopIfTrue="1">
      <formula>$F$52="超过30%"</formula>
    </cfRule>
  </conditionalFormatting>
  <conditionalFormatting sqref="E53">
    <cfRule type="expression" dxfId="35" priority="15" stopIfTrue="1">
      <formula>$F$53="超过20%"</formula>
    </cfRule>
  </conditionalFormatting>
  <conditionalFormatting sqref="E54">
    <cfRule type="expression" dxfId="34" priority="14" stopIfTrue="1">
      <formula>$F$54="超过30%"</formula>
    </cfRule>
  </conditionalFormatting>
  <conditionalFormatting sqref="G54">
    <cfRule type="expression" dxfId="33" priority="13" stopIfTrue="1">
      <formula>$H$54="超过30%"</formula>
    </cfRule>
  </conditionalFormatting>
  <conditionalFormatting sqref="G52">
    <cfRule type="expression" dxfId="32" priority="12" stopIfTrue="1">
      <formula>$H$52="超过30%"</formula>
    </cfRule>
  </conditionalFormatting>
  <conditionalFormatting sqref="G53">
    <cfRule type="expression" dxfId="31" priority="11" stopIfTrue="1">
      <formula>$H$53="超过20%"</formula>
    </cfRule>
  </conditionalFormatting>
  <conditionalFormatting sqref="J52">
    <cfRule type="containsText" dxfId="30" priority="10" stopIfTrue="1" operator="containsText" text="超过">
      <formula>NOT(ISERROR(SEARCH("超过",J52)))</formula>
    </cfRule>
  </conditionalFormatting>
  <conditionalFormatting sqref="J54">
    <cfRule type="containsText" dxfId="29" priority="9" stopIfTrue="1" operator="containsText" text="超过">
      <formula>NOT(ISERROR(SEARCH("超过",J54)))</formula>
    </cfRule>
  </conditionalFormatting>
  <conditionalFormatting sqref="J53">
    <cfRule type="containsText" dxfId="28" priority="8" stopIfTrue="1" operator="containsText" text="超过">
      <formula>NOT(ISERROR(SEARCH("超过",J53)))</formula>
    </cfRule>
  </conditionalFormatting>
  <conditionalFormatting sqref="I52">
    <cfRule type="expression" dxfId="27" priority="7" stopIfTrue="1">
      <formula>$J$52="超过30%"</formula>
    </cfRule>
  </conditionalFormatting>
  <conditionalFormatting sqref="I53">
    <cfRule type="expression" dxfId="26" priority="6" stopIfTrue="1">
      <formula>$J$53="超过20%"</formula>
    </cfRule>
  </conditionalFormatting>
  <conditionalFormatting sqref="I54">
    <cfRule type="expression" dxfId="25" priority="5" stopIfTrue="1">
      <formula>$J$54="超过30%"</formula>
    </cfRule>
  </conditionalFormatting>
  <conditionalFormatting sqref="F48">
    <cfRule type="expression" dxfId="24" priority="4">
      <formula>$D$48="简单平均"</formula>
    </cfRule>
  </conditionalFormatting>
  <conditionalFormatting sqref="H48">
    <cfRule type="expression" dxfId="23" priority="3">
      <formula>$D$48="简单平均"</formula>
    </cfRule>
  </conditionalFormatting>
  <conditionalFormatting sqref="J48">
    <cfRule type="expression" dxfId="22" priority="2">
      <formula>$D$48="简单平均"</formula>
    </cfRule>
  </conditionalFormatting>
  <conditionalFormatting sqref="F7:F46 H7:H46 J7:J46">
    <cfRule type="cellIs" dxfId="21" priority="1" operator="notEqual">
      <formula>100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E18 G18 I18 C18" xr:uid="{00000000-0002-0000-1600-000004000000}">
      <formula1>交通便捷度</formula1>
    </dataValidation>
    <dataValidation type="list" allowBlank="1" showInputMessage="1" showErrorMessage="1" sqref="E24 G24 I24 C24" xr:uid="{00000000-0002-0000-1600-000005000000}">
      <formula1>环境</formula1>
    </dataValidation>
    <dataValidation type="list" allowBlank="1" showInputMessage="1" showErrorMessage="1" sqref="C25 E25 G25 I25" xr:uid="{00000000-0002-0000-1600-000006000000}">
      <formula1>商业临街状况</formula1>
    </dataValidation>
    <dataValidation type="list" allowBlank="1" showInputMessage="1" showErrorMessage="1" sqref="C27 E27 G27 I27" xr:uid="{00000000-0002-0000-1600-000007000000}">
      <formula1>商业人流量</formula1>
    </dataValidation>
    <dataValidation type="list" allowBlank="1" showInputMessage="1" showErrorMessage="1" sqref="C28 E28 G28 I28" xr:uid="{00000000-0002-0000-1600-000008000000}">
      <formula1>商业楼层</formula1>
    </dataValidation>
    <dataValidation type="list" allowBlank="1" showInputMessage="1" showErrorMessage="1" sqref="C32 E32 G32 I32" xr:uid="{00000000-0002-0000-1600-000009000000}">
      <formula1>商业类型</formula1>
    </dataValidation>
    <dataValidation type="list" allowBlank="1" showInputMessage="1" showErrorMessage="1" sqref="C34 E34 G34 I34" xr:uid="{00000000-0002-0000-1600-00000A000000}">
      <formula1>商业建筑结构</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8"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79" customWidth="1"/>
    <col min="2" max="2" width="37.125" style="1679" customWidth="1"/>
    <col min="3" max="3" width="11.375" style="1679" customWidth="1"/>
    <col min="4" max="4" width="31.62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估价结果一览表（市场价值不需“结果表-1”）</v>
      </c>
      <c r="B3" s="3226"/>
      <c r="C3" s="3226"/>
      <c r="D3" s="3226"/>
      <c r="E3" s="3226"/>
    </row>
    <row r="4" spans="1:5" ht="19.5" thickBot="1">
      <c r="A4" s="1680"/>
      <c r="B4" s="3224" t="s">
        <v>1595</v>
      </c>
      <c r="C4" s="3224"/>
      <c r="D4" s="3224"/>
      <c r="E4" s="1680"/>
    </row>
    <row r="5" spans="1:5" ht="16.5" thickTop="1">
      <c r="A5" s="1678"/>
      <c r="B5" s="3222" t="s">
        <v>1587</v>
      </c>
      <c r="C5" s="1681" t="s">
        <v>1588</v>
      </c>
      <c r="D5" s="959" t="e">
        <f ca="1">结果表!H101</f>
        <v>#REF!</v>
      </c>
      <c r="E5" s="1678"/>
    </row>
    <row r="6" spans="1:5" ht="15.75">
      <c r="A6" s="1678"/>
      <c r="B6" s="3222"/>
      <c r="C6" s="1681" t="s">
        <v>1589</v>
      </c>
      <c r="D6" s="959" t="e">
        <f ca="1">NUMBERSTRING(INT(D5*10000),2)&amp;"元整"</f>
        <v>#REF!</v>
      </c>
      <c r="E6" s="1678"/>
    </row>
    <row r="7" spans="1:5" ht="15.75">
      <c r="A7" s="1678"/>
      <c r="B7" s="3227"/>
      <c r="C7" s="1682" t="s">
        <v>1590</v>
      </c>
      <c r="D7" s="960" t="e">
        <f ca="1">结果表!H102</f>
        <v>#REF!</v>
      </c>
      <c r="E7" s="1678"/>
    </row>
    <row r="8" spans="1:5" ht="15.75">
      <c r="A8" s="1678"/>
      <c r="B8" s="3228" t="str">
        <f>结果表!E103</f>
        <v>2.估价师知悉的法定优先受偿款</v>
      </c>
      <c r="C8" s="1683" t="s">
        <v>1591</v>
      </c>
      <c r="D8" s="960">
        <f>结果表!H103</f>
        <v>0</v>
      </c>
      <c r="E8" s="1678"/>
    </row>
    <row r="9" spans="1:5" ht="15.75">
      <c r="A9" s="1678"/>
      <c r="B9" s="323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221" t="str">
        <f>结果表!E107</f>
        <v>3.房地产抵押价值</v>
      </c>
      <c r="C13" s="1686" t="s">
        <v>1588</v>
      </c>
      <c r="D13" s="962" t="e">
        <f ca="1">结果表!H107</f>
        <v>#REF!</v>
      </c>
      <c r="E13" s="1678"/>
    </row>
    <row r="14" spans="1:5" ht="15.75">
      <c r="A14" s="1678"/>
      <c r="B14" s="3222"/>
      <c r="C14" s="1681" t="s">
        <v>1589</v>
      </c>
      <c r="D14" s="959" t="e">
        <f ca="1">NUMBERSTRING(INT(D13*10000),2)&amp;"元整"</f>
        <v>#REF!</v>
      </c>
      <c r="E14" s="1678"/>
    </row>
    <row r="15" spans="1:5" ht="15">
      <c r="A15" s="1678"/>
      <c r="B15" s="3227"/>
      <c r="C15" s="1682" t="s">
        <v>1599</v>
      </c>
      <c r="D15" s="968" t="e">
        <f ca="1">结果表!H108</f>
        <v>#REF!</v>
      </c>
      <c r="E15" s="1678"/>
    </row>
    <row r="16" spans="1:5" ht="15">
      <c r="A16" s="1678"/>
      <c r="B16" s="3228" t="str">
        <f>结果表!E109</f>
        <v>——</v>
      </c>
      <c r="C16" s="1686" t="s">
        <v>1600</v>
      </c>
      <c r="D16" s="1687" t="str">
        <f>结果表!H109</f>
        <v>——</v>
      </c>
      <c r="E16" s="1678"/>
    </row>
    <row r="17" spans="1:5" ht="15.75">
      <c r="A17" s="1678"/>
      <c r="B17" s="3229"/>
      <c r="C17" s="1681" t="s">
        <v>1601</v>
      </c>
      <c r="D17" s="959" t="e">
        <f>NUMBERSTRING(INT(D16*10000),2)&amp;"元整"</f>
        <v>#VALUE!</v>
      </c>
      <c r="E17" s="1678"/>
    </row>
    <row r="18" spans="1:5" ht="15">
      <c r="A18" s="1678"/>
      <c r="B18" s="3230"/>
      <c r="C18" s="1682" t="s">
        <v>1590</v>
      </c>
      <c r="D18" s="968" t="str">
        <f>结果表!H110</f>
        <v>——</v>
      </c>
      <c r="E18" s="1678"/>
    </row>
    <row r="19" spans="1:5" ht="15.75">
      <c r="A19" s="1678"/>
      <c r="B19" s="3221" t="str">
        <f>结果表!E111</f>
        <v>——</v>
      </c>
      <c r="C19" s="1686" t="s">
        <v>1588</v>
      </c>
      <c r="D19" s="960" t="str">
        <f>结果表!H111</f>
        <v>——</v>
      </c>
      <c r="E19" s="1678"/>
    </row>
    <row r="20" spans="1:5" ht="15.75">
      <c r="A20" s="1678"/>
      <c r="B20" s="3222"/>
      <c r="C20" s="1681" t="s">
        <v>1601</v>
      </c>
      <c r="D20" s="959" t="e">
        <f>NUMBERSTRING(INT(D19*10000),2)&amp;"元整"</f>
        <v>#VALUE!</v>
      </c>
      <c r="E20" s="1678"/>
    </row>
    <row r="21" spans="1:5" ht="15.75" thickBot="1">
      <c r="A21" s="1678"/>
      <c r="B21" s="3223"/>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dimension ref="B2:G4"/>
  <sheetViews>
    <sheetView workbookViewId="0">
      <selection activeCell="G4" sqref="G4"/>
    </sheetView>
  </sheetViews>
  <sheetFormatPr defaultColWidth="8.875" defaultRowHeight="14.25"/>
  <cols>
    <col min="2" max="3" width="12.5" customWidth="1"/>
  </cols>
  <sheetData>
    <row r="2" spans="2:7">
      <c r="B2" t="s">
        <v>3358</v>
      </c>
      <c r="C2" t="s">
        <v>3363</v>
      </c>
      <c r="D2">
        <v>129.68</v>
      </c>
      <c r="E2">
        <v>50123</v>
      </c>
      <c r="F2">
        <v>2008</v>
      </c>
      <c r="G2">
        <f>1-(2023-2008)/70</f>
        <v>0.7857142857142857</v>
      </c>
    </row>
    <row r="3" spans="2:7">
      <c r="B3" t="s">
        <v>3359</v>
      </c>
      <c r="C3" t="s">
        <v>3362</v>
      </c>
      <c r="D3">
        <v>118.99</v>
      </c>
      <c r="E3">
        <v>50013</v>
      </c>
      <c r="F3">
        <v>2020</v>
      </c>
      <c r="G3">
        <f>1-(2023-2020)/70</f>
        <v>0.95714285714285718</v>
      </c>
    </row>
    <row r="4" spans="2:7">
      <c r="B4" t="s">
        <v>3360</v>
      </c>
      <c r="C4" t="s">
        <v>3361</v>
      </c>
      <c r="D4">
        <v>86</v>
      </c>
      <c r="E4">
        <v>52326</v>
      </c>
      <c r="F4">
        <v>2006</v>
      </c>
      <c r="G4">
        <f>1-(2023-2006)/70</f>
        <v>0.75714285714285712</v>
      </c>
    </row>
  </sheetData>
  <phoneticPr fontId="140"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92D050"/>
  </sheetPr>
  <dimension ref="A1:AH115"/>
  <sheetViews>
    <sheetView zoomScale="80" zoomScaleNormal="80" workbookViewId="0">
      <selection activeCell="K20" sqref="K20"/>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1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1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604" t="s">
        <v>1117</v>
      </c>
      <c r="C1" s="3604"/>
      <c r="D1" s="3604"/>
      <c r="E1" s="3604"/>
      <c r="F1" s="3604"/>
      <c r="G1" s="3603" t="s">
        <v>1118</v>
      </c>
      <c r="H1" s="3603"/>
      <c r="I1" s="3603"/>
      <c r="J1" s="3603"/>
      <c r="K1" s="3603"/>
      <c r="L1" s="3603"/>
      <c r="N1" s="3603" t="s">
        <v>1119</v>
      </c>
      <c r="O1" s="3603"/>
      <c r="P1" s="3603"/>
      <c r="Q1" s="3603"/>
      <c r="S1" s="3603" t="s">
        <v>1120</v>
      </c>
      <c r="T1" s="3603"/>
      <c r="U1" s="3603"/>
      <c r="V1" s="3603"/>
      <c r="X1" s="3602" t="s">
        <v>1121</v>
      </c>
      <c r="Y1" s="3603"/>
      <c r="Z1" s="3603"/>
      <c r="AA1" s="3603"/>
      <c r="AB1" s="3603"/>
      <c r="AD1" s="3602" t="s">
        <v>1122</v>
      </c>
      <c r="AE1" s="3603"/>
      <c r="AF1" s="3603"/>
      <c r="AG1" s="3603"/>
      <c r="AH1" s="3603"/>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3245</v>
      </c>
      <c r="B5" s="2415">
        <f>B7*(1+N5)</f>
        <v>481.4103506697644</v>
      </c>
      <c r="C5" s="2415">
        <f>C7*(1+O5)</f>
        <v>347.29066026648707</v>
      </c>
      <c r="D5" s="2415">
        <f t="shared" ref="D5:D6" si="2">C5</f>
        <v>347.29066026648707</v>
      </c>
      <c r="E5" s="2415">
        <f>E7*(1+P5)</f>
        <v>690.85977273901995</v>
      </c>
      <c r="F5" s="2415">
        <f>F7*(1+Q5)</f>
        <v>319.13136737000184</v>
      </c>
      <c r="G5" s="2416">
        <v>2020</v>
      </c>
      <c r="H5" s="2417">
        <v>4</v>
      </c>
      <c r="I5" s="2418">
        <v>0</v>
      </c>
      <c r="J5" s="2418">
        <v>0</v>
      </c>
      <c r="K5" s="2418">
        <v>0</v>
      </c>
      <c r="L5" s="2418">
        <v>0</v>
      </c>
      <c r="N5" s="2420">
        <f t="shared" ref="N5" si="3">I5/100</f>
        <v>0</v>
      </c>
      <c r="O5" s="2420">
        <f t="shared" ref="O5" si="4">J5/100</f>
        <v>0</v>
      </c>
      <c r="P5" s="2420">
        <f t="shared" ref="P5" si="5">K5/100</f>
        <v>0</v>
      </c>
      <c r="Q5" s="2420">
        <f t="shared" ref="Q5" si="6">L5/100</f>
        <v>0</v>
      </c>
      <c r="S5" s="2421"/>
      <c r="W5" s="2422" t="s">
        <v>2855</v>
      </c>
      <c r="X5" s="2423">
        <f>ROUND(IF(项目基本情况!B7="出让",SUMPRODUCT(PRODUCT(1+N5:N$32)),SUMPRODUCT(PRODUCT(1+N5:N$31))),4)</f>
        <v>1.5652999999999999</v>
      </c>
      <c r="Y5" s="2423">
        <f>ROUND(IF(项目基本情况!B7="出让",SUMPRODUCT(PRODUCT(1+O5:O$32)),SUMPRODUCT(PRODUCT(1+O5:O$31))),4)</f>
        <v>1.3472</v>
      </c>
      <c r="Z5" s="2423">
        <f t="shared" ref="Z5:Z6" si="7">Y5</f>
        <v>1.3472</v>
      </c>
      <c r="AA5" s="2423">
        <f>ROUND(IF(项目基本情况!B7="出让",SUMPRODUCT(PRODUCT(1+P5:P$32)),SUMPRODUCT(PRODUCT(1+P5:P$31))),4)</f>
        <v>1.6335999999999999</v>
      </c>
      <c r="AB5" s="2423">
        <f>ROUND(IF(项目基本情况!B7="出让",SUMPRODUCT(PRODUCT(1+Q5:Q$32)),SUMPRODUCT(PRODUCT(1+Q5:Q$31))),4)</f>
        <v>1.3880999999999999</v>
      </c>
      <c r="AD5" s="2424">
        <f>ROUND(AVERAGE(I5:I$32)/100,4)</f>
        <v>1.7299999999999999E-2</v>
      </c>
      <c r="AE5" s="2424">
        <f>ROUND(AVERAGE(J5:J$32)/100,4)</f>
        <v>1.1599999999999999E-2</v>
      </c>
      <c r="AF5" s="2424">
        <f t="shared" ref="AF5:AF6" si="8">AE5</f>
        <v>1.1599999999999999E-2</v>
      </c>
      <c r="AG5" s="2424">
        <f>ROUND(AVERAGE(K5:K$32)/100,4)</f>
        <v>1.9E-2</v>
      </c>
      <c r="AH5" s="2424">
        <f>ROUND(AVERAGE(L5:L$32)/100,4)</f>
        <v>1.23E-2</v>
      </c>
    </row>
    <row r="6" spans="1:34" s="2432" customFormat="1">
      <c r="A6" s="2425" t="s">
        <v>3246</v>
      </c>
      <c r="B6" s="2426">
        <f t="shared" ref="B6" si="9">B7*(1+N6)</f>
        <v>481.4103506697644</v>
      </c>
      <c r="C6" s="2426">
        <f t="shared" ref="C6" si="10">C7*(1+O6)</f>
        <v>347.29066026648707</v>
      </c>
      <c r="D6" s="2426">
        <f t="shared" si="2"/>
        <v>347.29066026648707</v>
      </c>
      <c r="E6" s="2426">
        <f t="shared" ref="E6" si="11">E7*(1+P6)</f>
        <v>690.85977273901995</v>
      </c>
      <c r="F6" s="2426">
        <f t="shared" ref="F6" si="12">F7*(1+Q6)</f>
        <v>319.13136737000184</v>
      </c>
      <c r="G6" s="3129">
        <v>2020</v>
      </c>
      <c r="H6" s="2427">
        <v>3</v>
      </c>
      <c r="I6" s="2389">
        <v>0</v>
      </c>
      <c r="J6" s="2389">
        <v>0</v>
      </c>
      <c r="K6" s="2389">
        <v>0</v>
      </c>
      <c r="L6" s="2390">
        <v>0</v>
      </c>
      <c r="M6" s="2412"/>
      <c r="N6" s="2428">
        <v>0</v>
      </c>
      <c r="O6" s="2413">
        <v>0</v>
      </c>
      <c r="P6" s="2413">
        <v>0</v>
      </c>
      <c r="Q6" s="2413">
        <v>0</v>
      </c>
      <c r="R6" s="2429"/>
      <c r="S6" s="2428"/>
      <c r="T6" s="2413"/>
      <c r="U6" s="2413"/>
      <c r="V6" s="2413"/>
      <c r="W6" s="2430"/>
      <c r="X6" s="2430">
        <f>ROUND(IF(项目基本情况!B7="出让",SUMPRODUCT(PRODUCT(1+N6:N$32)),SUMPRODUCT(PRODUCT(1+N6:N$31))),4)</f>
        <v>1.5652999999999999</v>
      </c>
      <c r="Y6" s="2430">
        <f>ROUND(IF(项目基本情况!B7="出让",SUMPRODUCT(PRODUCT(1+O6:O$32)),SUMPRODUCT(PRODUCT(1+O6:O$31))),4)</f>
        <v>1.3472</v>
      </c>
      <c r="Z6" s="2430">
        <f t="shared" si="7"/>
        <v>1.3472</v>
      </c>
      <c r="AA6" s="2430">
        <f>ROUND(IF(项目基本情况!B7="出让",SUMPRODUCT(PRODUCT(1+P6:P$32)),SUMPRODUCT(PRODUCT(1+P6:P$31))),4)</f>
        <v>1.6335999999999999</v>
      </c>
      <c r="AB6" s="2430">
        <f>ROUND(IF(项目基本情况!B7="出让",SUMPRODUCT(PRODUCT(1+Q6:Q$32)),SUMPRODUCT(PRODUCT(1+Q6:Q$31))),4)</f>
        <v>1.3880999999999999</v>
      </c>
      <c r="AC6" s="2430"/>
      <c r="AD6" s="2431">
        <f>ROUND(AVERAGE(I6:I$32)/100,4)</f>
        <v>1.7899999999999999E-2</v>
      </c>
      <c r="AE6" s="2431">
        <f>ROUND(AVERAGE(J6:J$32)/100,4)</f>
        <v>1.2E-2</v>
      </c>
      <c r="AF6" s="2431">
        <f t="shared" si="8"/>
        <v>1.2E-2</v>
      </c>
      <c r="AG6" s="2431">
        <f>ROUND(AVERAGE(K6:K$32)/100,4)</f>
        <v>1.9699999999999999E-2</v>
      </c>
      <c r="AH6" s="2431">
        <f>ROUND(AVERAGE(L6:L$32)/100,4)</f>
        <v>1.2699999999999999E-2</v>
      </c>
    </row>
    <row r="7" spans="1:34" s="2432" customFormat="1">
      <c r="A7" s="2425" t="s">
        <v>2871</v>
      </c>
      <c r="B7" s="2426">
        <f t="shared" ref="B7" si="13">B8*(1+N7)</f>
        <v>481.4103506697644</v>
      </c>
      <c r="C7" s="2426">
        <f t="shared" ref="C7" si="14">C8*(1+O7)</f>
        <v>347.29066026648707</v>
      </c>
      <c r="D7" s="2426">
        <f t="shared" ref="D7" si="15">C7</f>
        <v>347.29066026648707</v>
      </c>
      <c r="E7" s="2426">
        <f t="shared" ref="E7" si="16">E8*(1+P7)</f>
        <v>690.85977273901995</v>
      </c>
      <c r="F7" s="2426">
        <f t="shared" ref="F7" si="17">F8*(1+Q7)</f>
        <v>319.13136737000184</v>
      </c>
      <c r="G7" s="2416">
        <v>2020</v>
      </c>
      <c r="H7" s="2427">
        <v>2</v>
      </c>
      <c r="I7" s="2389">
        <v>0.31</v>
      </c>
      <c r="J7" s="2389">
        <v>-0.78</v>
      </c>
      <c r="K7" s="2389">
        <v>0.5</v>
      </c>
      <c r="L7" s="2390">
        <v>0.47</v>
      </c>
      <c r="M7" s="2412"/>
      <c r="N7" s="2428">
        <f t="shared" ref="N7" si="18">I7/100</f>
        <v>3.0999999999999999E-3</v>
      </c>
      <c r="O7" s="2413">
        <f t="shared" ref="O7" si="19">J7/100</f>
        <v>-7.8000000000000005E-3</v>
      </c>
      <c r="P7" s="2413">
        <f t="shared" ref="P7" si="20">K7/100</f>
        <v>5.0000000000000001E-3</v>
      </c>
      <c r="Q7" s="2413">
        <f t="shared" ref="Q7" si="21">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22">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23">AE7</f>
        <v>1.2500000000000001E-2</v>
      </c>
      <c r="AG7" s="2431">
        <f>ROUND(AVERAGE(K7:K$32)/100,4)</f>
        <v>2.0400000000000001E-2</v>
      </c>
      <c r="AH7" s="2431">
        <f>ROUND(AVERAGE(L7:L$32)/100,4)</f>
        <v>1.32E-2</v>
      </c>
    </row>
    <row r="8" spans="1:34" s="2432" customFormat="1">
      <c r="A8" s="2425" t="s">
        <v>2869</v>
      </c>
      <c r="B8" s="2426">
        <f t="shared" ref="B8" si="24">B9*(1+N8)</f>
        <v>479.92259063878413</v>
      </c>
      <c r="C8" s="2426">
        <f t="shared" ref="C8" si="25">C9*(1+O8)</f>
        <v>350.02082268341775</v>
      </c>
      <c r="D8" s="2426">
        <f t="shared" ref="D8" si="26">C8</f>
        <v>350.02082268341775</v>
      </c>
      <c r="E8" s="2426">
        <f t="shared" ref="E8" si="27">E9*(1+P8)</f>
        <v>687.42265944181099</v>
      </c>
      <c r="F8" s="2426">
        <f t="shared" ref="F8" si="28">F9*(1+Q8)</f>
        <v>317.63846657708956</v>
      </c>
      <c r="G8" s="2416">
        <v>2020</v>
      </c>
      <c r="H8" s="2427">
        <v>1</v>
      </c>
      <c r="I8" s="2389">
        <v>0.12</v>
      </c>
      <c r="J8" s="2389">
        <v>-0.4</v>
      </c>
      <c r="K8" s="2389">
        <v>0.21</v>
      </c>
      <c r="L8" s="2390">
        <v>0.27</v>
      </c>
      <c r="M8" s="2412"/>
      <c r="N8" s="2428">
        <f t="shared" ref="N8" si="29">I8/100</f>
        <v>1.1999999999999999E-3</v>
      </c>
      <c r="O8" s="2413">
        <f t="shared" ref="O8" si="30">J8/100</f>
        <v>-4.0000000000000001E-3</v>
      </c>
      <c r="P8" s="2413">
        <f t="shared" ref="P8" si="31">K8/100</f>
        <v>2.0999999999999999E-3</v>
      </c>
      <c r="Q8" s="2413">
        <f t="shared" ref="Q8" si="32">L8/100</f>
        <v>2.7000000000000001E-3</v>
      </c>
      <c r="R8" s="2429"/>
      <c r="S8" s="2428">
        <f>B8/B9-1</f>
        <v>1.2000000000000899E-3</v>
      </c>
      <c r="T8" s="2413">
        <f t="shared" ref="T8" si="33">C8/C9-1</f>
        <v>-4.0000000000000036E-3</v>
      </c>
      <c r="U8" s="2413">
        <f t="shared" ref="U8" si="34">D8/D9-1</f>
        <v>-4.0000000000000036E-3</v>
      </c>
      <c r="V8" s="2413">
        <f t="shared" ref="V8" si="35">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36">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37">AE8</f>
        <v>1.3299999999999999E-2</v>
      </c>
      <c r="AG8" s="2431">
        <f>ROUND(AVERAGE(K8:K$32)/100,4)</f>
        <v>2.1100000000000001E-2</v>
      </c>
      <c r="AH8" s="2431">
        <f>ROUND(AVERAGE(L8:L$32)/100,4)</f>
        <v>1.3599999999999999E-2</v>
      </c>
    </row>
    <row r="9" spans="1:34" s="2432" customFormat="1">
      <c r="A9" s="2425" t="s">
        <v>2868</v>
      </c>
      <c r="B9" s="2426">
        <f t="shared" ref="B9" si="38">B10*(1+N9)</f>
        <v>479.34737379023579</v>
      </c>
      <c r="C9" s="2426">
        <f t="shared" ref="C9" si="39">C10*(1+O9)</f>
        <v>351.4265287986122</v>
      </c>
      <c r="D9" s="2426">
        <f t="shared" ref="D9" si="40">C9</f>
        <v>351.4265287986122</v>
      </c>
      <c r="E9" s="2426">
        <f t="shared" ref="E9" si="41">E10*(1+P9)</f>
        <v>685.98209703803116</v>
      </c>
      <c r="F9" s="2426">
        <f t="shared" ref="F9" si="42">F10*(1+Q9)</f>
        <v>316.78315206651001</v>
      </c>
      <c r="G9" s="2416">
        <v>2019</v>
      </c>
      <c r="H9" s="2427">
        <v>4</v>
      </c>
      <c r="I9" s="2427">
        <v>0.45</v>
      </c>
      <c r="J9" s="2427">
        <v>-0.12</v>
      </c>
      <c r="K9" s="2427">
        <v>0.54</v>
      </c>
      <c r="L9" s="2433">
        <v>0.48</v>
      </c>
      <c r="M9" s="2412"/>
      <c r="N9" s="2428">
        <f t="shared" ref="N9:N14" si="43">I9/100</f>
        <v>4.5000000000000005E-3</v>
      </c>
      <c r="O9" s="2413">
        <f t="shared" ref="O9" si="44">J9/100</f>
        <v>-1.1999999999999999E-3</v>
      </c>
      <c r="P9" s="2413">
        <f t="shared" ref="P9" si="45">K9/100</f>
        <v>5.4000000000000003E-3</v>
      </c>
      <c r="Q9" s="2413">
        <f t="shared" ref="Q9" si="46">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47">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48">AE9</f>
        <v>1.4E-2</v>
      </c>
      <c r="AG9" s="2431">
        <f>ROUND(AVERAGE(K9:K$32)/100,4)</f>
        <v>2.1899999999999999E-2</v>
      </c>
      <c r="AH9" s="2431">
        <f>ROUND(AVERAGE(L9:L$32)/100,4)</f>
        <v>1.4E-2</v>
      </c>
    </row>
    <row r="10" spans="1:34" s="2432" customFormat="1" ht="13.5" thickBot="1">
      <c r="A10" s="2425" t="s">
        <v>2867</v>
      </c>
      <c r="B10" s="2426">
        <f t="shared" ref="B10" si="49">B11*(1+N10)</f>
        <v>477.19997390765138</v>
      </c>
      <c r="C10" s="2426">
        <f t="shared" ref="C10" si="50">C11*(1+O10)</f>
        <v>351.84874729536665</v>
      </c>
      <c r="D10" s="2426">
        <f t="shared" ref="D10" si="51">C10</f>
        <v>351.84874729536665</v>
      </c>
      <c r="E10" s="2426">
        <f t="shared" ref="E10" si="52">E11*(1+P10)</f>
        <v>682.29768951465201</v>
      </c>
      <c r="F10" s="2426">
        <f t="shared" ref="F10" si="53">F11*(1+Q10)</f>
        <v>315.26985675409043</v>
      </c>
      <c r="G10" s="2416">
        <v>2019</v>
      </c>
      <c r="H10" s="2427">
        <v>3</v>
      </c>
      <c r="I10" s="2427">
        <v>0.61</v>
      </c>
      <c r="J10" s="2427">
        <v>0.67</v>
      </c>
      <c r="K10" s="2427">
        <v>0.6</v>
      </c>
      <c r="L10" s="2433">
        <v>1.03</v>
      </c>
      <c r="M10" s="2412"/>
      <c r="N10" s="2428">
        <f t="shared" si="43"/>
        <v>6.0999999999999995E-3</v>
      </c>
      <c r="O10" s="2413">
        <f t="shared" ref="O10" si="54">J10/100</f>
        <v>6.7000000000000002E-3</v>
      </c>
      <c r="P10" s="2413">
        <f t="shared" ref="P10" si="55">K10/100</f>
        <v>6.0000000000000001E-3</v>
      </c>
      <c r="Q10" s="2413">
        <f t="shared" ref="Q10" si="56">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57">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58">AE10</f>
        <v>1.47E-2</v>
      </c>
      <c r="AG10" s="2431">
        <f>ROUND(AVERAGE(K10:K$32)/100,4)</f>
        <v>2.2599999999999999E-2</v>
      </c>
      <c r="AH10" s="2431">
        <f>ROUND(AVERAGE(L10:L$32)/100,4)</f>
        <v>1.44E-2</v>
      </c>
    </row>
    <row r="11" spans="1:34" s="2432" customFormat="1">
      <c r="A11" s="2425" t="s">
        <v>2865</v>
      </c>
      <c r="B11" s="2426">
        <f t="shared" ref="B11" si="59">B12*(1+N11)</f>
        <v>474.30670301923408</v>
      </c>
      <c r="C11" s="2426">
        <f t="shared" ref="C11" si="60">C12*(1+O11)</f>
        <v>349.50705005996491</v>
      </c>
      <c r="D11" s="2426">
        <f t="shared" ref="D11" si="61">C11</f>
        <v>349.50705005996491</v>
      </c>
      <c r="E11" s="2426">
        <f t="shared" ref="E11" si="62">E12*(1+P11)</f>
        <v>678.22831959706957</v>
      </c>
      <c r="F11" s="2426">
        <f t="shared" ref="F11" si="63">F12*(1+Q11)</f>
        <v>312.0556832169558</v>
      </c>
      <c r="G11" s="2416">
        <v>2019</v>
      </c>
      <c r="H11" s="2434">
        <v>2</v>
      </c>
      <c r="I11" s="2434">
        <v>1.53</v>
      </c>
      <c r="J11" s="2434">
        <v>1.01</v>
      </c>
      <c r="K11" s="2434">
        <v>1.62</v>
      </c>
      <c r="L11" s="2435">
        <v>1.25</v>
      </c>
      <c r="M11" s="2412"/>
      <c r="N11" s="2428">
        <f t="shared" si="43"/>
        <v>1.5300000000000001E-2</v>
      </c>
      <c r="O11" s="2413">
        <f t="shared" ref="O11" si="64">J11/100</f>
        <v>1.01E-2</v>
      </c>
      <c r="P11" s="2413">
        <f t="shared" ref="P11" si="65">K11/100</f>
        <v>1.6200000000000003E-2</v>
      </c>
      <c r="Q11" s="2413">
        <f t="shared" ref="Q11" si="66">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67">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68">AE11</f>
        <v>1.4999999999999999E-2</v>
      </c>
      <c r="AG11" s="2431">
        <f>ROUND(AVERAGE(K11:K$32)/100,4)</f>
        <v>2.3300000000000001E-2</v>
      </c>
      <c r="AH11" s="2431">
        <f>ROUND(AVERAGE(L11:L$32)/100,4)</f>
        <v>1.46E-2</v>
      </c>
    </row>
    <row r="12" spans="1:34" s="2432" customFormat="1" ht="13.5" thickBot="1">
      <c r="A12" s="2425" t="s">
        <v>2863</v>
      </c>
      <c r="B12" s="2426">
        <f t="shared" ref="B12" si="69">B13*(1+N12)</f>
        <v>467.15916775261894</v>
      </c>
      <c r="C12" s="2426">
        <f t="shared" ref="C12" si="70">C13*(1+O12)</f>
        <v>346.01232557169084</v>
      </c>
      <c r="D12" s="2426">
        <f t="shared" ref="D12" si="71">C12</f>
        <v>346.01232557169084</v>
      </c>
      <c r="E12" s="2426">
        <f t="shared" ref="E12" si="72">E13*(1+P12)</f>
        <v>667.41617752122568</v>
      </c>
      <c r="F12" s="2426">
        <f t="shared" ref="F12" si="73">F13*(1+Q12)</f>
        <v>308.20314391798104</v>
      </c>
      <c r="G12" s="2416">
        <v>2019</v>
      </c>
      <c r="H12" s="2427">
        <v>1</v>
      </c>
      <c r="I12" s="2427">
        <v>0.6</v>
      </c>
      <c r="J12" s="2427">
        <v>0.37</v>
      </c>
      <c r="K12" s="2427">
        <v>0.63</v>
      </c>
      <c r="L12" s="2433">
        <v>1.1299999999999999</v>
      </c>
      <c r="M12" s="2412"/>
      <c r="N12" s="2428">
        <f t="shared" si="43"/>
        <v>6.0000000000000001E-3</v>
      </c>
      <c r="O12" s="2413">
        <f t="shared" ref="O12" si="74">J12/100</f>
        <v>3.7000000000000002E-3</v>
      </c>
      <c r="P12" s="2413">
        <f t="shared" ref="P12" si="75">K12/100</f>
        <v>6.3E-3</v>
      </c>
      <c r="Q12" s="2413">
        <f t="shared" ref="Q12" si="76">L12/100</f>
        <v>1.1299999999999999E-2</v>
      </c>
      <c r="R12" s="2429"/>
      <c r="S12" s="2428">
        <f>B12/B13-1</f>
        <v>6.0000000000000053E-3</v>
      </c>
      <c r="T12" s="2413">
        <f t="shared" ref="T12" si="77">C12/C13-1</f>
        <v>3.7000000000000366E-3</v>
      </c>
      <c r="U12" s="2413">
        <f t="shared" ref="U12" si="78">D12/D13-1</f>
        <v>3.7000000000000366E-3</v>
      </c>
      <c r="V12" s="2413">
        <f t="shared" ref="V12" si="79">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80">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81">AE12</f>
        <v>1.5299999999999999E-2</v>
      </c>
      <c r="AG12" s="2431">
        <f>ROUND(AVERAGE(K12:K$32)/100,4)</f>
        <v>2.3699999999999999E-2</v>
      </c>
      <c r="AH12" s="2431">
        <f>ROUND(AVERAGE(L12:L$32)/100,4)</f>
        <v>1.47E-2</v>
      </c>
    </row>
    <row r="13" spans="1:34" s="2432" customFormat="1">
      <c r="A13" s="2425" t="s">
        <v>2866</v>
      </c>
      <c r="B13" s="2436">
        <f t="shared" ref="B13" si="82">B14*(1+N13)</f>
        <v>464.37293017158942</v>
      </c>
      <c r="C13" s="2436">
        <f t="shared" ref="C13" si="83">C14*(1+O13)</f>
        <v>344.73679941385956</v>
      </c>
      <c r="D13" s="2436">
        <f t="shared" ref="D13" si="84">C13</f>
        <v>344.73679941385956</v>
      </c>
      <c r="E13" s="2436">
        <f t="shared" ref="E13" si="85">E14*(1+P13)</f>
        <v>663.2377795103107</v>
      </c>
      <c r="F13" s="2437">
        <f t="shared" ref="F13" si="86">F14*(1+Q13)</f>
        <v>304.75936311478398</v>
      </c>
      <c r="G13" s="3600">
        <v>2018</v>
      </c>
      <c r="H13" s="2434">
        <v>4</v>
      </c>
      <c r="I13" s="2434">
        <v>0.96</v>
      </c>
      <c r="J13" s="2434">
        <v>1.03</v>
      </c>
      <c r="K13" s="2434">
        <v>0.92</v>
      </c>
      <c r="L13" s="2435">
        <v>1.29</v>
      </c>
      <c r="M13" s="2412"/>
      <c r="N13" s="2428">
        <f t="shared" si="43"/>
        <v>9.5999999999999992E-3</v>
      </c>
      <c r="O13" s="2413">
        <f t="shared" ref="O13" si="87">J13/100</f>
        <v>1.03E-2</v>
      </c>
      <c r="P13" s="2413">
        <f t="shared" ref="P13" si="88">K13/100</f>
        <v>9.1999999999999998E-3</v>
      </c>
      <c r="Q13" s="2413">
        <f t="shared" ref="Q13" si="89">L13/100</f>
        <v>1.29E-2</v>
      </c>
      <c r="R13" s="2429"/>
      <c r="S13" s="2428"/>
      <c r="T13" s="2413"/>
      <c r="U13" s="2413"/>
      <c r="V13" s="2413"/>
      <c r="W13" s="2430"/>
      <c r="X13" s="2430">
        <f>ROUND(SUMPRODUCT(PRODUCT(1+N13:N$31)),4)</f>
        <v>1.5099</v>
      </c>
      <c r="Y13" s="2430">
        <f>ROUND(SUMPRODUCT(PRODUCT(1+O13:O$31)),4)</f>
        <v>1.3372999999999999</v>
      </c>
      <c r="Z13" s="2430">
        <f t="shared" ref="Z13" si="90">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91">AE13</f>
        <v>1.5800000000000002E-2</v>
      </c>
      <c r="AG13" s="2431">
        <f>ROUND(AVERAGE(K13:K$32)/100,4)</f>
        <v>2.4500000000000001E-2</v>
      </c>
      <c r="AH13" s="2431">
        <f>ROUND(AVERAGE(L13:L$32)/100,4)</f>
        <v>1.49E-2</v>
      </c>
    </row>
    <row r="14" spans="1:34" s="2432" customFormat="1" ht="14.45" customHeight="1">
      <c r="A14" s="2425" t="s">
        <v>2861</v>
      </c>
      <c r="B14" s="2426">
        <f t="shared" ref="B14" si="92">B15*(1+N14)</f>
        <v>459.95733971036987</v>
      </c>
      <c r="C14" s="2426">
        <f t="shared" ref="C14" si="93">C15*(1+O14)</f>
        <v>341.22221064422405</v>
      </c>
      <c r="D14" s="2426">
        <f t="shared" ref="D14" si="94">C14</f>
        <v>341.22221064422405</v>
      </c>
      <c r="E14" s="2426">
        <f t="shared" ref="E14" si="95">E15*(1+P14)</f>
        <v>657.19161663724799</v>
      </c>
      <c r="F14" s="2426">
        <f t="shared" ref="F14" si="96">F15*(1+Q14)</f>
        <v>300.87803644464805</v>
      </c>
      <c r="G14" s="3600"/>
      <c r="H14" s="2427">
        <v>3</v>
      </c>
      <c r="I14" s="2427">
        <v>1.51</v>
      </c>
      <c r="J14" s="2427">
        <v>1.41</v>
      </c>
      <c r="K14" s="2427">
        <v>1.52</v>
      </c>
      <c r="L14" s="2433">
        <v>1.74</v>
      </c>
      <c r="M14" s="2412"/>
      <c r="N14" s="2428">
        <f t="shared" si="43"/>
        <v>1.5100000000000001E-2</v>
      </c>
      <c r="O14" s="2413">
        <f t="shared" ref="O14" si="97">J14/100</f>
        <v>1.41E-2</v>
      </c>
      <c r="P14" s="2413">
        <f t="shared" ref="P14" si="98">K14/100</f>
        <v>1.52E-2</v>
      </c>
      <c r="Q14" s="2413">
        <f t="shared" ref="Q14" si="99">L14/100</f>
        <v>1.7399999999999999E-2</v>
      </c>
      <c r="R14" s="2429"/>
      <c r="S14" s="2428"/>
      <c r="T14" s="2413"/>
      <c r="U14" s="2413"/>
      <c r="V14" s="2413"/>
      <c r="W14" s="2430"/>
      <c r="X14" s="2430">
        <f>ROUND(SUMPRODUCT(PRODUCT(1+N14:N$31)),4)</f>
        <v>1.4956</v>
      </c>
      <c r="Y14" s="2430">
        <f>ROUND(SUMPRODUCT(PRODUCT(1+O14:O$31)),4)</f>
        <v>1.3237000000000001</v>
      </c>
      <c r="Z14" s="2430">
        <f t="shared" ref="Z14" si="100">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01">AE14</f>
        <v>1.61E-2</v>
      </c>
      <c r="AG14" s="2431">
        <f>ROUND(AVERAGE(K14:K$32)/100,4)</f>
        <v>2.53E-2</v>
      </c>
      <c r="AH14" s="2431">
        <f>ROUND(AVERAGE(L14:L$32)/100,4)</f>
        <v>1.4999999999999999E-2</v>
      </c>
    </row>
    <row r="15" spans="1:34" s="2432" customFormat="1" ht="14.45" customHeight="1">
      <c r="A15" s="2425" t="s">
        <v>2860</v>
      </c>
      <c r="B15" s="2426">
        <f t="shared" ref="B15" si="102">B16*(1+N15)</f>
        <v>453.11529869999993</v>
      </c>
      <c r="C15" s="2426">
        <f t="shared" ref="C15" si="103">C16*(1+O15)</f>
        <v>336.47787264000004</v>
      </c>
      <c r="D15" s="2426">
        <f t="shared" ref="D15" si="104">C15</f>
        <v>336.47787264000004</v>
      </c>
      <c r="E15" s="2426">
        <f t="shared" ref="E15" si="105">E16*(1+P15)</f>
        <v>647.35186823999993</v>
      </c>
      <c r="F15" s="2426">
        <f t="shared" ref="F15" si="106">F16*(1+Q15)</f>
        <v>295.73229452000004</v>
      </c>
      <c r="G15" s="3600"/>
      <c r="H15" s="2438">
        <v>2</v>
      </c>
      <c r="I15" s="2438">
        <v>1.49</v>
      </c>
      <c r="J15" s="2438">
        <v>0.96</v>
      </c>
      <c r="K15" s="2438">
        <v>1.58</v>
      </c>
      <c r="L15" s="2439">
        <v>2.44</v>
      </c>
      <c r="M15" s="2412"/>
      <c r="N15" s="2428">
        <f t="shared" ref="N15" si="107">I15/100</f>
        <v>1.49E-2</v>
      </c>
      <c r="O15" s="2413">
        <f t="shared" ref="O15" si="108">J15/100</f>
        <v>9.5999999999999992E-3</v>
      </c>
      <c r="P15" s="2413">
        <f t="shared" ref="P15" si="109">K15/100</f>
        <v>1.5800000000000002E-2</v>
      </c>
      <c r="Q15" s="2413">
        <f t="shared" ref="Q15" si="110">L15/100</f>
        <v>2.4399999999999998E-2</v>
      </c>
      <c r="R15" s="2429"/>
      <c r="S15" s="2428"/>
      <c r="T15" s="2413"/>
      <c r="U15" s="2413"/>
      <c r="V15" s="2413"/>
      <c r="W15" s="2430"/>
      <c r="X15" s="2430">
        <f>ROUND(SUMPRODUCT(PRODUCT(1+N15:N$31)),4)</f>
        <v>1.4733000000000001</v>
      </c>
      <c r="Y15" s="2430">
        <f>ROUND(SUMPRODUCT(PRODUCT(1+O15:O$31)),4)</f>
        <v>1.3052999999999999</v>
      </c>
      <c r="Z15" s="2430">
        <f t="shared" ref="Z15" si="111">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12">AE15</f>
        <v>1.6199999999999999E-2</v>
      </c>
      <c r="AG15" s="2431">
        <f>ROUND(AVERAGE(K15:K$32)/100,4)</f>
        <v>2.5899999999999999E-2</v>
      </c>
      <c r="AH15" s="2431">
        <f>ROUND(AVERAGE(L15:L$32)/100,4)</f>
        <v>1.49E-2</v>
      </c>
    </row>
    <row r="16" spans="1:34" s="2432" customFormat="1" ht="15" customHeight="1" thickBot="1">
      <c r="A16" s="2425" t="s">
        <v>2853</v>
      </c>
      <c r="B16" s="2426">
        <f t="shared" ref="B16" si="113">B17*(1+N16)</f>
        <v>446.46299999999997</v>
      </c>
      <c r="C16" s="2426">
        <f t="shared" ref="C16" si="114">C17*(1+O16)</f>
        <v>333.27840000000003</v>
      </c>
      <c r="D16" s="2426">
        <f t="shared" ref="D16" si="115">C16</f>
        <v>333.27840000000003</v>
      </c>
      <c r="E16" s="2426">
        <f t="shared" ref="E16" si="116">E17*(1+P16)</f>
        <v>637.28279999999995</v>
      </c>
      <c r="F16" s="2426">
        <f t="shared" ref="F16" si="117">F17*(1+Q16)</f>
        <v>288.68830000000003</v>
      </c>
      <c r="G16" s="3609"/>
      <c r="H16" s="2427">
        <v>1</v>
      </c>
      <c r="I16" s="2427">
        <v>1.7</v>
      </c>
      <c r="J16" s="2427">
        <v>1.92</v>
      </c>
      <c r="K16" s="2427">
        <v>1.64</v>
      </c>
      <c r="L16" s="2433">
        <v>2.0099999999999998</v>
      </c>
      <c r="M16" s="2412"/>
      <c r="N16" s="2428">
        <f t="shared" ref="N16:N21" si="118">I16/100</f>
        <v>1.7000000000000001E-2</v>
      </c>
      <c r="O16" s="2413">
        <f t="shared" ref="O16" si="119">J16/100</f>
        <v>1.9199999999999998E-2</v>
      </c>
      <c r="P16" s="2413">
        <f t="shared" ref="P16" si="120">K16/100</f>
        <v>1.6399999999999998E-2</v>
      </c>
      <c r="Q16" s="2413">
        <f t="shared" ref="Q16" si="121">L16/100</f>
        <v>2.0099999999999996E-2</v>
      </c>
      <c r="R16" s="2429"/>
      <c r="S16" s="2428">
        <f>B16/B17-1</f>
        <v>1.6999999999999904E-2</v>
      </c>
      <c r="T16" s="2413">
        <f t="shared" ref="T16" si="122">C16/C17-1</f>
        <v>1.9200000000000106E-2</v>
      </c>
      <c r="U16" s="2413">
        <f t="shared" ref="U16" si="123">D16/D17-1</f>
        <v>1.9200000000000106E-2</v>
      </c>
      <c r="V16" s="2413">
        <f t="shared" ref="V16" si="124">E16/E17-1</f>
        <v>1.639999999999997E-2</v>
      </c>
      <c r="W16" s="2430"/>
      <c r="X16" s="2430">
        <f>ROUND(SUMPRODUCT(PRODUCT(1+N16:N$31)),4)</f>
        <v>1.4517</v>
      </c>
      <c r="Y16" s="2430">
        <f>ROUND(SUMPRODUCT(PRODUCT(1+O16:O$31)),4)</f>
        <v>1.2928999999999999</v>
      </c>
      <c r="Z16" s="2430">
        <f t="shared" ref="Z16" si="125">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26">AE16</f>
        <v>1.66E-2</v>
      </c>
      <c r="AG16" s="2431">
        <f>ROUND(AVERAGE(K16:K$32)/100,4)</f>
        <v>2.6499999999999999E-2</v>
      </c>
      <c r="AH16" s="2431">
        <f>ROUND(AVERAGE(L16:L$32)/100,4)</f>
        <v>1.43E-2</v>
      </c>
    </row>
    <row r="17" spans="1:34">
      <c r="A17" s="2425" t="s">
        <v>2851</v>
      </c>
      <c r="B17" s="2440">
        <v>439</v>
      </c>
      <c r="C17" s="2440">
        <v>327</v>
      </c>
      <c r="D17" s="2440">
        <f>C17</f>
        <v>327</v>
      </c>
      <c r="E17" s="2440">
        <v>627</v>
      </c>
      <c r="F17" s="2441">
        <v>283</v>
      </c>
      <c r="G17" s="3605">
        <v>2017</v>
      </c>
      <c r="H17" s="2434">
        <v>4</v>
      </c>
      <c r="I17" s="2434">
        <v>1.71</v>
      </c>
      <c r="J17" s="2434">
        <v>1.78</v>
      </c>
      <c r="K17" s="2434">
        <v>1.71</v>
      </c>
      <c r="L17" s="2435">
        <v>1.43</v>
      </c>
      <c r="N17" s="2428">
        <f t="shared" si="118"/>
        <v>1.7100000000000001E-2</v>
      </c>
      <c r="O17" s="2413">
        <f t="shared" ref="O17" si="127">J17/100</f>
        <v>1.78E-2</v>
      </c>
      <c r="P17" s="2413">
        <f t="shared" ref="P17" si="128">K17/100</f>
        <v>1.7100000000000001E-2</v>
      </c>
      <c r="Q17" s="2413">
        <f t="shared" ref="Q17" si="129">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2852</v>
      </c>
      <c r="B18" s="2426">
        <f t="shared" ref="B18:B19" si="130">B19*(1+N18)</f>
        <v>431.80730811680002</v>
      </c>
      <c r="C18" s="2426">
        <f t="shared" ref="C18:C19" si="131">C19*(1+O18)</f>
        <v>320.57880516480003</v>
      </c>
      <c r="D18" s="2426">
        <f t="shared" ref="D18:D19" si="132">C18</f>
        <v>320.57880516480003</v>
      </c>
      <c r="E18" s="2426">
        <f t="shared" ref="E18:E19" si="133">E19*(1+P18)</f>
        <v>615.96110553196797</v>
      </c>
      <c r="F18" s="2426">
        <f t="shared" ref="F18:F19" si="134">F19*(1+Q18)</f>
        <v>279.46777300108801</v>
      </c>
      <c r="G18" s="3600"/>
      <c r="H18" s="2427">
        <v>3</v>
      </c>
      <c r="I18" s="2427">
        <v>2.98</v>
      </c>
      <c r="J18" s="2427">
        <v>2.11</v>
      </c>
      <c r="K18" s="2427">
        <v>3.24</v>
      </c>
      <c r="L18" s="2433">
        <v>1.72</v>
      </c>
      <c r="M18" s="2412"/>
      <c r="N18" s="2428">
        <f t="shared" si="118"/>
        <v>2.98E-2</v>
      </c>
      <c r="O18" s="2413">
        <f t="shared" ref="O18" si="135">J18/100</f>
        <v>2.1099999999999997E-2</v>
      </c>
      <c r="P18" s="2413">
        <f t="shared" ref="P18" si="136">K18/100</f>
        <v>3.2400000000000005E-2</v>
      </c>
      <c r="Q18" s="2413">
        <f t="shared" ref="Q18" si="137">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30"/>
        <v>419.31181600000002</v>
      </c>
      <c r="C19" s="2426">
        <f t="shared" si="131"/>
        <v>313.95436800000004</v>
      </c>
      <c r="D19" s="2426">
        <f t="shared" si="132"/>
        <v>313.95436800000004</v>
      </c>
      <c r="E19" s="2426">
        <f t="shared" si="133"/>
        <v>596.63028431999999</v>
      </c>
      <c r="F19" s="2426">
        <f t="shared" si="134"/>
        <v>274.74220703999998</v>
      </c>
      <c r="G19" s="3600"/>
      <c r="H19" s="2438">
        <v>2</v>
      </c>
      <c r="I19" s="2438">
        <v>3.4</v>
      </c>
      <c r="J19" s="2438">
        <v>2</v>
      </c>
      <c r="K19" s="2438">
        <v>3.82</v>
      </c>
      <c r="L19" s="2439">
        <v>1.68</v>
      </c>
      <c r="M19" s="2412"/>
      <c r="N19" s="2428">
        <f t="shared" si="118"/>
        <v>3.4000000000000002E-2</v>
      </c>
      <c r="O19" s="2413">
        <f t="shared" ref="O19" si="138">J19/100</f>
        <v>0.02</v>
      </c>
      <c r="P19" s="2413">
        <f t="shared" ref="P19" si="139">K19/100</f>
        <v>3.8199999999999998E-2</v>
      </c>
      <c r="Q19" s="2413">
        <f t="shared" ref="Q19" si="140">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609"/>
      <c r="H20" s="2427">
        <v>1</v>
      </c>
      <c r="I20" s="2427">
        <v>3.45</v>
      </c>
      <c r="J20" s="2427">
        <v>1.92</v>
      </c>
      <c r="K20" s="2427">
        <v>3.92</v>
      </c>
      <c r="L20" s="2433">
        <v>1.58</v>
      </c>
      <c r="M20" s="2412"/>
      <c r="N20" s="2428">
        <f t="shared" si="118"/>
        <v>3.4500000000000003E-2</v>
      </c>
      <c r="O20" s="2413">
        <f t="shared" ref="O20:Q35" si="141">J20/100</f>
        <v>1.9199999999999998E-2</v>
      </c>
      <c r="P20" s="2413">
        <f t="shared" si="141"/>
        <v>3.9199999999999999E-2</v>
      </c>
      <c r="Q20" s="2413">
        <f t="shared" si="141"/>
        <v>1.5800000000000002E-2</v>
      </c>
      <c r="R20" s="2429"/>
      <c r="S20" s="2428">
        <f>B20/B21-1</f>
        <v>3.4499999999999975E-2</v>
      </c>
      <c r="T20" s="2413">
        <f t="shared" ref="T20:V20" si="142">C20/C21-1</f>
        <v>1.9200000000000106E-2</v>
      </c>
      <c r="U20" s="2413">
        <f t="shared" si="142"/>
        <v>1.9200000000000106E-2</v>
      </c>
      <c r="V20" s="2413">
        <f t="shared" si="142"/>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605">
        <v>2016</v>
      </c>
      <c r="H21" s="2434">
        <v>4</v>
      </c>
      <c r="I21" s="2434">
        <v>4.5599999999999996</v>
      </c>
      <c r="J21" s="2434">
        <v>2.15</v>
      </c>
      <c r="K21" s="2434">
        <v>5.32</v>
      </c>
      <c r="L21" s="2435">
        <v>1.57</v>
      </c>
      <c r="N21" s="2428">
        <f t="shared" si="118"/>
        <v>4.5599999999999995E-2</v>
      </c>
      <c r="O21" s="2413">
        <f t="shared" si="141"/>
        <v>2.1499999999999998E-2</v>
      </c>
      <c r="P21" s="2413">
        <f t="shared" si="141"/>
        <v>5.3200000000000004E-2</v>
      </c>
      <c r="Q21" s="2413">
        <f t="shared" si="141"/>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43">B21/(1+N21)</f>
        <v>374.90436113236416</v>
      </c>
      <c r="C22" s="2426">
        <f t="shared" si="143"/>
        <v>295.64366128242779</v>
      </c>
      <c r="D22" s="2426">
        <f t="shared" ref="D22:D81" si="144">C22</f>
        <v>295.64366128242779</v>
      </c>
      <c r="E22" s="2426">
        <f t="shared" ref="E22:F24" si="145">E21/(1+P21)</f>
        <v>525.06646410938095</v>
      </c>
      <c r="F22" s="2426">
        <f t="shared" si="145"/>
        <v>261.88835286009646</v>
      </c>
      <c r="G22" s="3600"/>
      <c r="H22" s="2427">
        <v>3</v>
      </c>
      <c r="I22" s="2427">
        <v>4.12</v>
      </c>
      <c r="J22" s="2427">
        <v>2</v>
      </c>
      <c r="K22" s="2427">
        <v>4.79</v>
      </c>
      <c r="L22" s="2433">
        <v>1.97</v>
      </c>
      <c r="N22" s="2428">
        <f t="shared" ref="N22:Q56" si="146">I22/100</f>
        <v>4.1200000000000001E-2</v>
      </c>
      <c r="O22" s="2413">
        <f t="shared" si="141"/>
        <v>0.02</v>
      </c>
      <c r="P22" s="2413">
        <f t="shared" si="141"/>
        <v>4.7899999999999998E-2</v>
      </c>
      <c r="Q22" s="2413">
        <f t="shared" si="141"/>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43"/>
        <v>360.06949782209392</v>
      </c>
      <c r="C23" s="2426">
        <f t="shared" si="143"/>
        <v>289.84672674747821</v>
      </c>
      <c r="D23" s="2426">
        <f t="shared" si="144"/>
        <v>289.84672674747821</v>
      </c>
      <c r="E23" s="2426">
        <f t="shared" si="145"/>
        <v>501.06543001181495</v>
      </c>
      <c r="F23" s="2426">
        <f t="shared" si="145"/>
        <v>256.82882500744967</v>
      </c>
      <c r="G23" s="3600"/>
      <c r="H23" s="2438">
        <v>2</v>
      </c>
      <c r="I23" s="2438">
        <v>3.85</v>
      </c>
      <c r="J23" s="2438">
        <v>1.95</v>
      </c>
      <c r="K23" s="2438">
        <v>4.4800000000000004</v>
      </c>
      <c r="L23" s="2439">
        <v>1.41</v>
      </c>
      <c r="N23" s="2428">
        <f t="shared" si="146"/>
        <v>3.85E-2</v>
      </c>
      <c r="O23" s="2413">
        <f t="shared" si="141"/>
        <v>1.95E-2</v>
      </c>
      <c r="P23" s="2413">
        <f t="shared" si="141"/>
        <v>4.4800000000000006E-2</v>
      </c>
      <c r="Q23" s="2413">
        <f t="shared" si="141"/>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43"/>
        <v>346.720748986128</v>
      </c>
      <c r="C24" s="2426">
        <f t="shared" si="143"/>
        <v>284.30282172386285</v>
      </c>
      <c r="D24" s="2426">
        <f t="shared" si="144"/>
        <v>284.30282172386285</v>
      </c>
      <c r="E24" s="2426">
        <f t="shared" si="145"/>
        <v>479.58023546306947</v>
      </c>
      <c r="F24" s="2426">
        <f t="shared" si="145"/>
        <v>253.25788877571213</v>
      </c>
      <c r="G24" s="3601"/>
      <c r="H24" s="2427">
        <v>1</v>
      </c>
      <c r="I24" s="2427">
        <v>4.09</v>
      </c>
      <c r="J24" s="2427">
        <v>2.93</v>
      </c>
      <c r="K24" s="2427">
        <v>4.54</v>
      </c>
      <c r="L24" s="2433">
        <v>1.48</v>
      </c>
      <c r="N24" s="2428">
        <f t="shared" si="146"/>
        <v>4.0899999999999999E-2</v>
      </c>
      <c r="O24" s="2413">
        <f t="shared" si="141"/>
        <v>2.9300000000000003E-2</v>
      </c>
      <c r="P24" s="2413">
        <f t="shared" si="141"/>
        <v>4.5400000000000003E-2</v>
      </c>
      <c r="Q24" s="2413">
        <f t="shared" si="141"/>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44"/>
        <v>277</v>
      </c>
      <c r="E25" s="2440">
        <v>459</v>
      </c>
      <c r="F25" s="2441">
        <v>249</v>
      </c>
      <c r="G25" s="3599">
        <v>2015</v>
      </c>
      <c r="H25" s="2446">
        <v>4</v>
      </c>
      <c r="I25" s="2446">
        <v>1.63</v>
      </c>
      <c r="J25" s="2446">
        <v>1.1100000000000001</v>
      </c>
      <c r="K25" s="2446">
        <v>1.77</v>
      </c>
      <c r="L25" s="2447">
        <v>1.89</v>
      </c>
      <c r="N25" s="2448">
        <f t="shared" si="146"/>
        <v>1.6299999999999999E-2</v>
      </c>
      <c r="O25" s="2449">
        <f t="shared" si="141"/>
        <v>1.11E-2</v>
      </c>
      <c r="P25" s="2449">
        <f t="shared" si="141"/>
        <v>1.77E-2</v>
      </c>
      <c r="Q25" s="2449">
        <f t="shared" si="141"/>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47">B25/(1+N25)</f>
        <v>327.65915576109415</v>
      </c>
      <c r="C26" s="2426">
        <f t="shared" si="147"/>
        <v>273.95905449510434</v>
      </c>
      <c r="D26" s="2426">
        <f t="shared" si="144"/>
        <v>273.95905449510434</v>
      </c>
      <c r="E26" s="2426">
        <f t="shared" ref="E26:F28" si="148">E25/(1+P25)</f>
        <v>451.01699911565294</v>
      </c>
      <c r="F26" s="2426">
        <f t="shared" si="148"/>
        <v>244.38119540681129</v>
      </c>
      <c r="G26" s="3600"/>
      <c r="H26" s="2451">
        <v>3</v>
      </c>
      <c r="I26" s="2451">
        <v>1.65</v>
      </c>
      <c r="J26" s="2451">
        <v>0.92</v>
      </c>
      <c r="K26" s="2451">
        <v>1.88</v>
      </c>
      <c r="L26" s="2452">
        <v>1.26</v>
      </c>
      <c r="N26" s="2428">
        <f t="shared" si="146"/>
        <v>1.6500000000000001E-2</v>
      </c>
      <c r="O26" s="2453">
        <f t="shared" si="141"/>
        <v>9.1999999999999998E-3</v>
      </c>
      <c r="P26" s="2453">
        <f t="shared" si="141"/>
        <v>1.8799999999999997E-2</v>
      </c>
      <c r="Q26" s="2453">
        <f t="shared" si="141"/>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47"/>
        <v>322.34053690220776</v>
      </c>
      <c r="C27" s="2426">
        <f t="shared" si="147"/>
        <v>271.46160770422546</v>
      </c>
      <c r="D27" s="2426">
        <f t="shared" si="144"/>
        <v>271.46160770422546</v>
      </c>
      <c r="E27" s="2426">
        <f t="shared" si="148"/>
        <v>442.69434542172456</v>
      </c>
      <c r="F27" s="2426">
        <f t="shared" si="148"/>
        <v>241.34030753190925</v>
      </c>
      <c r="G27" s="3600"/>
      <c r="H27" s="2438">
        <v>2</v>
      </c>
      <c r="I27" s="2438">
        <v>0.77</v>
      </c>
      <c r="J27" s="2438">
        <v>0.69</v>
      </c>
      <c r="K27" s="2438">
        <v>0.8</v>
      </c>
      <c r="L27" s="2439">
        <v>0.88</v>
      </c>
      <c r="N27" s="2428">
        <f t="shared" si="146"/>
        <v>7.7000000000000002E-3</v>
      </c>
      <c r="O27" s="2453">
        <f t="shared" si="141"/>
        <v>6.8999999999999999E-3</v>
      </c>
      <c r="P27" s="2453">
        <f t="shared" si="141"/>
        <v>8.0000000000000002E-3</v>
      </c>
      <c r="Q27" s="2453">
        <f t="shared" si="141"/>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47"/>
        <v>319.87748030386797</v>
      </c>
      <c r="C28" s="2426">
        <f t="shared" si="147"/>
        <v>269.60135833173649</v>
      </c>
      <c r="D28" s="2426">
        <f t="shared" si="144"/>
        <v>269.60135833173649</v>
      </c>
      <c r="E28" s="2426">
        <f t="shared" si="148"/>
        <v>439.18089823583784</v>
      </c>
      <c r="F28" s="2426">
        <f t="shared" si="148"/>
        <v>239.23503918706311</v>
      </c>
      <c r="G28" s="3601"/>
      <c r="H28" s="2427">
        <v>1</v>
      </c>
      <c r="I28" s="2427">
        <v>0.51</v>
      </c>
      <c r="J28" s="2427">
        <v>0.54</v>
      </c>
      <c r="K28" s="2427">
        <v>0.48</v>
      </c>
      <c r="L28" s="2433">
        <v>0.93</v>
      </c>
      <c r="N28" s="2444">
        <f t="shared" si="146"/>
        <v>5.1000000000000004E-3</v>
      </c>
      <c r="O28" s="2445">
        <f t="shared" si="141"/>
        <v>5.4000000000000003E-3</v>
      </c>
      <c r="P28" s="2445">
        <f t="shared" si="141"/>
        <v>4.7999999999999996E-3</v>
      </c>
      <c r="Q28" s="2445">
        <f t="shared" si="141"/>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44"/>
        <v>268</v>
      </c>
      <c r="E29" s="2454">
        <v>437</v>
      </c>
      <c r="F29" s="2455">
        <v>237</v>
      </c>
      <c r="G29" s="3599">
        <v>2014</v>
      </c>
      <c r="H29" s="2446">
        <v>4</v>
      </c>
      <c r="I29" s="2446">
        <v>0.21</v>
      </c>
      <c r="J29" s="2446">
        <v>0.41</v>
      </c>
      <c r="K29" s="2446">
        <v>0.12</v>
      </c>
      <c r="L29" s="2447">
        <v>0.89</v>
      </c>
      <c r="N29" s="2428">
        <f t="shared" si="146"/>
        <v>2.0999999999999999E-3</v>
      </c>
      <c r="O29" s="2413">
        <f t="shared" si="141"/>
        <v>4.0999999999999995E-3</v>
      </c>
      <c r="P29" s="2413">
        <f t="shared" si="141"/>
        <v>1.1999999999999999E-3</v>
      </c>
      <c r="Q29" s="2413">
        <f t="shared" si="141"/>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49">B29/(1+N29)</f>
        <v>317.33359944117353</v>
      </c>
      <c r="C30" s="2426">
        <f t="shared" si="149"/>
        <v>266.90568668459315</v>
      </c>
      <c r="D30" s="2426">
        <f t="shared" si="144"/>
        <v>266.90568668459315</v>
      </c>
      <c r="E30" s="2426">
        <f t="shared" ref="E30:F32" si="150">E29/(1+P29)</f>
        <v>436.47622852576905</v>
      </c>
      <c r="F30" s="2426">
        <f t="shared" si="150"/>
        <v>234.90930716622066</v>
      </c>
      <c r="G30" s="3600"/>
      <c r="H30" s="2456">
        <v>3</v>
      </c>
      <c r="I30" s="2456">
        <v>0.83</v>
      </c>
      <c r="J30" s="2456">
        <v>1.47</v>
      </c>
      <c r="K30" s="2456">
        <v>0.65</v>
      </c>
      <c r="L30" s="2457">
        <v>0.72</v>
      </c>
      <c r="N30" s="2428">
        <f t="shared" si="146"/>
        <v>8.3000000000000001E-3</v>
      </c>
      <c r="O30" s="2413">
        <f t="shared" si="141"/>
        <v>1.47E-2</v>
      </c>
      <c r="P30" s="2413">
        <f t="shared" si="141"/>
        <v>6.5000000000000006E-3</v>
      </c>
      <c r="Q30" s="2413">
        <f t="shared" si="141"/>
        <v>7.1999999999999998E-3</v>
      </c>
      <c r="R30" s="2429"/>
      <c r="S30" s="2428"/>
      <c r="T30" s="2413"/>
      <c r="U30" s="2413"/>
      <c r="V30" s="2413"/>
      <c r="X30" s="2412">
        <f>ROUND(SUMPRODUCT(PRODUCT(1+N30:N$31)),4)</f>
        <v>1.0325</v>
      </c>
      <c r="Y30" s="2412">
        <f>ROUND(SUMPRODUCT(PRODUCT(1+O30:O$31)),4)</f>
        <v>1.0353000000000001</v>
      </c>
      <c r="Z30" s="2412">
        <f t="shared" ref="Z30:Z31" si="151">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49"/>
        <v>314.72141172386546</v>
      </c>
      <c r="C31" s="2426">
        <f t="shared" si="149"/>
        <v>263.03901319069001</v>
      </c>
      <c r="D31" s="2426">
        <f t="shared" si="144"/>
        <v>263.03901319069001</v>
      </c>
      <c r="E31" s="2426">
        <f t="shared" si="150"/>
        <v>433.65745506782821</v>
      </c>
      <c r="F31" s="2426">
        <f t="shared" si="150"/>
        <v>233.23005080045735</v>
      </c>
      <c r="G31" s="3600"/>
      <c r="H31" s="2446">
        <v>2</v>
      </c>
      <c r="I31" s="2446">
        <v>2.4</v>
      </c>
      <c r="J31" s="2446">
        <v>2.0299999999999998</v>
      </c>
      <c r="K31" s="2446">
        <v>2.59</v>
      </c>
      <c r="L31" s="2447">
        <v>1.52</v>
      </c>
      <c r="N31" s="2428">
        <f t="shared" si="146"/>
        <v>2.4E-2</v>
      </c>
      <c r="O31" s="2413">
        <f t="shared" si="141"/>
        <v>2.0299999999999999E-2</v>
      </c>
      <c r="P31" s="2413">
        <f t="shared" si="141"/>
        <v>2.5899999999999999E-2</v>
      </c>
      <c r="Q31" s="2413">
        <f t="shared" si="141"/>
        <v>1.52E-2</v>
      </c>
      <c r="R31" s="2429"/>
      <c r="S31" s="2428"/>
      <c r="T31" s="2413"/>
      <c r="U31" s="2413"/>
      <c r="V31" s="2413"/>
      <c r="X31" s="2412">
        <f>1+N31</f>
        <v>1.024</v>
      </c>
      <c r="Y31" s="2412">
        <f>1+O31</f>
        <v>1.0203</v>
      </c>
      <c r="Z31" s="2412">
        <f t="shared" si="151"/>
        <v>1.0203</v>
      </c>
      <c r="AA31" s="2412">
        <f>1+P31</f>
        <v>1.0259</v>
      </c>
      <c r="AB31" s="2412">
        <f>1+Q31</f>
        <v>1.0152000000000001</v>
      </c>
      <c r="AD31" s="2413">
        <f>ROUND(AVERAGE(I31:I$32)/100,4)</f>
        <v>2.69E-2</v>
      </c>
      <c r="AE31" s="2413">
        <f>ROUND(AVERAGE(J31:J$32)/100,4)</f>
        <v>2.1899999999999999E-2</v>
      </c>
      <c r="AF31" s="2413">
        <f t="shared" ref="AF31" si="152">AE31</f>
        <v>2.1899999999999999E-2</v>
      </c>
      <c r="AG31" s="2413">
        <f>ROUND(AVERAGE(K31:K$32)/100,4)</f>
        <v>2.9399999999999999E-2</v>
      </c>
      <c r="AH31" s="2413">
        <f>ROUND(AVERAGE(L31:L$32)/100,4)</f>
        <v>1.44E-2</v>
      </c>
    </row>
    <row r="32" spans="1:34" s="2462" customFormat="1" ht="13.5" thickBot="1">
      <c r="A32" s="2458" t="s">
        <v>144</v>
      </c>
      <c r="B32" s="2459">
        <f t="shared" si="149"/>
        <v>307.34512863658733</v>
      </c>
      <c r="C32" s="2459">
        <f t="shared" si="149"/>
        <v>257.80556031626975</v>
      </c>
      <c r="D32" s="2459">
        <f t="shared" si="144"/>
        <v>257.80556031626975</v>
      </c>
      <c r="E32" s="2459">
        <f t="shared" si="150"/>
        <v>422.70928459677179</v>
      </c>
      <c r="F32" s="2459">
        <f t="shared" si="150"/>
        <v>229.73803270336617</v>
      </c>
      <c r="G32" s="3601"/>
      <c r="H32" s="2460">
        <v>1</v>
      </c>
      <c r="I32" s="2460">
        <v>2.97</v>
      </c>
      <c r="J32" s="2460">
        <v>2.34</v>
      </c>
      <c r="K32" s="2460">
        <v>3.28</v>
      </c>
      <c r="L32" s="2461">
        <v>1.36</v>
      </c>
      <c r="N32" s="2463">
        <f t="shared" si="146"/>
        <v>2.9700000000000001E-2</v>
      </c>
      <c r="O32" s="2464">
        <f t="shared" si="141"/>
        <v>2.3399999999999997E-2</v>
      </c>
      <c r="P32" s="2464">
        <f t="shared" si="141"/>
        <v>3.2799999999999996E-2</v>
      </c>
      <c r="Q32" s="2464">
        <f t="shared" si="141"/>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44"/>
        <v>252</v>
      </c>
      <c r="E33" s="2440">
        <v>409</v>
      </c>
      <c r="F33" s="2441">
        <v>227</v>
      </c>
      <c r="G33" s="3606">
        <v>2013</v>
      </c>
      <c r="H33" s="2470">
        <v>4</v>
      </c>
      <c r="I33" s="2470">
        <v>1.83</v>
      </c>
      <c r="J33" s="2470">
        <v>1.68</v>
      </c>
      <c r="K33" s="2470">
        <v>1.97</v>
      </c>
      <c r="L33" s="2471">
        <v>0.87</v>
      </c>
      <c r="N33" s="2448">
        <f t="shared" si="146"/>
        <v>1.83E-2</v>
      </c>
      <c r="O33" s="2449">
        <f t="shared" si="141"/>
        <v>1.6799999999999999E-2</v>
      </c>
      <c r="P33" s="2449">
        <f t="shared" si="141"/>
        <v>1.9699999999999999E-2</v>
      </c>
      <c r="Q33" s="2449">
        <f t="shared" si="141"/>
        <v>8.6999999999999994E-3</v>
      </c>
      <c r="R33" s="2429"/>
      <c r="S33" s="2442"/>
      <c r="T33" s="2443"/>
      <c r="U33" s="2443"/>
      <c r="V33" s="2443"/>
      <c r="X33" s="2443"/>
      <c r="Y33" s="2443"/>
      <c r="Z33" s="2443"/>
    </row>
    <row r="34" spans="1:26">
      <c r="A34" s="2425" t="s">
        <v>1131</v>
      </c>
      <c r="B34" s="2426">
        <f t="shared" ref="B34:C36" si="153">B33/(1+N33)</f>
        <v>293.62663262299913</v>
      </c>
      <c r="C34" s="2426">
        <f t="shared" si="153"/>
        <v>247.83634933123525</v>
      </c>
      <c r="D34" s="2426">
        <f t="shared" si="144"/>
        <v>247.83634933123525</v>
      </c>
      <c r="E34" s="2426">
        <f t="shared" ref="E34:F36" si="154">E33/(1+P33)</f>
        <v>401.09836226341076</v>
      </c>
      <c r="F34" s="2426">
        <f t="shared" si="154"/>
        <v>225.04213343908003</v>
      </c>
      <c r="G34" s="3607"/>
      <c r="H34" s="2451">
        <v>3</v>
      </c>
      <c r="I34" s="2451">
        <v>1.86</v>
      </c>
      <c r="J34" s="2451">
        <v>1.72</v>
      </c>
      <c r="K34" s="2451">
        <v>1.98</v>
      </c>
      <c r="L34" s="2452">
        <v>0.88</v>
      </c>
      <c r="N34" s="2428">
        <f t="shared" si="146"/>
        <v>1.8600000000000002E-2</v>
      </c>
      <c r="O34" s="2453">
        <f t="shared" si="141"/>
        <v>1.72E-2</v>
      </c>
      <c r="P34" s="2453">
        <f t="shared" si="141"/>
        <v>1.9799999999999998E-2</v>
      </c>
      <c r="Q34" s="2453">
        <f t="shared" si="141"/>
        <v>8.8000000000000005E-3</v>
      </c>
      <c r="R34" s="2429"/>
      <c r="S34" s="2428"/>
      <c r="T34" s="2413"/>
      <c r="U34" s="2413"/>
      <c r="V34" s="2413"/>
    </row>
    <row r="35" spans="1:26">
      <c r="A35" s="2425" t="s">
        <v>1132</v>
      </c>
      <c r="B35" s="2426">
        <f t="shared" si="153"/>
        <v>288.2649053828776</v>
      </c>
      <c r="C35" s="2426">
        <f t="shared" si="153"/>
        <v>243.64564425013293</v>
      </c>
      <c r="D35" s="2426">
        <f t="shared" si="144"/>
        <v>243.64564425013293</v>
      </c>
      <c r="E35" s="2426">
        <f t="shared" si="154"/>
        <v>393.31080825986544</v>
      </c>
      <c r="F35" s="2426">
        <f t="shared" si="154"/>
        <v>223.07903790551154</v>
      </c>
      <c r="G35" s="3607"/>
      <c r="H35" s="2438">
        <v>2</v>
      </c>
      <c r="I35" s="2438">
        <v>2.04</v>
      </c>
      <c r="J35" s="2438">
        <v>2.33</v>
      </c>
      <c r="K35" s="2438">
        <v>2.0699999999999998</v>
      </c>
      <c r="L35" s="2439">
        <v>0.69</v>
      </c>
      <c r="N35" s="2428">
        <f t="shared" si="146"/>
        <v>2.0400000000000001E-2</v>
      </c>
      <c r="O35" s="2453">
        <f t="shared" si="141"/>
        <v>2.3300000000000001E-2</v>
      </c>
      <c r="P35" s="2453">
        <f t="shared" si="141"/>
        <v>2.07E-2</v>
      </c>
      <c r="Q35" s="2453">
        <f t="shared" si="141"/>
        <v>6.8999999999999999E-3</v>
      </c>
      <c r="R35" s="2429"/>
      <c r="S35" s="2428"/>
      <c r="T35" s="2413"/>
      <c r="U35" s="2413"/>
      <c r="V35" s="2413"/>
      <c r="X35" s="2472"/>
      <c r="Y35" s="2473"/>
    </row>
    <row r="36" spans="1:26">
      <c r="A36" s="2425" t="s">
        <v>1133</v>
      </c>
      <c r="B36" s="2426">
        <f t="shared" si="153"/>
        <v>282.50186729015837</v>
      </c>
      <c r="C36" s="2426">
        <f t="shared" si="153"/>
        <v>238.09796174155468</v>
      </c>
      <c r="D36" s="2426">
        <f t="shared" si="144"/>
        <v>238.09796174155468</v>
      </c>
      <c r="E36" s="2426">
        <f t="shared" si="154"/>
        <v>385.33438646014054</v>
      </c>
      <c r="F36" s="2426">
        <f t="shared" si="154"/>
        <v>221.55034055567739</v>
      </c>
      <c r="G36" s="3608"/>
      <c r="H36" s="2427">
        <v>1</v>
      </c>
      <c r="I36" s="2427">
        <v>1.67</v>
      </c>
      <c r="J36" s="2427">
        <v>1.31</v>
      </c>
      <c r="K36" s="2427">
        <v>1.85</v>
      </c>
      <c r="L36" s="2433">
        <v>0.96</v>
      </c>
      <c r="N36" s="2444">
        <f t="shared" si="146"/>
        <v>1.67E-2</v>
      </c>
      <c r="O36" s="2445">
        <f t="shared" si="146"/>
        <v>1.3100000000000001E-2</v>
      </c>
      <c r="P36" s="2445">
        <f t="shared" si="146"/>
        <v>1.8500000000000003E-2</v>
      </c>
      <c r="Q36" s="2445">
        <f t="shared" si="146"/>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44"/>
        <v>234</v>
      </c>
      <c r="E37" s="2475">
        <v>379</v>
      </c>
      <c r="F37" s="2476">
        <v>220</v>
      </c>
      <c r="G37" s="3599">
        <v>2012</v>
      </c>
      <c r="H37" s="2446">
        <v>4</v>
      </c>
      <c r="I37" s="2446">
        <v>0.91</v>
      </c>
      <c r="J37" s="2446">
        <v>0.68</v>
      </c>
      <c r="K37" s="2446">
        <v>0.98</v>
      </c>
      <c r="L37" s="2447">
        <v>0.9</v>
      </c>
      <c r="N37" s="2428">
        <f t="shared" si="146"/>
        <v>9.1000000000000004E-3</v>
      </c>
      <c r="O37" s="2413">
        <f t="shared" si="146"/>
        <v>6.8000000000000005E-3</v>
      </c>
      <c r="P37" s="2413">
        <f t="shared" si="146"/>
        <v>9.7999999999999997E-3</v>
      </c>
      <c r="Q37" s="2413">
        <f t="shared" si="146"/>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44"/>
        <v>232.41954707985698</v>
      </c>
      <c r="E38" s="2426">
        <f t="shared" ref="E38:F40" si="155">E37/(1+P37)</f>
        <v>375.32184591008121</v>
      </c>
      <c r="F38" s="2426">
        <f t="shared" si="155"/>
        <v>218.03766105054513</v>
      </c>
      <c r="G38" s="3600"/>
      <c r="H38" s="2451">
        <v>3</v>
      </c>
      <c r="I38" s="2451">
        <v>0.09</v>
      </c>
      <c r="J38" s="2451">
        <v>0.28999999999999998</v>
      </c>
      <c r="K38" s="2451">
        <v>-0.01</v>
      </c>
      <c r="L38" s="2452">
        <v>0.57999999999999996</v>
      </c>
      <c r="N38" s="2428">
        <f t="shared" si="146"/>
        <v>8.9999999999999998E-4</v>
      </c>
      <c r="O38" s="2413">
        <f t="shared" si="146"/>
        <v>2.8999999999999998E-3</v>
      </c>
      <c r="P38" s="2413">
        <f t="shared" si="146"/>
        <v>-1E-4</v>
      </c>
      <c r="Q38" s="2413">
        <f t="shared" si="146"/>
        <v>5.7999999999999996E-3</v>
      </c>
      <c r="R38" s="2429"/>
      <c r="S38" s="2428"/>
      <c r="T38" s="2413"/>
      <c r="U38" s="2413"/>
      <c r="V38" s="2413"/>
    </row>
    <row r="39" spans="1:26">
      <c r="A39" s="2425" t="s">
        <v>1136</v>
      </c>
      <c r="B39" s="2426">
        <f>B38/(1+N38)</f>
        <v>275.24529281292263</v>
      </c>
      <c r="C39" s="2426">
        <f>C38/(1+O38)</f>
        <v>231.74747938962707</v>
      </c>
      <c r="D39" s="2426">
        <f t="shared" si="144"/>
        <v>231.74747938962707</v>
      </c>
      <c r="E39" s="2426">
        <f t="shared" si="155"/>
        <v>375.35938184826603</v>
      </c>
      <c r="F39" s="2426">
        <f t="shared" si="155"/>
        <v>216.78033510692495</v>
      </c>
      <c r="G39" s="3600"/>
      <c r="H39" s="2438">
        <v>2</v>
      </c>
      <c r="I39" s="2438">
        <v>0.02</v>
      </c>
      <c r="J39" s="2438">
        <v>0.12</v>
      </c>
      <c r="K39" s="2438">
        <v>-0.08</v>
      </c>
      <c r="L39" s="2439">
        <v>1.24</v>
      </c>
      <c r="N39" s="2428">
        <f t="shared" si="146"/>
        <v>2.0000000000000001E-4</v>
      </c>
      <c r="O39" s="2413">
        <f t="shared" si="146"/>
        <v>1.1999999999999999E-3</v>
      </c>
      <c r="P39" s="2413">
        <f t="shared" si="146"/>
        <v>-8.0000000000000004E-4</v>
      </c>
      <c r="Q39" s="2413">
        <f t="shared" si="146"/>
        <v>1.24E-2</v>
      </c>
      <c r="R39" s="2429"/>
      <c r="S39" s="2428"/>
      <c r="T39" s="2413"/>
      <c r="U39" s="2413"/>
      <c r="V39" s="2413"/>
    </row>
    <row r="40" spans="1:26" ht="13.5" thickBot="1">
      <c r="A40" s="2425" t="s">
        <v>1137</v>
      </c>
      <c r="B40" s="2426">
        <f>B39/(1+N39)</f>
        <v>275.19025476197027</v>
      </c>
      <c r="C40" s="2477">
        <v>232</v>
      </c>
      <c r="D40" s="2477">
        <f t="shared" si="144"/>
        <v>232</v>
      </c>
      <c r="E40" s="2426">
        <f t="shared" si="155"/>
        <v>375.65990977608692</v>
      </c>
      <c r="F40" s="2426">
        <f t="shared" si="155"/>
        <v>214.12518283971252</v>
      </c>
      <c r="G40" s="3601"/>
      <c r="H40" s="2427">
        <v>1</v>
      </c>
      <c r="I40" s="2427">
        <v>0.02</v>
      </c>
      <c r="J40" s="2427">
        <v>0.13</v>
      </c>
      <c r="K40" s="2427">
        <v>-0.04</v>
      </c>
      <c r="L40" s="2433">
        <v>0.46</v>
      </c>
      <c r="N40" s="2428">
        <f t="shared" si="146"/>
        <v>2.0000000000000001E-4</v>
      </c>
      <c r="O40" s="2413">
        <f t="shared" si="146"/>
        <v>1.2999999999999999E-3</v>
      </c>
      <c r="P40" s="2413">
        <f t="shared" si="146"/>
        <v>-4.0000000000000002E-4</v>
      </c>
      <c r="Q40" s="2413">
        <f t="shared" si="146"/>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44"/>
        <v>232</v>
      </c>
      <c r="E41" s="2440">
        <v>376</v>
      </c>
      <c r="F41" s="2441">
        <v>213</v>
      </c>
      <c r="G41" s="3599">
        <v>2011</v>
      </c>
      <c r="H41" s="2446">
        <v>4</v>
      </c>
      <c r="I41" s="2446">
        <v>-0.2</v>
      </c>
      <c r="J41" s="2446">
        <v>0.04</v>
      </c>
      <c r="K41" s="2446">
        <v>-0.34</v>
      </c>
      <c r="L41" s="2447">
        <v>0.46</v>
      </c>
      <c r="N41" s="2448">
        <f t="shared" si="146"/>
        <v>-2E-3</v>
      </c>
      <c r="O41" s="2449">
        <f t="shared" si="146"/>
        <v>4.0000000000000002E-4</v>
      </c>
      <c r="P41" s="2449">
        <f t="shared" si="146"/>
        <v>-3.4000000000000002E-3</v>
      </c>
      <c r="Q41" s="2449">
        <f t="shared" si="146"/>
        <v>4.5999999999999999E-3</v>
      </c>
      <c r="R41" s="2429"/>
      <c r="S41" s="2442"/>
      <c r="T41" s="2443"/>
      <c r="U41" s="2443"/>
      <c r="V41" s="2443"/>
      <c r="X41" s="2443"/>
      <c r="Y41" s="2443"/>
      <c r="Z41" s="2443"/>
    </row>
    <row r="42" spans="1:26">
      <c r="A42" s="2425" t="s">
        <v>1139</v>
      </c>
      <c r="B42" s="2426">
        <f t="shared" ref="B42:C44" si="156">B41/(1+N41)</f>
        <v>275.55110220440883</v>
      </c>
      <c r="C42" s="2426">
        <f t="shared" si="156"/>
        <v>231.90723710515795</v>
      </c>
      <c r="D42" s="2426">
        <f t="shared" si="144"/>
        <v>231.90723710515795</v>
      </c>
      <c r="E42" s="2426">
        <f t="shared" ref="E42:F44" si="157">E41/(1+P41)</f>
        <v>377.28276138872161</v>
      </c>
      <c r="F42" s="2426">
        <f t="shared" si="157"/>
        <v>212.02468644236512</v>
      </c>
      <c r="G42" s="3600">
        <v>2011</v>
      </c>
      <c r="H42" s="2451">
        <v>3</v>
      </c>
      <c r="I42" s="2451">
        <v>0.13</v>
      </c>
      <c r="J42" s="2451">
        <v>0.75</v>
      </c>
      <c r="K42" s="2451">
        <v>-0.08</v>
      </c>
      <c r="L42" s="2452">
        <v>0.53</v>
      </c>
      <c r="N42" s="2428">
        <f t="shared" si="146"/>
        <v>1.2999999999999999E-3</v>
      </c>
      <c r="O42" s="2453">
        <f t="shared" si="146"/>
        <v>7.4999999999999997E-3</v>
      </c>
      <c r="P42" s="2453">
        <f t="shared" si="146"/>
        <v>-8.0000000000000004E-4</v>
      </c>
      <c r="Q42" s="2453">
        <f t="shared" si="146"/>
        <v>5.3E-3</v>
      </c>
      <c r="R42" s="2429"/>
      <c r="S42" s="2428"/>
      <c r="T42" s="2413"/>
      <c r="U42" s="2413"/>
      <c r="V42" s="2413"/>
    </row>
    <row r="43" spans="1:26">
      <c r="A43" s="2425" t="s">
        <v>1140</v>
      </c>
      <c r="B43" s="2426">
        <f t="shared" si="156"/>
        <v>275.19335084830601</v>
      </c>
      <c r="C43" s="2426">
        <f t="shared" si="156"/>
        <v>230.18088050139744</v>
      </c>
      <c r="D43" s="2426">
        <f t="shared" si="144"/>
        <v>230.18088050139744</v>
      </c>
      <c r="E43" s="2426">
        <f t="shared" si="157"/>
        <v>377.58482925212331</v>
      </c>
      <c r="F43" s="2426">
        <f t="shared" si="157"/>
        <v>210.90687997847917</v>
      </c>
      <c r="G43" s="3600">
        <v>2011</v>
      </c>
      <c r="H43" s="2438">
        <v>2</v>
      </c>
      <c r="I43" s="2438">
        <v>-0.4</v>
      </c>
      <c r="J43" s="2438">
        <v>0.17</v>
      </c>
      <c r="K43" s="2438">
        <v>-0.57999999999999996</v>
      </c>
      <c r="L43" s="2439">
        <v>-0.2</v>
      </c>
      <c r="N43" s="2428">
        <f t="shared" si="146"/>
        <v>-4.0000000000000001E-3</v>
      </c>
      <c r="O43" s="2453">
        <f t="shared" si="146"/>
        <v>1.7000000000000001E-3</v>
      </c>
      <c r="P43" s="2453">
        <f t="shared" si="146"/>
        <v>-5.7999999999999996E-3</v>
      </c>
      <c r="Q43" s="2453">
        <f t="shared" si="146"/>
        <v>-2E-3</v>
      </c>
      <c r="R43" s="2429"/>
      <c r="S43" s="2428"/>
      <c r="T43" s="2413"/>
      <c r="U43" s="2413"/>
      <c r="V43" s="2413"/>
    </row>
    <row r="44" spans="1:26" ht="13.5" thickBot="1">
      <c r="A44" s="2425" t="s">
        <v>1141</v>
      </c>
      <c r="B44" s="2426">
        <f t="shared" si="156"/>
        <v>276.29854502841971</v>
      </c>
      <c r="C44" s="2426">
        <f t="shared" si="156"/>
        <v>229.79023709833027</v>
      </c>
      <c r="D44" s="2426">
        <f t="shared" si="144"/>
        <v>229.79023709833027</v>
      </c>
      <c r="E44" s="2426">
        <f t="shared" si="157"/>
        <v>379.78759731655936</v>
      </c>
      <c r="F44" s="2426">
        <f t="shared" si="157"/>
        <v>211.32953905659235</v>
      </c>
      <c r="G44" s="3601">
        <v>2011</v>
      </c>
      <c r="H44" s="2427">
        <v>1</v>
      </c>
      <c r="I44" s="2427">
        <v>2.65</v>
      </c>
      <c r="J44" s="2427">
        <v>3.76</v>
      </c>
      <c r="K44" s="2427">
        <v>1.89</v>
      </c>
      <c r="L44" s="2433">
        <v>7.95</v>
      </c>
      <c r="N44" s="2444">
        <f t="shared" si="146"/>
        <v>2.6499999999999999E-2</v>
      </c>
      <c r="O44" s="2445">
        <f t="shared" si="146"/>
        <v>3.7599999999999995E-2</v>
      </c>
      <c r="P44" s="2445">
        <f t="shared" si="146"/>
        <v>1.89E-2</v>
      </c>
      <c r="Q44" s="2445">
        <f t="shared" si="146"/>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44"/>
        <v>221</v>
      </c>
      <c r="E45" s="2440">
        <v>373</v>
      </c>
      <c r="F45" s="2441">
        <v>196</v>
      </c>
      <c r="G45" s="3599">
        <v>2010</v>
      </c>
      <c r="H45" s="2446">
        <v>4</v>
      </c>
      <c r="I45" s="2446">
        <v>5.72</v>
      </c>
      <c r="J45" s="2446">
        <v>6.57</v>
      </c>
      <c r="K45" s="2446">
        <v>5.72</v>
      </c>
      <c r="L45" s="2447">
        <v>2.72</v>
      </c>
      <c r="N45" s="2428">
        <f t="shared" si="146"/>
        <v>5.7200000000000001E-2</v>
      </c>
      <c r="O45" s="2413">
        <f t="shared" si="146"/>
        <v>6.5700000000000008E-2</v>
      </c>
      <c r="P45" s="2413">
        <f t="shared" si="146"/>
        <v>5.7200000000000001E-2</v>
      </c>
      <c r="Q45" s="2413">
        <f t="shared" si="146"/>
        <v>2.7200000000000002E-2</v>
      </c>
      <c r="R45" s="2429"/>
      <c r="S45" s="2442"/>
      <c r="T45" s="2443"/>
      <c r="U45" s="2443"/>
      <c r="V45" s="2443"/>
      <c r="X45" s="2443"/>
      <c r="Y45" s="2443"/>
      <c r="Z45" s="2443"/>
    </row>
    <row r="46" spans="1:26">
      <c r="A46" s="2425" t="s">
        <v>1143</v>
      </c>
      <c r="B46" s="2426">
        <f t="shared" ref="B46:C48" si="158">B45/(1+N45)</f>
        <v>254.44570563753314</v>
      </c>
      <c r="C46" s="2426">
        <f t="shared" si="158"/>
        <v>207.37543398705074</v>
      </c>
      <c r="D46" s="2426">
        <f t="shared" si="144"/>
        <v>207.37543398705074</v>
      </c>
      <c r="E46" s="2426">
        <f t="shared" ref="E46:F48" si="159">E45/(1+P45)</f>
        <v>352.81876655315932</v>
      </c>
      <c r="F46" s="2426">
        <f t="shared" si="159"/>
        <v>190.809968847352</v>
      </c>
      <c r="G46" s="3600">
        <v>2010</v>
      </c>
      <c r="H46" s="2451">
        <v>3</v>
      </c>
      <c r="I46" s="2451">
        <v>4.7300000000000004</v>
      </c>
      <c r="J46" s="2451">
        <v>3.9</v>
      </c>
      <c r="K46" s="2451">
        <v>5.03</v>
      </c>
      <c r="L46" s="2452">
        <v>4.21</v>
      </c>
      <c r="N46" s="2428">
        <f t="shared" si="146"/>
        <v>4.7300000000000002E-2</v>
      </c>
      <c r="O46" s="2413">
        <f t="shared" si="146"/>
        <v>3.9E-2</v>
      </c>
      <c r="P46" s="2413">
        <f t="shared" si="146"/>
        <v>5.0300000000000004E-2</v>
      </c>
      <c r="Q46" s="2413">
        <f t="shared" si="146"/>
        <v>4.2099999999999999E-2</v>
      </c>
      <c r="R46" s="2429"/>
      <c r="S46" s="2428"/>
      <c r="T46" s="2413"/>
      <c r="U46" s="2413"/>
      <c r="V46" s="2413"/>
    </row>
    <row r="47" spans="1:26">
      <c r="A47" s="2425" t="s">
        <v>1144</v>
      </c>
      <c r="B47" s="2426">
        <f t="shared" si="158"/>
        <v>242.95398227588385</v>
      </c>
      <c r="C47" s="2426">
        <f t="shared" si="158"/>
        <v>199.59137053614126</v>
      </c>
      <c r="D47" s="2426">
        <f t="shared" si="144"/>
        <v>199.59137053614126</v>
      </c>
      <c r="E47" s="2426">
        <f t="shared" si="159"/>
        <v>335.92189522342125</v>
      </c>
      <c r="F47" s="2426">
        <f t="shared" si="159"/>
        <v>183.10139991109489</v>
      </c>
      <c r="G47" s="3600">
        <v>2010</v>
      </c>
      <c r="H47" s="2438">
        <v>2</v>
      </c>
      <c r="I47" s="2438">
        <v>4.6900000000000004</v>
      </c>
      <c r="J47" s="2438">
        <v>3.55</v>
      </c>
      <c r="K47" s="2438">
        <v>5.07</v>
      </c>
      <c r="L47" s="2439">
        <v>4.2300000000000004</v>
      </c>
      <c r="N47" s="2428">
        <f t="shared" si="146"/>
        <v>4.6900000000000004E-2</v>
      </c>
      <c r="O47" s="2413">
        <f t="shared" si="146"/>
        <v>3.5499999999999997E-2</v>
      </c>
      <c r="P47" s="2413">
        <f t="shared" si="146"/>
        <v>5.0700000000000002E-2</v>
      </c>
      <c r="Q47" s="2413">
        <f t="shared" si="146"/>
        <v>4.2300000000000004E-2</v>
      </c>
      <c r="R47" s="2429"/>
      <c r="S47" s="2428"/>
      <c r="T47" s="2413"/>
      <c r="U47" s="2413"/>
      <c r="V47" s="2413"/>
    </row>
    <row r="48" spans="1:26" ht="13.5" thickBot="1">
      <c r="A48" s="2425" t="s">
        <v>1145</v>
      </c>
      <c r="B48" s="2426">
        <f t="shared" si="158"/>
        <v>232.06990378821649</v>
      </c>
      <c r="C48" s="2426">
        <f t="shared" si="158"/>
        <v>192.74878854286936</v>
      </c>
      <c r="D48" s="2426">
        <f t="shared" si="144"/>
        <v>192.74878854286936</v>
      </c>
      <c r="E48" s="2426">
        <f t="shared" si="159"/>
        <v>319.71247284992984</v>
      </c>
      <c r="F48" s="2426">
        <f t="shared" si="159"/>
        <v>175.67053622862409</v>
      </c>
      <c r="G48" s="3601">
        <v>2010</v>
      </c>
      <c r="H48" s="2427">
        <v>1</v>
      </c>
      <c r="I48" s="2427">
        <v>5.4</v>
      </c>
      <c r="J48" s="2427">
        <v>3.2</v>
      </c>
      <c r="K48" s="2427">
        <v>6.16</v>
      </c>
      <c r="L48" s="2433">
        <v>4.51</v>
      </c>
      <c r="N48" s="2428">
        <f t="shared" si="146"/>
        <v>5.4000000000000006E-2</v>
      </c>
      <c r="O48" s="2413">
        <f t="shared" si="146"/>
        <v>3.2000000000000001E-2</v>
      </c>
      <c r="P48" s="2413">
        <f t="shared" si="146"/>
        <v>6.1600000000000002E-2</v>
      </c>
      <c r="Q48" s="2413">
        <f t="shared" si="146"/>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44"/>
        <v>187</v>
      </c>
      <c r="E49" s="2440">
        <v>301</v>
      </c>
      <c r="F49" s="2441">
        <v>168</v>
      </c>
      <c r="G49" s="3599">
        <v>2009</v>
      </c>
      <c r="H49" s="2446">
        <v>4</v>
      </c>
      <c r="I49" s="2446">
        <v>2.2999999999999998</v>
      </c>
      <c r="J49" s="2446">
        <v>1.04</v>
      </c>
      <c r="K49" s="2446">
        <v>2.84</v>
      </c>
      <c r="L49" s="2447">
        <v>0.67</v>
      </c>
      <c r="N49" s="2448">
        <f t="shared" si="146"/>
        <v>2.3E-2</v>
      </c>
      <c r="O49" s="2449">
        <f t="shared" si="146"/>
        <v>1.04E-2</v>
      </c>
      <c r="P49" s="2449">
        <f t="shared" si="146"/>
        <v>2.8399999999999998E-2</v>
      </c>
      <c r="Q49" s="2449">
        <f t="shared" si="146"/>
        <v>6.7000000000000002E-3</v>
      </c>
      <c r="R49" s="2429"/>
      <c r="S49" s="2442"/>
      <c r="T49" s="2443"/>
      <c r="U49" s="2443"/>
      <c r="V49" s="2443"/>
      <c r="X49" s="2443"/>
      <c r="Y49" s="2443"/>
      <c r="Z49" s="2443"/>
    </row>
    <row r="50" spans="1:26">
      <c r="A50" s="2425" t="s">
        <v>1147</v>
      </c>
      <c r="B50" s="2426">
        <f t="shared" ref="B50:C52" si="160">B49/(1+N49)</f>
        <v>215.05376344086022</v>
      </c>
      <c r="C50" s="2426">
        <f t="shared" si="160"/>
        <v>185.0752177355503</v>
      </c>
      <c r="D50" s="2426">
        <f t="shared" si="144"/>
        <v>185.0752177355503</v>
      </c>
      <c r="E50" s="2426">
        <f t="shared" ref="E50:F52" si="161">E49/(1+P49)</f>
        <v>292.68767016725008</v>
      </c>
      <c r="F50" s="2426">
        <f t="shared" si="161"/>
        <v>166.88189132810174</v>
      </c>
      <c r="G50" s="3600">
        <v>2009</v>
      </c>
      <c r="H50" s="2451">
        <v>3</v>
      </c>
      <c r="I50" s="2451">
        <v>2.1</v>
      </c>
      <c r="J50" s="2451">
        <v>1.86</v>
      </c>
      <c r="K50" s="2451">
        <v>2.29</v>
      </c>
      <c r="L50" s="2452">
        <v>0.85</v>
      </c>
      <c r="N50" s="2428">
        <f t="shared" si="146"/>
        <v>2.1000000000000001E-2</v>
      </c>
      <c r="O50" s="2453">
        <f t="shared" si="146"/>
        <v>1.8600000000000002E-2</v>
      </c>
      <c r="P50" s="2453">
        <f t="shared" si="146"/>
        <v>2.29E-2</v>
      </c>
      <c r="Q50" s="2453">
        <f t="shared" si="146"/>
        <v>8.5000000000000006E-3</v>
      </c>
      <c r="R50" s="2429"/>
      <c r="S50" s="2428"/>
      <c r="T50" s="2413"/>
      <c r="U50" s="2413"/>
      <c r="V50" s="2413"/>
    </row>
    <row r="51" spans="1:26">
      <c r="A51" s="2425" t="s">
        <v>1148</v>
      </c>
      <c r="B51" s="2426">
        <f t="shared" si="160"/>
        <v>210.630522469011</v>
      </c>
      <c r="C51" s="2426">
        <f t="shared" si="160"/>
        <v>181.69567812247232</v>
      </c>
      <c r="D51" s="2426">
        <f t="shared" si="144"/>
        <v>181.69567812247232</v>
      </c>
      <c r="E51" s="2426">
        <f t="shared" si="161"/>
        <v>286.13517466736738</v>
      </c>
      <c r="F51" s="2426">
        <f t="shared" si="161"/>
        <v>165.47535084591149</v>
      </c>
      <c r="G51" s="3600">
        <v>2009</v>
      </c>
      <c r="H51" s="2438">
        <v>2</v>
      </c>
      <c r="I51" s="2438">
        <v>0.86</v>
      </c>
      <c r="J51" s="2438">
        <v>-1.1299999999999999</v>
      </c>
      <c r="K51" s="2438">
        <v>1.79</v>
      </c>
      <c r="L51" s="2439">
        <v>-2.0699999999999998</v>
      </c>
      <c r="N51" s="2428">
        <f t="shared" si="146"/>
        <v>8.6E-3</v>
      </c>
      <c r="O51" s="2453">
        <f t="shared" si="146"/>
        <v>-1.1299999999999999E-2</v>
      </c>
      <c r="P51" s="2453">
        <f t="shared" si="146"/>
        <v>1.7899999999999999E-2</v>
      </c>
      <c r="Q51" s="2453">
        <f t="shared" si="146"/>
        <v>-2.07E-2</v>
      </c>
      <c r="R51" s="2429"/>
      <c r="S51" s="2428"/>
      <c r="T51" s="2413"/>
      <c r="U51" s="2413"/>
      <c r="V51" s="2413"/>
    </row>
    <row r="52" spans="1:26">
      <c r="A52" s="2425" t="s">
        <v>1149</v>
      </c>
      <c r="B52" s="2426">
        <f t="shared" si="160"/>
        <v>208.83454537875372</v>
      </c>
      <c r="C52" s="2426">
        <f t="shared" si="160"/>
        <v>183.77230517090351</v>
      </c>
      <c r="D52" s="2426">
        <f t="shared" si="144"/>
        <v>183.77230517090351</v>
      </c>
      <c r="E52" s="2426">
        <f t="shared" si="161"/>
        <v>281.10342338870947</v>
      </c>
      <c r="F52" s="2426">
        <f t="shared" si="161"/>
        <v>168.97309388942256</v>
      </c>
      <c r="G52" s="3601">
        <v>2009</v>
      </c>
      <c r="H52" s="2427">
        <v>1</v>
      </c>
      <c r="I52" s="2427">
        <v>-2.64</v>
      </c>
      <c r="J52" s="2427">
        <v>-2.5299999999999998</v>
      </c>
      <c r="K52" s="2427">
        <v>-3.02</v>
      </c>
      <c r="L52" s="2433">
        <v>1.52</v>
      </c>
      <c r="N52" s="2444">
        <f t="shared" si="146"/>
        <v>-2.64E-2</v>
      </c>
      <c r="O52" s="2445">
        <f t="shared" si="146"/>
        <v>-2.53E-2</v>
      </c>
      <c r="P52" s="2445">
        <f t="shared" si="146"/>
        <v>-3.0200000000000001E-2</v>
      </c>
      <c r="Q52" s="2445">
        <f t="shared" si="146"/>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44"/>
        <v>188</v>
      </c>
      <c r="E53" s="2475">
        <v>289</v>
      </c>
      <c r="F53" s="2476">
        <v>166</v>
      </c>
      <c r="G53" s="3599">
        <v>2008</v>
      </c>
      <c r="H53" s="2446">
        <v>4</v>
      </c>
      <c r="I53" s="2446">
        <v>1.73</v>
      </c>
      <c r="J53" s="2446">
        <v>0.03</v>
      </c>
      <c r="K53" s="2446">
        <v>2.59</v>
      </c>
      <c r="L53" s="2447">
        <v>-1.66</v>
      </c>
      <c r="N53" s="2428">
        <f t="shared" si="146"/>
        <v>1.7299999999999999E-2</v>
      </c>
      <c r="O53" s="2413">
        <f t="shared" si="146"/>
        <v>2.9999999999999997E-4</v>
      </c>
      <c r="P53" s="2413">
        <f t="shared" si="146"/>
        <v>2.5899999999999999E-2</v>
      </c>
      <c r="Q53" s="2413">
        <f t="shared" si="146"/>
        <v>-1.66E-2</v>
      </c>
      <c r="R53" s="2429"/>
      <c r="S53" s="2442"/>
      <c r="T53" s="2443"/>
      <c r="U53" s="2443"/>
      <c r="V53" s="2443"/>
      <c r="X53" s="2443"/>
      <c r="Y53" s="2443"/>
      <c r="Z53" s="2443"/>
    </row>
    <row r="54" spans="1:26">
      <c r="A54" s="2425" t="s">
        <v>1151</v>
      </c>
      <c r="B54" s="2426">
        <f t="shared" ref="B54:C56" si="162">B53/(1+N53)</f>
        <v>210.36075887152265</v>
      </c>
      <c r="C54" s="2426">
        <f t="shared" si="162"/>
        <v>187.94361691492554</v>
      </c>
      <c r="D54" s="2426">
        <f t="shared" si="144"/>
        <v>187.94361691492554</v>
      </c>
      <c r="E54" s="2426">
        <f t="shared" ref="E54:F56" si="163">E53/(1+P53)</f>
        <v>281.70386977288234</v>
      </c>
      <c r="F54" s="2426">
        <f t="shared" si="163"/>
        <v>168.80211511083994</v>
      </c>
      <c r="G54" s="3600">
        <v>2008</v>
      </c>
      <c r="H54" s="2451">
        <v>3</v>
      </c>
      <c r="I54" s="2451">
        <v>1.96</v>
      </c>
      <c r="J54" s="2451">
        <v>2.36</v>
      </c>
      <c r="K54" s="2451">
        <v>1.82</v>
      </c>
      <c r="L54" s="2452">
        <v>2.2200000000000002</v>
      </c>
      <c r="N54" s="2428">
        <f t="shared" si="146"/>
        <v>1.9599999999999999E-2</v>
      </c>
      <c r="O54" s="2413">
        <f t="shared" si="146"/>
        <v>2.3599999999999999E-2</v>
      </c>
      <c r="P54" s="2413">
        <f t="shared" si="146"/>
        <v>1.8200000000000001E-2</v>
      </c>
      <c r="Q54" s="2413">
        <f t="shared" si="146"/>
        <v>2.2200000000000001E-2</v>
      </c>
      <c r="R54" s="2429"/>
      <c r="S54" s="2428"/>
      <c r="T54" s="2413"/>
      <c r="U54" s="2413"/>
      <c r="V54" s="2413"/>
    </row>
    <row r="55" spans="1:26">
      <c r="A55" s="2425" t="s">
        <v>1152</v>
      </c>
      <c r="B55" s="2426">
        <f t="shared" si="162"/>
        <v>206.31694671589116</v>
      </c>
      <c r="C55" s="2426">
        <f t="shared" si="162"/>
        <v>183.61041121036101</v>
      </c>
      <c r="D55" s="2426">
        <f t="shared" si="144"/>
        <v>183.61041121036101</v>
      </c>
      <c r="E55" s="2426">
        <f t="shared" si="163"/>
        <v>276.66850301795557</v>
      </c>
      <c r="F55" s="2426">
        <f t="shared" si="163"/>
        <v>165.1360938278614</v>
      </c>
      <c r="G55" s="3600">
        <v>2008</v>
      </c>
      <c r="H55" s="2438">
        <v>2</v>
      </c>
      <c r="I55" s="2438">
        <v>4.93</v>
      </c>
      <c r="J55" s="2438">
        <v>7.38</v>
      </c>
      <c r="K55" s="2438">
        <v>3.98</v>
      </c>
      <c r="L55" s="2439">
        <v>6.86</v>
      </c>
      <c r="N55" s="2428">
        <f t="shared" si="146"/>
        <v>4.9299999999999997E-2</v>
      </c>
      <c r="O55" s="2413">
        <f t="shared" si="146"/>
        <v>7.3800000000000004E-2</v>
      </c>
      <c r="P55" s="2413">
        <f t="shared" si="146"/>
        <v>3.9800000000000002E-2</v>
      </c>
      <c r="Q55" s="2413">
        <f t="shared" si="146"/>
        <v>6.8600000000000008E-2</v>
      </c>
      <c r="R55" s="2429"/>
      <c r="S55" s="2428"/>
      <c r="T55" s="2413"/>
      <c r="U55" s="2413"/>
      <c r="V55" s="2413"/>
    </row>
    <row r="56" spans="1:26" s="2481" customFormat="1" ht="13.5" thickBot="1">
      <c r="A56" s="2425" t="s">
        <v>1153</v>
      </c>
      <c r="B56" s="2478">
        <f t="shared" si="162"/>
        <v>196.62341248059772</v>
      </c>
      <c r="C56" s="2478">
        <f t="shared" si="162"/>
        <v>170.99125648199012</v>
      </c>
      <c r="D56" s="2478">
        <f t="shared" si="144"/>
        <v>170.99125648199012</v>
      </c>
      <c r="E56" s="2478">
        <f t="shared" si="163"/>
        <v>266.07857570490052</v>
      </c>
      <c r="F56" s="2478">
        <f t="shared" si="163"/>
        <v>154.53499328828505</v>
      </c>
      <c r="G56" s="3601">
        <v>2008</v>
      </c>
      <c r="H56" s="2479">
        <v>1</v>
      </c>
      <c r="I56" s="2479">
        <v>4.1399999999999997</v>
      </c>
      <c r="J56" s="2479">
        <v>3.45</v>
      </c>
      <c r="K56" s="2479">
        <v>4.95</v>
      </c>
      <c r="L56" s="2480">
        <v>4.82</v>
      </c>
      <c r="N56" s="2482">
        <f t="shared" si="146"/>
        <v>4.1399999999999999E-2</v>
      </c>
      <c r="O56" s="2483">
        <f t="shared" si="146"/>
        <v>3.4500000000000003E-2</v>
      </c>
      <c r="P56" s="2483">
        <f t="shared" si="146"/>
        <v>4.9500000000000002E-2</v>
      </c>
      <c r="Q56" s="2483">
        <f t="shared" si="146"/>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44"/>
        <v>165</v>
      </c>
      <c r="E57" s="2440">
        <v>254</v>
      </c>
      <c r="F57" s="2441">
        <v>148</v>
      </c>
      <c r="G57" s="3599">
        <v>2007</v>
      </c>
      <c r="H57" s="2485">
        <v>4</v>
      </c>
      <c r="I57" s="2485">
        <v>5.51</v>
      </c>
      <c r="J57" s="2485">
        <v>4.8899999999999997</v>
      </c>
      <c r="K57" s="2485">
        <v>6.43</v>
      </c>
      <c r="L57" s="2486">
        <v>5.36</v>
      </c>
      <c r="N57" s="2487">
        <f t="shared" ref="N57:O60" si="164">B57/B58-1</f>
        <v>4.1339718365245526E-2</v>
      </c>
      <c r="O57" s="2488">
        <f t="shared" si="164"/>
        <v>4.0324492593776018E-2</v>
      </c>
      <c r="P57" s="2488">
        <f t="shared" ref="P57:Q60" si="165">E57/E58-1</f>
        <v>6.1625555347990968E-2</v>
      </c>
      <c r="Q57" s="2488">
        <f t="shared" si="165"/>
        <v>4.6757569250590603E-2</v>
      </c>
      <c r="R57" s="2429"/>
      <c r="S57" s="2442"/>
      <c r="T57" s="2443"/>
      <c r="U57" s="2443"/>
      <c r="V57" s="2443"/>
      <c r="X57" s="2443"/>
      <c r="Y57" s="2443"/>
      <c r="Z57" s="2443"/>
    </row>
    <row r="58" spans="1:26">
      <c r="A58" s="2425" t="s">
        <v>1155</v>
      </c>
      <c r="B58" s="2426">
        <f t="shared" ref="B58:C60" si="166">B59+(B$57-B$61)*I58/SUM(I$57:I$60)</f>
        <v>180.5366651097618</v>
      </c>
      <c r="C58" s="2426">
        <f t="shared" si="166"/>
        <v>158.60435967302453</v>
      </c>
      <c r="D58" s="2426">
        <f t="shared" si="144"/>
        <v>158.60435967302453</v>
      </c>
      <c r="E58" s="2426">
        <f t="shared" ref="E58:F60" si="167">E59+(E$57-E$61)*K58/SUM(K$57:K$60)</f>
        <v>239.25573260785075</v>
      </c>
      <c r="F58" s="2426">
        <f t="shared" si="167"/>
        <v>141.38899430740037</v>
      </c>
      <c r="G58" s="3600">
        <v>2007</v>
      </c>
      <c r="H58" s="2451">
        <v>3</v>
      </c>
      <c r="I58" s="2451">
        <v>8.65</v>
      </c>
      <c r="J58" s="2451">
        <v>8.06</v>
      </c>
      <c r="K58" s="2451">
        <v>9.94</v>
      </c>
      <c r="L58" s="2452">
        <v>5.8</v>
      </c>
      <c r="N58" s="2487">
        <f t="shared" si="164"/>
        <v>6.940217571740015E-2</v>
      </c>
      <c r="O58" s="2488">
        <f t="shared" si="164"/>
        <v>7.1197482471153428E-2</v>
      </c>
      <c r="P58" s="2488">
        <f t="shared" si="165"/>
        <v>0.10529679922579582</v>
      </c>
      <c r="Q58" s="2488">
        <f t="shared" si="165"/>
        <v>5.3292245059512133E-2</v>
      </c>
      <c r="R58" s="2429"/>
      <c r="S58" s="2428"/>
      <c r="T58" s="2413"/>
      <c r="U58" s="2413"/>
      <c r="V58" s="2413"/>
      <c r="X58" s="2489"/>
      <c r="Y58" s="2489"/>
      <c r="Z58" s="2489"/>
    </row>
    <row r="59" spans="1:26">
      <c r="A59" s="2425" t="s">
        <v>1156</v>
      </c>
      <c r="B59" s="2426">
        <f t="shared" si="166"/>
        <v>168.82017748715555</v>
      </c>
      <c r="C59" s="2426">
        <f t="shared" si="166"/>
        <v>148.06267029972753</v>
      </c>
      <c r="D59" s="2426">
        <f t="shared" si="144"/>
        <v>148.06267029972753</v>
      </c>
      <c r="E59" s="2426">
        <f t="shared" si="167"/>
        <v>216.46288379323747</v>
      </c>
      <c r="F59" s="2426">
        <f t="shared" si="167"/>
        <v>134.23529411764704</v>
      </c>
      <c r="G59" s="3600">
        <v>2007</v>
      </c>
      <c r="H59" s="2438">
        <v>2</v>
      </c>
      <c r="I59" s="2438">
        <v>3.67</v>
      </c>
      <c r="J59" s="2438">
        <v>2.3199999999999998</v>
      </c>
      <c r="K59" s="2438">
        <v>5.0199999999999996</v>
      </c>
      <c r="L59" s="2439">
        <v>6.71</v>
      </c>
      <c r="N59" s="2487">
        <f t="shared" si="164"/>
        <v>3.0339138143848032E-2</v>
      </c>
      <c r="O59" s="2488">
        <f t="shared" si="164"/>
        <v>2.0922341588790472E-2</v>
      </c>
      <c r="P59" s="2488">
        <f t="shared" si="165"/>
        <v>5.6164796592717003E-2</v>
      </c>
      <c r="Q59" s="2488">
        <f t="shared" si="165"/>
        <v>6.5704536723887319E-2</v>
      </c>
      <c r="R59" s="2429"/>
      <c r="S59" s="2428"/>
      <c r="T59" s="2413"/>
      <c r="U59" s="2413"/>
      <c r="V59" s="2413"/>
      <c r="X59" s="2489"/>
      <c r="Y59" s="2489"/>
      <c r="Z59" s="2489"/>
    </row>
    <row r="60" spans="1:26">
      <c r="A60" s="2425" t="s">
        <v>1157</v>
      </c>
      <c r="B60" s="2426">
        <f t="shared" si="166"/>
        <v>163.84913591779542</v>
      </c>
      <c r="C60" s="2426">
        <f t="shared" si="166"/>
        <v>145.0283378746594</v>
      </c>
      <c r="D60" s="2426">
        <f t="shared" si="144"/>
        <v>145.0283378746594</v>
      </c>
      <c r="E60" s="2426">
        <f t="shared" si="167"/>
        <v>204.95180722891567</v>
      </c>
      <c r="F60" s="2426">
        <f t="shared" si="167"/>
        <v>125.95920303605313</v>
      </c>
      <c r="G60" s="3601">
        <v>2007</v>
      </c>
      <c r="H60" s="2427">
        <v>1</v>
      </c>
      <c r="I60" s="2427">
        <v>3.58</v>
      </c>
      <c r="J60" s="2427">
        <v>3.08</v>
      </c>
      <c r="K60" s="2427">
        <v>4.34</v>
      </c>
      <c r="L60" s="2433">
        <v>3.21</v>
      </c>
      <c r="N60" s="2490">
        <f t="shared" si="164"/>
        <v>3.0497710174814063E-2</v>
      </c>
      <c r="O60" s="2491">
        <f t="shared" si="164"/>
        <v>2.8569772160704998E-2</v>
      </c>
      <c r="P60" s="2491">
        <f t="shared" si="165"/>
        <v>5.1034908866234296E-2</v>
      </c>
      <c r="Q60" s="2491">
        <f t="shared" si="165"/>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44"/>
        <v>141</v>
      </c>
      <c r="E61" s="2454">
        <v>195</v>
      </c>
      <c r="F61" s="2455">
        <v>122</v>
      </c>
      <c r="G61" s="3599">
        <v>2006</v>
      </c>
      <c r="H61" s="2446">
        <v>4</v>
      </c>
      <c r="I61" s="2446">
        <v>3.79</v>
      </c>
      <c r="J61" s="2446">
        <v>2.21</v>
      </c>
      <c r="K61" s="2446">
        <v>5.65</v>
      </c>
      <c r="L61" s="2447">
        <v>5.41</v>
      </c>
      <c r="N61" s="2487">
        <f t="shared" ref="N61:O64" si="168">I61/SUM(I$61:I$64)*(B$61/B$65-1)</f>
        <v>7.245466462748526E-2</v>
      </c>
      <c r="O61" s="2488">
        <f t="shared" si="168"/>
        <v>2.3237230038062766E-2</v>
      </c>
      <c r="P61" s="2488">
        <f t="shared" ref="P61:Q64" si="169">K61/SUM(K$61:K$64)*(E$61/E$65-1)</f>
        <v>0.16146893866323722</v>
      </c>
      <c r="Q61" s="2488">
        <f t="shared" si="169"/>
        <v>5.0755230321793784E-2</v>
      </c>
      <c r="R61" s="2429"/>
      <c r="S61" s="2442"/>
      <c r="T61" s="2443"/>
      <c r="U61" s="2443"/>
      <c r="V61" s="2443"/>
      <c r="X61" s="2489"/>
      <c r="Y61" s="2489"/>
      <c r="Z61" s="2489"/>
    </row>
    <row r="62" spans="1:26">
      <c r="A62" s="2425" t="s">
        <v>1159</v>
      </c>
      <c r="B62" s="2426">
        <f t="shared" ref="B62:C64" si="170">B63+(B$61-B$65)*I62/SUM(I$61:I$64)</f>
        <v>149.00125628140702</v>
      </c>
      <c r="C62" s="2426">
        <f t="shared" si="170"/>
        <v>137.95592286501378</v>
      </c>
      <c r="D62" s="2426">
        <f t="shared" si="144"/>
        <v>137.95592286501378</v>
      </c>
      <c r="E62" s="2426">
        <f t="shared" ref="E62:F64" si="171">E63+(E$61-E$65)*K62/SUM(K$61:K$64)</f>
        <v>169.97231450719823</v>
      </c>
      <c r="F62" s="2426">
        <f t="shared" si="171"/>
        <v>116.21390374331551</v>
      </c>
      <c r="G62" s="3600">
        <v>2006</v>
      </c>
      <c r="H62" s="2451">
        <v>3</v>
      </c>
      <c r="I62" s="2451">
        <v>0.92</v>
      </c>
      <c r="J62" s="2451">
        <v>1.08</v>
      </c>
      <c r="K62" s="2451">
        <v>0.73</v>
      </c>
      <c r="L62" s="2452">
        <v>1.08</v>
      </c>
      <c r="N62" s="2487">
        <f t="shared" si="168"/>
        <v>1.7587939698492462E-2</v>
      </c>
      <c r="O62" s="2488">
        <f t="shared" si="168"/>
        <v>1.1355750425840628E-2</v>
      </c>
      <c r="P62" s="2488">
        <f t="shared" si="169"/>
        <v>2.0862358446754544E-2</v>
      </c>
      <c r="Q62" s="2488">
        <f t="shared" si="169"/>
        <v>1.0132282578103011E-2</v>
      </c>
      <c r="R62" s="2429"/>
      <c r="S62" s="2428"/>
      <c r="T62" s="2413"/>
      <c r="U62" s="2413"/>
      <c r="V62" s="2413"/>
      <c r="X62" s="2489"/>
      <c r="Y62" s="2489"/>
      <c r="Z62" s="2489"/>
    </row>
    <row r="63" spans="1:26">
      <c r="A63" s="2425" t="s">
        <v>1160</v>
      </c>
      <c r="B63" s="2426">
        <f t="shared" si="170"/>
        <v>146.57412060301507</v>
      </c>
      <c r="C63" s="2426">
        <f t="shared" si="170"/>
        <v>136.46831955922866</v>
      </c>
      <c r="D63" s="2426">
        <f t="shared" si="144"/>
        <v>136.46831955922866</v>
      </c>
      <c r="E63" s="2426">
        <f t="shared" si="171"/>
        <v>166.73864894795128</v>
      </c>
      <c r="F63" s="2426">
        <f t="shared" si="171"/>
        <v>115.05882352941177</v>
      </c>
      <c r="G63" s="3600">
        <v>2006</v>
      </c>
      <c r="H63" s="2438">
        <v>2</v>
      </c>
      <c r="I63" s="2438">
        <v>0.96</v>
      </c>
      <c r="J63" s="2438">
        <v>0.25</v>
      </c>
      <c r="K63" s="2438">
        <v>1.9</v>
      </c>
      <c r="L63" s="2439">
        <v>0.95</v>
      </c>
      <c r="N63" s="2487">
        <f t="shared" si="168"/>
        <v>1.8352632728861701E-2</v>
      </c>
      <c r="O63" s="2488">
        <f t="shared" si="168"/>
        <v>2.6286459319075526E-3</v>
      </c>
      <c r="P63" s="2488">
        <f t="shared" si="169"/>
        <v>5.4299289107991269E-2</v>
      </c>
      <c r="Q63" s="2488">
        <f t="shared" si="169"/>
        <v>8.9126559714794995E-3</v>
      </c>
      <c r="R63" s="2429"/>
      <c r="S63" s="2428"/>
      <c r="T63" s="2413"/>
      <c r="U63" s="2413"/>
      <c r="V63" s="2413"/>
      <c r="X63" s="2489"/>
      <c r="Y63" s="2489"/>
      <c r="Z63" s="2489"/>
    </row>
    <row r="64" spans="1:26">
      <c r="A64" s="2425" t="s">
        <v>1161</v>
      </c>
      <c r="B64" s="2426">
        <f t="shared" si="170"/>
        <v>144.04145728643215</v>
      </c>
      <c r="C64" s="2426">
        <f t="shared" si="170"/>
        <v>136.12396694214877</v>
      </c>
      <c r="D64" s="2426">
        <f t="shared" si="144"/>
        <v>136.12396694214877</v>
      </c>
      <c r="E64" s="2426">
        <f t="shared" si="171"/>
        <v>158.32225913621264</v>
      </c>
      <c r="F64" s="2426">
        <f t="shared" si="171"/>
        <v>114.04278074866311</v>
      </c>
      <c r="G64" s="3601">
        <v>2006</v>
      </c>
      <c r="H64" s="2427">
        <v>1</v>
      </c>
      <c r="I64" s="2427">
        <v>2.29</v>
      </c>
      <c r="J64" s="2427">
        <v>3.72</v>
      </c>
      <c r="K64" s="2427">
        <v>0.75</v>
      </c>
      <c r="L64" s="2433">
        <v>0.04</v>
      </c>
      <c r="N64" s="2490">
        <f t="shared" si="168"/>
        <v>4.3778675988638847E-2</v>
      </c>
      <c r="O64" s="2491">
        <f t="shared" si="168"/>
        <v>3.9114251466784385E-2</v>
      </c>
      <c r="P64" s="2491">
        <f t="shared" si="169"/>
        <v>2.1433929911049188E-2</v>
      </c>
      <c r="Q64" s="2491">
        <f t="shared" si="169"/>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44"/>
        <v>131</v>
      </c>
      <c r="E65" s="2454">
        <v>155</v>
      </c>
      <c r="F65" s="2455">
        <v>114</v>
      </c>
      <c r="G65" s="3599">
        <v>2005</v>
      </c>
      <c r="H65" s="2446">
        <v>4</v>
      </c>
      <c r="I65" s="2446">
        <v>3.29</v>
      </c>
      <c r="J65" s="2446">
        <v>1.44</v>
      </c>
      <c r="K65" s="2446">
        <v>0.66</v>
      </c>
      <c r="L65" s="2447">
        <v>7.78</v>
      </c>
      <c r="N65" s="2487">
        <f t="shared" ref="N65:O68" si="172">I65/SUM(I$65:I$68)*(B$65/B$69-1)</f>
        <v>9.9404603216919935E-2</v>
      </c>
      <c r="O65" s="2488">
        <f t="shared" si="172"/>
        <v>4.7636550760861554E-2</v>
      </c>
      <c r="P65" s="2488">
        <f t="shared" ref="P65:Q68" si="173">K65/SUM(K$65:K$68)*(E$65/E$69-1)</f>
        <v>8.3756345177664976E-2</v>
      </c>
      <c r="Q65" s="2488">
        <f t="shared" si="173"/>
        <v>5.2148766661559584E-2</v>
      </c>
      <c r="R65" s="2429"/>
      <c r="S65" s="2442"/>
      <c r="T65" s="2443"/>
      <c r="U65" s="2443"/>
      <c r="V65" s="2443"/>
      <c r="X65" s="2489"/>
      <c r="Y65" s="2489"/>
      <c r="Z65" s="2489"/>
    </row>
    <row r="66" spans="1:26">
      <c r="A66" s="2425" t="s">
        <v>1163</v>
      </c>
      <c r="B66" s="2426">
        <f t="shared" ref="B66:C68" si="174">B67+(B$65-B$69)*I66/SUM(I$65:I$68)</f>
        <v>125.9720430107527</v>
      </c>
      <c r="C66" s="2426">
        <f t="shared" si="174"/>
        <v>125.1883408071749</v>
      </c>
      <c r="D66" s="2426">
        <f t="shared" si="144"/>
        <v>125.1883408071749</v>
      </c>
      <c r="E66" s="2426">
        <f t="shared" ref="E66:F68" si="175">E67+(E$65-E$69)*K66/SUM(K$65:K$68)</f>
        <v>144.61421319796952</v>
      </c>
      <c r="F66" s="2426">
        <f t="shared" si="175"/>
        <v>108.42008196721311</v>
      </c>
      <c r="G66" s="3600">
        <v>2005</v>
      </c>
      <c r="H66" s="2451">
        <v>3</v>
      </c>
      <c r="I66" s="2451">
        <v>0.46</v>
      </c>
      <c r="J66" s="2451">
        <v>0.32</v>
      </c>
      <c r="K66" s="2451">
        <v>0.42</v>
      </c>
      <c r="L66" s="2452">
        <v>0.64</v>
      </c>
      <c r="N66" s="2487">
        <f t="shared" si="172"/>
        <v>1.3898515951301874E-2</v>
      </c>
      <c r="O66" s="2488">
        <f t="shared" si="172"/>
        <v>1.0585900169080346E-2</v>
      </c>
      <c r="P66" s="2488">
        <f t="shared" si="173"/>
        <v>5.3299492385786795E-2</v>
      </c>
      <c r="Q66" s="2488">
        <f t="shared" si="173"/>
        <v>4.2898728359123568E-3</v>
      </c>
      <c r="R66" s="2429"/>
      <c r="S66" s="2428"/>
      <c r="T66" s="2413"/>
      <c r="U66" s="2413"/>
      <c r="V66" s="2413"/>
      <c r="X66" s="2489"/>
      <c r="Y66" s="2489"/>
      <c r="Z66" s="2489"/>
    </row>
    <row r="67" spans="1:26">
      <c r="A67" s="2425" t="s">
        <v>1164</v>
      </c>
      <c r="B67" s="2426">
        <f t="shared" si="174"/>
        <v>124.29032258064517</v>
      </c>
      <c r="C67" s="2426">
        <f t="shared" si="174"/>
        <v>123.8968609865471</v>
      </c>
      <c r="D67" s="2426">
        <f t="shared" si="144"/>
        <v>123.8968609865471</v>
      </c>
      <c r="E67" s="2426">
        <f t="shared" si="175"/>
        <v>138.00507614213197</v>
      </c>
      <c r="F67" s="2426">
        <f t="shared" si="175"/>
        <v>107.96106557377048</v>
      </c>
      <c r="G67" s="3600">
        <v>2005</v>
      </c>
      <c r="H67" s="2438">
        <v>2</v>
      </c>
      <c r="I67" s="2438">
        <v>0.47</v>
      </c>
      <c r="J67" s="2438">
        <v>0.1</v>
      </c>
      <c r="K67" s="2438">
        <v>0.52</v>
      </c>
      <c r="L67" s="2439">
        <v>0.79</v>
      </c>
      <c r="N67" s="2487">
        <f t="shared" si="172"/>
        <v>1.420065760241713E-2</v>
      </c>
      <c r="O67" s="2488">
        <f t="shared" si="172"/>
        <v>3.3080938028376083E-3</v>
      </c>
      <c r="P67" s="2488">
        <f t="shared" si="173"/>
        <v>6.598984771573603E-2</v>
      </c>
      <c r="Q67" s="2488">
        <f t="shared" si="173"/>
        <v>5.2953117818293153E-3</v>
      </c>
      <c r="R67" s="2429"/>
      <c r="S67" s="2428"/>
      <c r="T67" s="2413"/>
      <c r="U67" s="2413"/>
      <c r="V67" s="2413"/>
      <c r="X67" s="2489"/>
      <c r="Y67" s="2489"/>
      <c r="Z67" s="2489"/>
    </row>
    <row r="68" spans="1:26">
      <c r="A68" s="2425" t="s">
        <v>1165</v>
      </c>
      <c r="B68" s="2426">
        <f t="shared" si="174"/>
        <v>122.57204301075269</v>
      </c>
      <c r="C68" s="2426">
        <f t="shared" si="174"/>
        <v>123.4932735426009</v>
      </c>
      <c r="D68" s="2426">
        <f t="shared" si="144"/>
        <v>123.4932735426009</v>
      </c>
      <c r="E68" s="2426">
        <f t="shared" si="175"/>
        <v>129.82233502538071</v>
      </c>
      <c r="F68" s="2426">
        <f t="shared" si="175"/>
        <v>107.39446721311475</v>
      </c>
      <c r="G68" s="3601">
        <v>2005</v>
      </c>
      <c r="H68" s="2427">
        <v>1</v>
      </c>
      <c r="I68" s="2427">
        <v>0.43</v>
      </c>
      <c r="J68" s="2427">
        <v>0.37</v>
      </c>
      <c r="K68" s="2427">
        <v>0.37</v>
      </c>
      <c r="L68" s="2433">
        <v>0.55000000000000004</v>
      </c>
      <c r="N68" s="2490">
        <f t="shared" si="172"/>
        <v>1.2992090997956099E-2</v>
      </c>
      <c r="O68" s="2491">
        <f t="shared" si="172"/>
        <v>1.2239947070499151E-2</v>
      </c>
      <c r="P68" s="2491">
        <f t="shared" si="173"/>
        <v>4.6954314720812178E-2</v>
      </c>
      <c r="Q68" s="2491">
        <f t="shared" si="173"/>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44"/>
        <v>122</v>
      </c>
      <c r="E69" s="2475">
        <v>124</v>
      </c>
      <c r="F69" s="2476">
        <v>107</v>
      </c>
      <c r="G69" s="3599">
        <v>2004</v>
      </c>
      <c r="H69" s="2446">
        <v>4</v>
      </c>
      <c r="I69" s="2446">
        <v>0.33</v>
      </c>
      <c r="J69" s="2446">
        <v>0.5</v>
      </c>
      <c r="K69" s="2446">
        <v>0.5</v>
      </c>
      <c r="L69" s="2447">
        <v>0</v>
      </c>
      <c r="N69" s="2487">
        <f t="shared" ref="N69:O72" si="176">I69/SUM(I$69:I$72)*(B$69/B$73-1)</f>
        <v>1.3391770148526898E-2</v>
      </c>
      <c r="O69" s="2488">
        <f t="shared" si="176"/>
        <v>1.063264221158958E-2</v>
      </c>
      <c r="P69" s="2488">
        <f t="shared" ref="P69:Q72" si="177">K69/SUM(K$69:K$72)*(E$69/E$73-1)</f>
        <v>2.2244466688911134E-2</v>
      </c>
      <c r="Q69" s="2488">
        <f t="shared" si="177"/>
        <v>0</v>
      </c>
      <c r="R69" s="2429"/>
      <c r="S69" s="2442"/>
      <c r="T69" s="2443"/>
      <c r="U69" s="2443"/>
      <c r="V69" s="2443"/>
      <c r="X69" s="2489"/>
      <c r="Y69" s="2489"/>
      <c r="Z69" s="2489"/>
    </row>
    <row r="70" spans="1:26">
      <c r="A70" s="2425" t="s">
        <v>1167</v>
      </c>
      <c r="B70" s="2426">
        <f t="shared" ref="B70:C72" si="178">B71+(B$69-B$73)*I70/SUM(I$69:I$72)</f>
        <v>119.51351351351352</v>
      </c>
      <c r="C70" s="2426">
        <f t="shared" si="178"/>
        <v>120.7878787878788</v>
      </c>
      <c r="D70" s="2426">
        <f t="shared" si="144"/>
        <v>120.7878787878788</v>
      </c>
      <c r="E70" s="2426">
        <f t="shared" ref="E70:F72" si="179">E71+(E$69-E$73)*K70/SUM(K$69:K$72)</f>
        <v>121.5975975975976</v>
      </c>
      <c r="F70" s="2426">
        <f t="shared" si="179"/>
        <v>107</v>
      </c>
      <c r="G70" s="3600">
        <v>2004</v>
      </c>
      <c r="H70" s="2451">
        <v>3</v>
      </c>
      <c r="I70" s="2451">
        <v>0.56000000000000005</v>
      </c>
      <c r="J70" s="2451">
        <v>0.8</v>
      </c>
      <c r="K70" s="2451">
        <v>0.83</v>
      </c>
      <c r="L70" s="2452">
        <v>0.06</v>
      </c>
      <c r="N70" s="2487">
        <f t="shared" si="176"/>
        <v>2.2725428130833527E-2</v>
      </c>
      <c r="O70" s="2488">
        <f t="shared" si="176"/>
        <v>1.7012227538543329E-2</v>
      </c>
      <c r="P70" s="2488">
        <f t="shared" si="177"/>
        <v>3.6925814703592477E-2</v>
      </c>
      <c r="Q70" s="2488">
        <f t="shared" si="177"/>
        <v>2.8846153846153744E-2</v>
      </c>
      <c r="R70" s="2429"/>
      <c r="S70" s="2428"/>
      <c r="T70" s="2413"/>
      <c r="U70" s="2413"/>
      <c r="V70" s="2413"/>
      <c r="X70" s="2489"/>
      <c r="Y70" s="2489"/>
      <c r="Z70" s="2489"/>
    </row>
    <row r="71" spans="1:26">
      <c r="A71" s="2425" t="s">
        <v>1168</v>
      </c>
      <c r="B71" s="2426">
        <f t="shared" si="178"/>
        <v>116.99099099099099</v>
      </c>
      <c r="C71" s="2426">
        <f t="shared" si="178"/>
        <v>118.84848484848486</v>
      </c>
      <c r="D71" s="2426">
        <f t="shared" si="144"/>
        <v>118.84848484848486</v>
      </c>
      <c r="E71" s="2426">
        <f t="shared" si="179"/>
        <v>117.60960960960961</v>
      </c>
      <c r="F71" s="2426">
        <f t="shared" si="179"/>
        <v>104</v>
      </c>
      <c r="G71" s="3600">
        <v>2004</v>
      </c>
      <c r="H71" s="2438">
        <v>2</v>
      </c>
      <c r="I71" s="2438">
        <v>1</v>
      </c>
      <c r="J71" s="2438">
        <v>1.5</v>
      </c>
      <c r="K71" s="2438">
        <v>1.5</v>
      </c>
      <c r="L71" s="2439">
        <v>0</v>
      </c>
      <c r="N71" s="2487">
        <f t="shared" si="176"/>
        <v>4.0581121662202721E-2</v>
      </c>
      <c r="O71" s="2488">
        <f t="shared" si="176"/>
        <v>3.1897926634768738E-2</v>
      </c>
      <c r="P71" s="2488">
        <f t="shared" si="177"/>
        <v>6.6733400066733395E-2</v>
      </c>
      <c r="Q71" s="2488">
        <f t="shared" si="177"/>
        <v>0</v>
      </c>
      <c r="R71" s="2429"/>
      <c r="S71" s="2428"/>
      <c r="T71" s="2413"/>
      <c r="U71" s="2413"/>
      <c r="V71" s="2413"/>
      <c r="X71" s="2489"/>
      <c r="Y71" s="2489"/>
      <c r="Z71" s="2489"/>
    </row>
    <row r="72" spans="1:26" s="2481" customFormat="1" ht="13.5" thickBot="1">
      <c r="A72" s="2425" t="s">
        <v>1169</v>
      </c>
      <c r="B72" s="2478">
        <f t="shared" si="178"/>
        <v>112.48648648648648</v>
      </c>
      <c r="C72" s="2478">
        <f t="shared" si="178"/>
        <v>115.21212121212122</v>
      </c>
      <c r="D72" s="2478">
        <f t="shared" si="144"/>
        <v>115.21212121212122</v>
      </c>
      <c r="E72" s="2478">
        <f t="shared" si="179"/>
        <v>110.4024024024024</v>
      </c>
      <c r="F72" s="2478">
        <f t="shared" si="179"/>
        <v>104</v>
      </c>
      <c r="G72" s="3601">
        <v>2004</v>
      </c>
      <c r="H72" s="2479">
        <v>1</v>
      </c>
      <c r="I72" s="2479">
        <v>0.33</v>
      </c>
      <c r="J72" s="2479">
        <v>0.5</v>
      </c>
      <c r="K72" s="2479">
        <v>0.5</v>
      </c>
      <c r="L72" s="2480">
        <v>0</v>
      </c>
      <c r="N72" s="2492">
        <f t="shared" si="176"/>
        <v>1.3391770148526898E-2</v>
      </c>
      <c r="O72" s="2493">
        <f t="shared" si="176"/>
        <v>1.063264221158958E-2</v>
      </c>
      <c r="P72" s="2493">
        <f t="shared" si="177"/>
        <v>2.2244466688911134E-2</v>
      </c>
      <c r="Q72" s="2493">
        <f t="shared" si="177"/>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44"/>
        <v>114</v>
      </c>
      <c r="E73" s="2495">
        <v>108</v>
      </c>
      <c r="F73" s="2496">
        <v>104</v>
      </c>
      <c r="G73" s="3599">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80">B75+(B$73-B$77)/4</f>
        <v>109.75</v>
      </c>
      <c r="C74" s="2499">
        <f t="shared" si="180"/>
        <v>112.25</v>
      </c>
      <c r="D74" s="2499">
        <f t="shared" si="144"/>
        <v>112.25</v>
      </c>
      <c r="E74" s="2499">
        <f t="shared" ref="E74:F76" si="181">E75+(E$73-E$77)/4</f>
        <v>107.25</v>
      </c>
      <c r="F74" s="2499">
        <f t="shared" si="181"/>
        <v>103.5</v>
      </c>
      <c r="G74" s="3600">
        <v>2003</v>
      </c>
      <c r="H74" s="2451">
        <v>3</v>
      </c>
      <c r="I74" s="2497"/>
      <c r="J74" s="2497"/>
      <c r="K74" s="2497"/>
      <c r="L74" s="2497"/>
      <c r="X74" s="2489"/>
      <c r="Y74" s="2489"/>
      <c r="Z74" s="2489"/>
    </row>
    <row r="75" spans="1:26">
      <c r="A75" s="2425" t="s">
        <v>1172</v>
      </c>
      <c r="B75" s="2499">
        <f t="shared" si="180"/>
        <v>108.5</v>
      </c>
      <c r="C75" s="2499">
        <f t="shared" si="180"/>
        <v>110.5</v>
      </c>
      <c r="D75" s="2499">
        <f t="shared" si="144"/>
        <v>110.5</v>
      </c>
      <c r="E75" s="2499">
        <f t="shared" si="181"/>
        <v>106.5</v>
      </c>
      <c r="F75" s="2499">
        <f t="shared" si="181"/>
        <v>103</v>
      </c>
      <c r="G75" s="3600">
        <v>2003</v>
      </c>
      <c r="H75" s="2438">
        <v>2</v>
      </c>
      <c r="I75" s="2497"/>
      <c r="J75" s="2497"/>
      <c r="K75" s="2497"/>
      <c r="L75" s="2497"/>
      <c r="X75" s="2489"/>
      <c r="Y75" s="2489"/>
      <c r="Z75" s="2489"/>
    </row>
    <row r="76" spans="1:26" ht="13.5" thickBot="1">
      <c r="A76" s="2425" t="s">
        <v>1173</v>
      </c>
      <c r="B76" s="2499">
        <f t="shared" si="180"/>
        <v>107.25</v>
      </c>
      <c r="C76" s="2499">
        <f t="shared" si="180"/>
        <v>108.75</v>
      </c>
      <c r="D76" s="2499">
        <f t="shared" si="144"/>
        <v>108.75</v>
      </c>
      <c r="E76" s="2499">
        <f t="shared" si="181"/>
        <v>105.75</v>
      </c>
      <c r="F76" s="2499">
        <f t="shared" si="181"/>
        <v>102.5</v>
      </c>
      <c r="G76" s="3601">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44"/>
        <v>107</v>
      </c>
      <c r="E77" s="2501">
        <v>105</v>
      </c>
      <c r="F77" s="2502">
        <v>102</v>
      </c>
      <c r="G77" s="3599">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82">B79+(B$77-B$81)/4</f>
        <v>105</v>
      </c>
      <c r="C78" s="2499">
        <f t="shared" si="182"/>
        <v>106</v>
      </c>
      <c r="D78" s="2499">
        <f t="shared" si="144"/>
        <v>106</v>
      </c>
      <c r="E78" s="2499">
        <f t="shared" ref="E78:F80" si="183">E79+(E$77-E$81)/4</f>
        <v>104.5</v>
      </c>
      <c r="F78" s="2499">
        <f t="shared" si="183"/>
        <v>101.5</v>
      </c>
      <c r="G78" s="3600">
        <v>2002</v>
      </c>
      <c r="H78" s="2451">
        <v>3</v>
      </c>
      <c r="I78" s="2497"/>
      <c r="J78" s="2497"/>
      <c r="K78" s="2497"/>
      <c r="L78" s="2497"/>
      <c r="X78" s="2489"/>
      <c r="Y78" s="2489"/>
      <c r="Z78" s="2489"/>
    </row>
    <row r="79" spans="1:26">
      <c r="A79" s="2425" t="s">
        <v>1176</v>
      </c>
      <c r="B79" s="2499">
        <f t="shared" si="182"/>
        <v>104</v>
      </c>
      <c r="C79" s="2499">
        <f t="shared" si="182"/>
        <v>105</v>
      </c>
      <c r="D79" s="2499">
        <f t="shared" si="144"/>
        <v>105</v>
      </c>
      <c r="E79" s="2499">
        <f t="shared" si="183"/>
        <v>104</v>
      </c>
      <c r="F79" s="2499">
        <f t="shared" si="183"/>
        <v>101</v>
      </c>
      <c r="G79" s="3600">
        <v>2002</v>
      </c>
      <c r="H79" s="2438">
        <v>2</v>
      </c>
      <c r="I79" s="2497"/>
      <c r="J79" s="2497"/>
      <c r="K79" s="2497"/>
      <c r="L79" s="2497"/>
      <c r="X79" s="2489"/>
      <c r="Y79" s="2489"/>
      <c r="Z79" s="2489"/>
    </row>
    <row r="80" spans="1:26" s="2462" customFormat="1" ht="13.5" thickBot="1">
      <c r="A80" s="2458" t="s">
        <v>1177</v>
      </c>
      <c r="B80" s="2465">
        <f t="shared" si="182"/>
        <v>103</v>
      </c>
      <c r="C80" s="2465">
        <f t="shared" si="182"/>
        <v>104</v>
      </c>
      <c r="D80" s="2465">
        <f t="shared" si="144"/>
        <v>104</v>
      </c>
      <c r="E80" s="2465">
        <f t="shared" si="183"/>
        <v>103.5</v>
      </c>
      <c r="F80" s="2465">
        <f t="shared" si="183"/>
        <v>100.5</v>
      </c>
      <c r="G80" s="3601">
        <v>2002</v>
      </c>
      <c r="H80" s="2503">
        <v>1</v>
      </c>
      <c r="I80" s="2504"/>
      <c r="J80" s="2504"/>
      <c r="K80" s="2504"/>
      <c r="L80" s="2504"/>
      <c r="N80" s="2505"/>
      <c r="S80" s="2505"/>
      <c r="X80" s="2506"/>
      <c r="Y80" s="2506"/>
      <c r="Z80" s="2506"/>
    </row>
    <row r="81" spans="1:26" ht="13.5" thickBot="1">
      <c r="B81" s="2507">
        <v>102</v>
      </c>
      <c r="C81" s="2508">
        <v>103</v>
      </c>
      <c r="D81" s="2508">
        <f t="shared" si="144"/>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password="C66D"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613" t="s">
        <v>2824</v>
      </c>
      <c r="D1" s="3614"/>
      <c r="E1" s="3614"/>
      <c r="F1" s="3614"/>
      <c r="G1" s="3614"/>
      <c r="H1" s="3614"/>
      <c r="I1" s="3614"/>
      <c r="J1" s="3614"/>
      <c r="K1" s="3614"/>
      <c r="L1" s="3614"/>
      <c r="M1" s="3614"/>
      <c r="N1" s="3614"/>
      <c r="O1" s="3614"/>
      <c r="P1" s="3614"/>
      <c r="Q1" s="3614"/>
      <c r="R1" s="3614"/>
      <c r="S1" s="3615"/>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610" t="s">
        <v>33</v>
      </c>
      <c r="D22" s="3611"/>
      <c r="E22" s="3611"/>
      <c r="F22" s="3611"/>
      <c r="G22" s="3611"/>
      <c r="H22" s="3611"/>
      <c r="I22" s="3611"/>
      <c r="J22" s="3611"/>
      <c r="K22" s="3611"/>
      <c r="L22" s="3611"/>
      <c r="M22" s="3611"/>
      <c r="N22" s="3611"/>
      <c r="O22" s="3611"/>
      <c r="P22" s="3611"/>
      <c r="Q22" s="3612"/>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8">
        <v>1</v>
      </c>
      <c r="D24" s="3049"/>
      <c r="E24" s="3048">
        <v>1</v>
      </c>
      <c r="F24" s="3049"/>
      <c r="G24" s="3048">
        <v>1</v>
      </c>
      <c r="H24" s="3049"/>
      <c r="I24" s="3048">
        <v>1</v>
      </c>
      <c r="J24" s="3049"/>
      <c r="K24" s="3048">
        <v>1</v>
      </c>
      <c r="L24" s="3049"/>
      <c r="M24" s="3048">
        <v>1</v>
      </c>
      <c r="N24" s="3049"/>
      <c r="O24" s="3048">
        <v>1</v>
      </c>
      <c r="P24" s="3049"/>
      <c r="Q24" s="304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t="e">
        <f ca="1">C52</f>
        <v>#DIV/0!</v>
      </c>
      <c r="C2" s="2" t="s">
        <v>133</v>
      </c>
      <c r="D2" s="205"/>
      <c r="E2" s="205"/>
      <c r="F2" s="205"/>
      <c r="G2" s="205"/>
    </row>
    <row r="3" spans="1:7" s="206" customFormat="1" ht="18" customHeight="1" thickBot="1">
      <c r="A3" s="209" t="s">
        <v>85</v>
      </c>
      <c r="B3" s="210" t="e">
        <f ca="1">ROUND(B2*10000/'数据-汇总表'!E3,0)</f>
        <v>#DIV/0!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9</v>
      </c>
      <c r="D10" s="954">
        <f>'数据-汇总表'!E6</f>
        <v>445.5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v>
      </c>
      <c r="D19" s="958">
        <f>'数据-汇总表'!E3</f>
        <v>445.5</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t="e">
        <f>C28</f>
        <v>#DIV/0!</v>
      </c>
      <c r="D27" s="241" t="e">
        <f>C29</f>
        <v>#DIV/0!</v>
      </c>
      <c r="E27" s="242" t="s">
        <v>126</v>
      </c>
      <c r="F27" s="252" t="e">
        <f>'数据-取费表'!Q16</f>
        <v>#DIV/0!</v>
      </c>
      <c r="G27" s="253" t="s">
        <v>1037</v>
      </c>
    </row>
    <row r="28" spans="1:7" s="220" customFormat="1" ht="13.5" customHeight="1">
      <c r="A28" s="888" t="s">
        <v>794</v>
      </c>
      <c r="B28" s="254" t="s">
        <v>1030</v>
      </c>
      <c r="C28" s="255" t="e">
        <f>ROUND((C5+C19+C20)*F27*'数据-取费表'!B21/'数据-取费表'!B20,0)</f>
        <v>#DIV/0!</v>
      </c>
      <c r="D28" s="241"/>
      <c r="E28" s="242"/>
      <c r="F28" s="252"/>
      <c r="G28" s="253"/>
    </row>
    <row r="29" spans="1:7" s="220" customFormat="1" ht="13.5" customHeight="1">
      <c r="A29" s="888" t="s">
        <v>792</v>
      </c>
      <c r="B29" s="254" t="s">
        <v>1031</v>
      </c>
      <c r="C29" s="244" t="e">
        <f>ROUND(C21*F27*'数据-取费表'!B21/'数据-取费表'!B20,4)</f>
        <v>#DIV/0!</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t="e">
        <f ca="1">ROUND((C5+C19+C20+C22+C27)/(1-C21-D22-D27-C30/(1+'数据-取费表'!B42)),0)</f>
        <v>#DIV/0!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0</v>
      </c>
      <c r="D34" s="223"/>
      <c r="E34" s="226"/>
      <c r="F34" s="263">
        <f>IF('数据-取费表'!B24=0,1,'数据-取费表'!N16)</f>
        <v>1</v>
      </c>
      <c r="G34" s="225" t="s">
        <v>116</v>
      </c>
    </row>
    <row r="35" spans="1:7" ht="13.5" customHeight="1">
      <c r="A35" s="888" t="s">
        <v>796</v>
      </c>
      <c r="B35" s="221" t="s">
        <v>60</v>
      </c>
      <c r="C35" s="226">
        <f>ROUND(C34*F35,0)</f>
        <v>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0.1</v>
      </c>
      <c r="G36" s="266" t="s">
        <v>62</v>
      </c>
    </row>
    <row r="37" spans="1:7" s="264" customFormat="1" ht="13.5" customHeight="1">
      <c r="A37" s="888" t="s">
        <v>798</v>
      </c>
      <c r="B37" s="221" t="s">
        <v>118</v>
      </c>
      <c r="C37" s="255">
        <f>ROUND(E37*D37*F34/10000,0)</f>
        <v>9</v>
      </c>
      <c r="D37" s="223">
        <f>'数据-汇总表'!E3</f>
        <v>445.5</v>
      </c>
      <c r="E37" s="255">
        <f>'数据-取费表'!B35</f>
        <v>200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0</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0</v>
      </c>
      <c r="D42" s="244"/>
      <c r="E42" s="244"/>
      <c r="F42" s="245"/>
      <c r="G42" s="3409" t="s">
        <v>121</v>
      </c>
    </row>
    <row r="43" spans="1:7" ht="13.5" customHeight="1">
      <c r="A43" s="888" t="s">
        <v>792</v>
      </c>
      <c r="B43" s="221" t="s">
        <v>1032</v>
      </c>
      <c r="C43" s="244">
        <f ca="1">ROUND(IF('数据-取费表'!B22&lt;=1,C39*F22*'数据-取费表'!B21/2,C39*(POWER((1+F22),'数据-取费表'!B21/2)-1)),0)</f>
        <v>0</v>
      </c>
      <c r="D43" s="244"/>
      <c r="E43" s="244"/>
      <c r="F43" s="245"/>
      <c r="G43" s="3410"/>
    </row>
    <row r="44" spans="1:7" ht="13.5" customHeight="1">
      <c r="A44" s="888" t="s">
        <v>793</v>
      </c>
      <c r="B44" s="221" t="s">
        <v>1034</v>
      </c>
      <c r="C44" s="244">
        <f ca="1">ROUND(IF('数据-取费表'!B22&lt;=1,C40*F22*'数据-取费表'!B21/2,C40*(POWER((1+F22),'数据-取费表'!B21/2)-1)),4)</f>
        <v>1E-3</v>
      </c>
      <c r="D44" s="244"/>
      <c r="E44" s="244"/>
      <c r="F44" s="245"/>
      <c r="G44" s="3411"/>
    </row>
    <row r="45" spans="1:7" s="220" customFormat="1" ht="13.5" customHeight="1">
      <c r="A45" s="885" t="s">
        <v>786</v>
      </c>
      <c r="B45" s="250" t="s">
        <v>112</v>
      </c>
      <c r="C45" s="251" t="e">
        <f>C46</f>
        <v>#DIV/0!</v>
      </c>
      <c r="D45" s="241" t="e">
        <f>C47</f>
        <v>#DIV/0!</v>
      </c>
      <c r="E45" s="242" t="s">
        <v>129</v>
      </c>
      <c r="F45" s="252"/>
      <c r="G45" s="253" t="s">
        <v>1040</v>
      </c>
    </row>
    <row r="46" spans="1:7" s="220" customFormat="1" ht="13.5" customHeight="1">
      <c r="A46" s="888" t="s">
        <v>794</v>
      </c>
      <c r="B46" s="254" t="s">
        <v>1033</v>
      </c>
      <c r="C46" s="255" t="e">
        <f>ROUND((C33+C39)*F27,0)</f>
        <v>#DIV/0!</v>
      </c>
      <c r="D46" s="269"/>
      <c r="E46" s="242"/>
      <c r="F46" s="252"/>
      <c r="G46" s="253"/>
    </row>
    <row r="47" spans="1:7" s="220" customFormat="1" ht="13.5" customHeight="1">
      <c r="A47" s="888" t="s">
        <v>792</v>
      </c>
      <c r="B47" s="254" t="s">
        <v>1035</v>
      </c>
      <c r="C47" s="244" t="e">
        <f>ROUND(C40*F27,4)</f>
        <v>#DIV/0!</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t="e">
        <f ca="1">ROUND((C33+C39+C41+C45)/(1-C40-D41-D45-C48/(1+'数据-取费表'!B42)),0)</f>
        <v>#DIV/0!</v>
      </c>
      <c r="D49" s="238"/>
      <c r="E49" s="238"/>
      <c r="F49" s="270"/>
      <c r="G49" s="240" t="s">
        <v>1041</v>
      </c>
    </row>
    <row r="50" spans="1:7" s="264" customFormat="1" ht="24">
      <c r="A50" s="885" t="s">
        <v>789</v>
      </c>
      <c r="B50" s="216" t="s">
        <v>124</v>
      </c>
      <c r="C50" s="238"/>
      <c r="D50" s="238"/>
      <c r="E50" s="238"/>
      <c r="F50" s="270" t="e">
        <f>IF('数据-取费表'!B24=0,'数据-取费表'!N16,1)</f>
        <v>#DIV/0!</v>
      </c>
      <c r="G50" s="253" t="s">
        <v>125</v>
      </c>
    </row>
    <row r="51" spans="1:7" ht="16.5" customHeight="1">
      <c r="A51" s="885" t="s">
        <v>790</v>
      </c>
      <c r="B51" s="216" t="s">
        <v>132</v>
      </c>
      <c r="C51" s="238" t="e">
        <f ca="1">ROUND(C49*F50,0)</f>
        <v>#DIV/0!</v>
      </c>
      <c r="D51" s="238"/>
      <c r="E51" s="238"/>
      <c r="F51" s="270"/>
      <c r="G51" s="240" t="s">
        <v>64</v>
      </c>
    </row>
    <row r="52" spans="1:7" s="214" customFormat="1" ht="16.5" thickBot="1">
      <c r="A52" s="271" t="s">
        <v>65</v>
      </c>
      <c r="B52" s="272"/>
      <c r="C52" s="273" t="e">
        <f ca="1">C31+C51</f>
        <v>#DIV/0!</v>
      </c>
      <c r="D52" s="272"/>
      <c r="E52" s="272"/>
      <c r="F52" s="272"/>
      <c r="G52" s="274"/>
    </row>
    <row r="55" spans="1:7" ht="15">
      <c r="B55" s="276" t="s">
        <v>66</v>
      </c>
      <c r="C55" s="277"/>
    </row>
    <row r="56" spans="1:7">
      <c r="B56" s="279" t="s">
        <v>67</v>
      </c>
      <c r="C56" s="280" t="e">
        <f ca="1">ROUND(C51/C52,3)</f>
        <v>#DIV/0!</v>
      </c>
    </row>
    <row r="57" spans="1:7">
      <c r="B57" s="279" t="s">
        <v>68</v>
      </c>
      <c r="C57" s="281" t="e">
        <f ca="1">1-C56</f>
        <v>#DIV/0!</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S344"/>
  <sheetViews>
    <sheetView workbookViewId="0">
      <selection activeCell="G224" sqref="G224"/>
    </sheetView>
  </sheetViews>
  <sheetFormatPr defaultColWidth="9" defaultRowHeight="14.25"/>
  <cols>
    <col min="1" max="1" width="12.625" style="794" customWidth="1"/>
    <col min="2" max="5" width="10.125" style="752" customWidth="1"/>
    <col min="6" max="6" width="9" style="752"/>
    <col min="7" max="8" width="9" style="767"/>
    <col min="9" max="16384" width="9" style="752"/>
  </cols>
  <sheetData>
    <row r="1" spans="1:19">
      <c r="A1" s="3616" t="s">
        <v>156</v>
      </c>
      <c r="B1" s="3616"/>
      <c r="C1" s="3616"/>
      <c r="D1" s="3616"/>
      <c r="E1" s="3616"/>
      <c r="F1" s="361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617" t="s">
        <v>169</v>
      </c>
      <c r="B2" s="3617"/>
      <c r="C2" s="3617"/>
      <c r="D2" s="3617"/>
      <c r="E2" s="3617"/>
      <c r="F2" s="361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1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F344"/>
  <sheetViews>
    <sheetView workbookViewId="0">
      <selection activeCell="F6" sqref="F6"/>
    </sheetView>
  </sheetViews>
  <sheetFormatPr defaultColWidth="8.875" defaultRowHeight="14.25"/>
  <cols>
    <col min="1" max="1" width="12.625" style="794" customWidth="1"/>
    <col min="2" max="2" width="10.125" style="752" customWidth="1"/>
  </cols>
  <sheetData>
    <row r="1" spans="1:6">
      <c r="A1" s="3616" t="s">
        <v>839</v>
      </c>
      <c r="B1" s="3616"/>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15" thickBot="1">
      <c r="A105" s="779" t="s">
        <v>523</v>
      </c>
      <c r="B105" s="773" t="s">
        <v>861</v>
      </c>
      <c r="C105" s="991"/>
      <c r="D105" s="991"/>
      <c r="E105" s="991"/>
      <c r="F105" s="979">
        <v>0.05</v>
      </c>
    </row>
    <row r="106" spans="1:6" ht="1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5"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63"/>
  <sheetViews>
    <sheetView workbookViewId="0">
      <selection activeCell="I1" sqref="I1"/>
    </sheetView>
  </sheetViews>
  <sheetFormatPr defaultColWidth="8.875" defaultRowHeight="14.25"/>
  <cols>
    <col min="1" max="1" width="4.875" style="1410" customWidth="1"/>
    <col min="2" max="2" width="13.125" style="1416" customWidth="1"/>
    <col min="3" max="3" width="15.625" style="1416" customWidth="1"/>
    <col min="4" max="4" width="9.375" style="1416" bestFit="1" customWidth="1"/>
    <col min="5" max="5" width="13.5" style="1416" customWidth="1"/>
    <col min="6" max="6" width="8.875" style="1416"/>
    <col min="7" max="7" width="9.375" style="1416" bestFit="1" customWidth="1"/>
    <col min="8" max="8" width="12.125" style="1416" customWidth="1"/>
    <col min="9" max="9" width="8.875" style="1416"/>
    <col min="10" max="10" width="9.375" style="1416" bestFit="1" customWidth="1"/>
    <col min="11" max="11" width="4" style="1410" customWidth="1"/>
    <col min="12" max="12" width="5.125" style="1416" customWidth="1"/>
    <col min="13" max="13" width="13.625" style="1416" customWidth="1"/>
    <col min="14" max="256" width="8.875"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8.875" style="1407"/>
    <col min="263" max="263" width="9.375" style="1407" bestFit="1" customWidth="1"/>
    <col min="264" max="265" width="8.875" style="1407"/>
    <col min="266" max="266" width="9.375" style="1407" bestFit="1" customWidth="1"/>
    <col min="267" max="267" width="4" style="1407" customWidth="1"/>
    <col min="268" max="268" width="5.125" style="1407" customWidth="1"/>
    <col min="269" max="269" width="13.625" style="1407" customWidth="1"/>
    <col min="270" max="512" width="8.875"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8.875" style="1407"/>
    <col min="519" max="519" width="9.375" style="1407" bestFit="1" customWidth="1"/>
    <col min="520" max="521" width="8.875" style="1407"/>
    <col min="522" max="522" width="9.375" style="1407" bestFit="1" customWidth="1"/>
    <col min="523" max="523" width="4" style="1407" customWidth="1"/>
    <col min="524" max="524" width="5.125" style="1407" customWidth="1"/>
    <col min="525" max="525" width="13.625" style="1407" customWidth="1"/>
    <col min="526" max="768" width="8.875"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8.875" style="1407"/>
    <col min="775" max="775" width="9.375" style="1407" bestFit="1" customWidth="1"/>
    <col min="776" max="777" width="8.875" style="1407"/>
    <col min="778" max="778" width="9.375" style="1407" bestFit="1" customWidth="1"/>
    <col min="779" max="779" width="4" style="1407" customWidth="1"/>
    <col min="780" max="780" width="5.125" style="1407" customWidth="1"/>
    <col min="781" max="781" width="13.625" style="1407" customWidth="1"/>
    <col min="782" max="1024" width="8.875"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8.875" style="1407"/>
    <col min="1031" max="1031" width="9.375" style="1407" bestFit="1" customWidth="1"/>
    <col min="1032" max="1033" width="8.875" style="1407"/>
    <col min="1034" max="1034" width="9.375" style="1407" bestFit="1" customWidth="1"/>
    <col min="1035" max="1035" width="4" style="1407" customWidth="1"/>
    <col min="1036" max="1036" width="5.125" style="1407" customWidth="1"/>
    <col min="1037" max="1037" width="13.625" style="1407" customWidth="1"/>
    <col min="1038" max="1280" width="8.875"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8.875" style="1407"/>
    <col min="1287" max="1287" width="9.375" style="1407" bestFit="1" customWidth="1"/>
    <col min="1288" max="1289" width="8.875" style="1407"/>
    <col min="1290" max="1290" width="9.375" style="1407" bestFit="1" customWidth="1"/>
    <col min="1291" max="1291" width="4" style="1407" customWidth="1"/>
    <col min="1292" max="1292" width="5.125" style="1407" customWidth="1"/>
    <col min="1293" max="1293" width="13.625" style="1407" customWidth="1"/>
    <col min="1294" max="1536" width="8.875"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8.875" style="1407"/>
    <col min="1543" max="1543" width="9.375" style="1407" bestFit="1" customWidth="1"/>
    <col min="1544" max="1545" width="8.875" style="1407"/>
    <col min="1546" max="1546" width="9.375" style="1407" bestFit="1" customWidth="1"/>
    <col min="1547" max="1547" width="4" style="1407" customWidth="1"/>
    <col min="1548" max="1548" width="5.125" style="1407" customWidth="1"/>
    <col min="1549" max="1549" width="13.625" style="1407" customWidth="1"/>
    <col min="1550" max="1792" width="8.875"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8.875" style="1407"/>
    <col min="1799" max="1799" width="9.375" style="1407" bestFit="1" customWidth="1"/>
    <col min="1800" max="1801" width="8.875" style="1407"/>
    <col min="1802" max="1802" width="9.375" style="1407" bestFit="1" customWidth="1"/>
    <col min="1803" max="1803" width="4" style="1407" customWidth="1"/>
    <col min="1804" max="1804" width="5.125" style="1407" customWidth="1"/>
    <col min="1805" max="1805" width="13.625" style="1407" customWidth="1"/>
    <col min="1806" max="2048" width="8.875"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8.875" style="1407"/>
    <col min="2055" max="2055" width="9.375" style="1407" bestFit="1" customWidth="1"/>
    <col min="2056" max="2057" width="8.875" style="1407"/>
    <col min="2058" max="2058" width="9.375" style="1407" bestFit="1" customWidth="1"/>
    <col min="2059" max="2059" width="4" style="1407" customWidth="1"/>
    <col min="2060" max="2060" width="5.125" style="1407" customWidth="1"/>
    <col min="2061" max="2061" width="13.625" style="1407" customWidth="1"/>
    <col min="2062" max="2304" width="8.875"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8.875" style="1407"/>
    <col min="2311" max="2311" width="9.375" style="1407" bestFit="1" customWidth="1"/>
    <col min="2312" max="2313" width="8.875" style="1407"/>
    <col min="2314" max="2314" width="9.375" style="1407" bestFit="1" customWidth="1"/>
    <col min="2315" max="2315" width="4" style="1407" customWidth="1"/>
    <col min="2316" max="2316" width="5.125" style="1407" customWidth="1"/>
    <col min="2317" max="2317" width="13.625" style="1407" customWidth="1"/>
    <col min="2318" max="2560" width="8.875"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8.875" style="1407"/>
    <col min="2567" max="2567" width="9.375" style="1407" bestFit="1" customWidth="1"/>
    <col min="2568" max="2569" width="8.875" style="1407"/>
    <col min="2570" max="2570" width="9.375" style="1407" bestFit="1" customWidth="1"/>
    <col min="2571" max="2571" width="4" style="1407" customWidth="1"/>
    <col min="2572" max="2572" width="5.125" style="1407" customWidth="1"/>
    <col min="2573" max="2573" width="13.625" style="1407" customWidth="1"/>
    <col min="2574" max="2816" width="8.875"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8.875" style="1407"/>
    <col min="2823" max="2823" width="9.375" style="1407" bestFit="1" customWidth="1"/>
    <col min="2824" max="2825" width="8.875" style="1407"/>
    <col min="2826" max="2826" width="9.375" style="1407" bestFit="1" customWidth="1"/>
    <col min="2827" max="2827" width="4" style="1407" customWidth="1"/>
    <col min="2828" max="2828" width="5.125" style="1407" customWidth="1"/>
    <col min="2829" max="2829" width="13.625" style="1407" customWidth="1"/>
    <col min="2830" max="3072" width="8.875"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8.875" style="1407"/>
    <col min="3079" max="3079" width="9.375" style="1407" bestFit="1" customWidth="1"/>
    <col min="3080" max="3081" width="8.875" style="1407"/>
    <col min="3082" max="3082" width="9.375" style="1407" bestFit="1" customWidth="1"/>
    <col min="3083" max="3083" width="4" style="1407" customWidth="1"/>
    <col min="3084" max="3084" width="5.125" style="1407" customWidth="1"/>
    <col min="3085" max="3085" width="13.625" style="1407" customWidth="1"/>
    <col min="3086" max="3328" width="8.875"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8.875" style="1407"/>
    <col min="3335" max="3335" width="9.375" style="1407" bestFit="1" customWidth="1"/>
    <col min="3336" max="3337" width="8.875" style="1407"/>
    <col min="3338" max="3338" width="9.375" style="1407" bestFit="1" customWidth="1"/>
    <col min="3339" max="3339" width="4" style="1407" customWidth="1"/>
    <col min="3340" max="3340" width="5.125" style="1407" customWidth="1"/>
    <col min="3341" max="3341" width="13.625" style="1407" customWidth="1"/>
    <col min="3342" max="3584" width="8.875"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8.875" style="1407"/>
    <col min="3591" max="3591" width="9.375" style="1407" bestFit="1" customWidth="1"/>
    <col min="3592" max="3593" width="8.875" style="1407"/>
    <col min="3594" max="3594" width="9.375" style="1407" bestFit="1" customWidth="1"/>
    <col min="3595" max="3595" width="4" style="1407" customWidth="1"/>
    <col min="3596" max="3596" width="5.125" style="1407" customWidth="1"/>
    <col min="3597" max="3597" width="13.625" style="1407" customWidth="1"/>
    <col min="3598" max="3840" width="8.875"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8.875" style="1407"/>
    <col min="3847" max="3847" width="9.375" style="1407" bestFit="1" customWidth="1"/>
    <col min="3848" max="3849" width="8.875" style="1407"/>
    <col min="3850" max="3850" width="9.375" style="1407" bestFit="1" customWidth="1"/>
    <col min="3851" max="3851" width="4" style="1407" customWidth="1"/>
    <col min="3852" max="3852" width="5.125" style="1407" customWidth="1"/>
    <col min="3853" max="3853" width="13.625" style="1407" customWidth="1"/>
    <col min="3854" max="4096" width="8.875"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8.875" style="1407"/>
    <col min="4103" max="4103" width="9.375" style="1407" bestFit="1" customWidth="1"/>
    <col min="4104" max="4105" width="8.875" style="1407"/>
    <col min="4106" max="4106" width="9.375" style="1407" bestFit="1" customWidth="1"/>
    <col min="4107" max="4107" width="4" style="1407" customWidth="1"/>
    <col min="4108" max="4108" width="5.125" style="1407" customWidth="1"/>
    <col min="4109" max="4109" width="13.625" style="1407" customWidth="1"/>
    <col min="4110" max="4352" width="8.875"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8.875" style="1407"/>
    <col min="4359" max="4359" width="9.375" style="1407" bestFit="1" customWidth="1"/>
    <col min="4360" max="4361" width="8.875" style="1407"/>
    <col min="4362" max="4362" width="9.375" style="1407" bestFit="1" customWidth="1"/>
    <col min="4363" max="4363" width="4" style="1407" customWidth="1"/>
    <col min="4364" max="4364" width="5.125" style="1407" customWidth="1"/>
    <col min="4365" max="4365" width="13.625" style="1407" customWidth="1"/>
    <col min="4366" max="4608" width="8.875"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8.875" style="1407"/>
    <col min="4615" max="4615" width="9.375" style="1407" bestFit="1" customWidth="1"/>
    <col min="4616" max="4617" width="8.875" style="1407"/>
    <col min="4618" max="4618" width="9.375" style="1407" bestFit="1" customWidth="1"/>
    <col min="4619" max="4619" width="4" style="1407" customWidth="1"/>
    <col min="4620" max="4620" width="5.125" style="1407" customWidth="1"/>
    <col min="4621" max="4621" width="13.625" style="1407" customWidth="1"/>
    <col min="4622" max="4864" width="8.875"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8.875" style="1407"/>
    <col min="4871" max="4871" width="9.375" style="1407" bestFit="1" customWidth="1"/>
    <col min="4872" max="4873" width="8.875" style="1407"/>
    <col min="4874" max="4874" width="9.375" style="1407" bestFit="1" customWidth="1"/>
    <col min="4875" max="4875" width="4" style="1407" customWidth="1"/>
    <col min="4876" max="4876" width="5.125" style="1407" customWidth="1"/>
    <col min="4877" max="4877" width="13.625" style="1407" customWidth="1"/>
    <col min="4878" max="5120" width="8.875"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8.875" style="1407"/>
    <col min="5127" max="5127" width="9.375" style="1407" bestFit="1" customWidth="1"/>
    <col min="5128" max="5129" width="8.875" style="1407"/>
    <col min="5130" max="5130" width="9.375" style="1407" bestFit="1" customWidth="1"/>
    <col min="5131" max="5131" width="4" style="1407" customWidth="1"/>
    <col min="5132" max="5132" width="5.125" style="1407" customWidth="1"/>
    <col min="5133" max="5133" width="13.625" style="1407" customWidth="1"/>
    <col min="5134" max="5376" width="8.875"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8.875" style="1407"/>
    <col min="5383" max="5383" width="9.375" style="1407" bestFit="1" customWidth="1"/>
    <col min="5384" max="5385" width="8.875" style="1407"/>
    <col min="5386" max="5386" width="9.375" style="1407" bestFit="1" customWidth="1"/>
    <col min="5387" max="5387" width="4" style="1407" customWidth="1"/>
    <col min="5388" max="5388" width="5.125" style="1407" customWidth="1"/>
    <col min="5389" max="5389" width="13.625" style="1407" customWidth="1"/>
    <col min="5390" max="5632" width="8.875"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8.875" style="1407"/>
    <col min="5639" max="5639" width="9.375" style="1407" bestFit="1" customWidth="1"/>
    <col min="5640" max="5641" width="8.875" style="1407"/>
    <col min="5642" max="5642" width="9.375" style="1407" bestFit="1" customWidth="1"/>
    <col min="5643" max="5643" width="4" style="1407" customWidth="1"/>
    <col min="5644" max="5644" width="5.125" style="1407" customWidth="1"/>
    <col min="5645" max="5645" width="13.625" style="1407" customWidth="1"/>
    <col min="5646" max="5888" width="8.875"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8.875" style="1407"/>
    <col min="5895" max="5895" width="9.375" style="1407" bestFit="1" customWidth="1"/>
    <col min="5896" max="5897" width="8.875" style="1407"/>
    <col min="5898" max="5898" width="9.375" style="1407" bestFit="1" customWidth="1"/>
    <col min="5899" max="5899" width="4" style="1407" customWidth="1"/>
    <col min="5900" max="5900" width="5.125" style="1407" customWidth="1"/>
    <col min="5901" max="5901" width="13.625" style="1407" customWidth="1"/>
    <col min="5902" max="6144" width="8.875"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8.875" style="1407"/>
    <col min="6151" max="6151" width="9.375" style="1407" bestFit="1" customWidth="1"/>
    <col min="6152" max="6153" width="8.875" style="1407"/>
    <col min="6154" max="6154" width="9.375" style="1407" bestFit="1" customWidth="1"/>
    <col min="6155" max="6155" width="4" style="1407" customWidth="1"/>
    <col min="6156" max="6156" width="5.125" style="1407" customWidth="1"/>
    <col min="6157" max="6157" width="13.625" style="1407" customWidth="1"/>
    <col min="6158" max="6400" width="8.875"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8.875" style="1407"/>
    <col min="6407" max="6407" width="9.375" style="1407" bestFit="1" customWidth="1"/>
    <col min="6408" max="6409" width="8.875" style="1407"/>
    <col min="6410" max="6410" width="9.375" style="1407" bestFit="1" customWidth="1"/>
    <col min="6411" max="6411" width="4" style="1407" customWidth="1"/>
    <col min="6412" max="6412" width="5.125" style="1407" customWidth="1"/>
    <col min="6413" max="6413" width="13.625" style="1407" customWidth="1"/>
    <col min="6414" max="6656" width="8.875"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8.875" style="1407"/>
    <col min="6663" max="6663" width="9.375" style="1407" bestFit="1" customWidth="1"/>
    <col min="6664" max="6665" width="8.875" style="1407"/>
    <col min="6666" max="6666" width="9.375" style="1407" bestFit="1" customWidth="1"/>
    <col min="6667" max="6667" width="4" style="1407" customWidth="1"/>
    <col min="6668" max="6668" width="5.125" style="1407" customWidth="1"/>
    <col min="6669" max="6669" width="13.625" style="1407" customWidth="1"/>
    <col min="6670" max="6912" width="8.875"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8.875" style="1407"/>
    <col min="6919" max="6919" width="9.375" style="1407" bestFit="1" customWidth="1"/>
    <col min="6920" max="6921" width="8.875" style="1407"/>
    <col min="6922" max="6922" width="9.375" style="1407" bestFit="1" customWidth="1"/>
    <col min="6923" max="6923" width="4" style="1407" customWidth="1"/>
    <col min="6924" max="6924" width="5.125" style="1407" customWidth="1"/>
    <col min="6925" max="6925" width="13.625" style="1407" customWidth="1"/>
    <col min="6926" max="7168" width="8.875"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8.875" style="1407"/>
    <col min="7175" max="7175" width="9.375" style="1407" bestFit="1" customWidth="1"/>
    <col min="7176" max="7177" width="8.875" style="1407"/>
    <col min="7178" max="7178" width="9.375" style="1407" bestFit="1" customWidth="1"/>
    <col min="7179" max="7179" width="4" style="1407" customWidth="1"/>
    <col min="7180" max="7180" width="5.125" style="1407" customWidth="1"/>
    <col min="7181" max="7181" width="13.625" style="1407" customWidth="1"/>
    <col min="7182" max="7424" width="8.875"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8.875" style="1407"/>
    <col min="7431" max="7431" width="9.375" style="1407" bestFit="1" customWidth="1"/>
    <col min="7432" max="7433" width="8.875" style="1407"/>
    <col min="7434" max="7434" width="9.375" style="1407" bestFit="1" customWidth="1"/>
    <col min="7435" max="7435" width="4" style="1407" customWidth="1"/>
    <col min="7436" max="7436" width="5.125" style="1407" customWidth="1"/>
    <col min="7437" max="7437" width="13.625" style="1407" customWidth="1"/>
    <col min="7438" max="7680" width="8.875"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8.875" style="1407"/>
    <col min="7687" max="7687" width="9.375" style="1407" bestFit="1" customWidth="1"/>
    <col min="7688" max="7689" width="8.875" style="1407"/>
    <col min="7690" max="7690" width="9.375" style="1407" bestFit="1" customWidth="1"/>
    <col min="7691" max="7691" width="4" style="1407" customWidth="1"/>
    <col min="7692" max="7692" width="5.125" style="1407" customWidth="1"/>
    <col min="7693" max="7693" width="13.625" style="1407" customWidth="1"/>
    <col min="7694" max="7936" width="8.875"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8.875" style="1407"/>
    <col min="7943" max="7943" width="9.375" style="1407" bestFit="1" customWidth="1"/>
    <col min="7944" max="7945" width="8.875" style="1407"/>
    <col min="7946" max="7946" width="9.375" style="1407" bestFit="1" customWidth="1"/>
    <col min="7947" max="7947" width="4" style="1407" customWidth="1"/>
    <col min="7948" max="7948" width="5.125" style="1407" customWidth="1"/>
    <col min="7949" max="7949" width="13.625" style="1407" customWidth="1"/>
    <col min="7950" max="8192" width="8.875"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8.875" style="1407"/>
    <col min="8199" max="8199" width="9.375" style="1407" bestFit="1" customWidth="1"/>
    <col min="8200" max="8201" width="8.875" style="1407"/>
    <col min="8202" max="8202" width="9.375" style="1407" bestFit="1" customWidth="1"/>
    <col min="8203" max="8203" width="4" style="1407" customWidth="1"/>
    <col min="8204" max="8204" width="5.125" style="1407" customWidth="1"/>
    <col min="8205" max="8205" width="13.625" style="1407" customWidth="1"/>
    <col min="8206" max="8448" width="8.875"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8.875" style="1407"/>
    <col min="8455" max="8455" width="9.375" style="1407" bestFit="1" customWidth="1"/>
    <col min="8456" max="8457" width="8.875" style="1407"/>
    <col min="8458" max="8458" width="9.375" style="1407" bestFit="1" customWidth="1"/>
    <col min="8459" max="8459" width="4" style="1407" customWidth="1"/>
    <col min="8460" max="8460" width="5.125" style="1407" customWidth="1"/>
    <col min="8461" max="8461" width="13.625" style="1407" customWidth="1"/>
    <col min="8462" max="8704" width="8.875"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8.875" style="1407"/>
    <col min="8711" max="8711" width="9.375" style="1407" bestFit="1" customWidth="1"/>
    <col min="8712" max="8713" width="8.875" style="1407"/>
    <col min="8714" max="8714" width="9.375" style="1407" bestFit="1" customWidth="1"/>
    <col min="8715" max="8715" width="4" style="1407" customWidth="1"/>
    <col min="8716" max="8716" width="5.125" style="1407" customWidth="1"/>
    <col min="8717" max="8717" width="13.625" style="1407" customWidth="1"/>
    <col min="8718" max="8960" width="8.875"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8.875" style="1407"/>
    <col min="8967" max="8967" width="9.375" style="1407" bestFit="1" customWidth="1"/>
    <col min="8968" max="8969" width="8.875" style="1407"/>
    <col min="8970" max="8970" width="9.375" style="1407" bestFit="1" customWidth="1"/>
    <col min="8971" max="8971" width="4" style="1407" customWidth="1"/>
    <col min="8972" max="8972" width="5.125" style="1407" customWidth="1"/>
    <col min="8973" max="8973" width="13.625" style="1407" customWidth="1"/>
    <col min="8974" max="9216" width="8.875"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8.875" style="1407"/>
    <col min="9223" max="9223" width="9.375" style="1407" bestFit="1" customWidth="1"/>
    <col min="9224" max="9225" width="8.875" style="1407"/>
    <col min="9226" max="9226" width="9.375" style="1407" bestFit="1" customWidth="1"/>
    <col min="9227" max="9227" width="4" style="1407" customWidth="1"/>
    <col min="9228" max="9228" width="5.125" style="1407" customWidth="1"/>
    <col min="9229" max="9229" width="13.625" style="1407" customWidth="1"/>
    <col min="9230" max="9472" width="8.875"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8.875" style="1407"/>
    <col min="9479" max="9479" width="9.375" style="1407" bestFit="1" customWidth="1"/>
    <col min="9480" max="9481" width="8.875" style="1407"/>
    <col min="9482" max="9482" width="9.375" style="1407" bestFit="1" customWidth="1"/>
    <col min="9483" max="9483" width="4" style="1407" customWidth="1"/>
    <col min="9484" max="9484" width="5.125" style="1407" customWidth="1"/>
    <col min="9485" max="9485" width="13.625" style="1407" customWidth="1"/>
    <col min="9486" max="9728" width="8.875"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8.875" style="1407"/>
    <col min="9735" max="9735" width="9.375" style="1407" bestFit="1" customWidth="1"/>
    <col min="9736" max="9737" width="8.875" style="1407"/>
    <col min="9738" max="9738" width="9.375" style="1407" bestFit="1" customWidth="1"/>
    <col min="9739" max="9739" width="4" style="1407" customWidth="1"/>
    <col min="9740" max="9740" width="5.125" style="1407" customWidth="1"/>
    <col min="9741" max="9741" width="13.625" style="1407" customWidth="1"/>
    <col min="9742" max="9984" width="8.875"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8.875" style="1407"/>
    <col min="9991" max="9991" width="9.375" style="1407" bestFit="1" customWidth="1"/>
    <col min="9992" max="9993" width="8.875" style="1407"/>
    <col min="9994" max="9994" width="9.375" style="1407" bestFit="1" customWidth="1"/>
    <col min="9995" max="9995" width="4" style="1407" customWidth="1"/>
    <col min="9996" max="9996" width="5.125" style="1407" customWidth="1"/>
    <col min="9997" max="9997" width="13.625" style="1407" customWidth="1"/>
    <col min="9998" max="10240" width="8.875"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8.875" style="1407"/>
    <col min="10247" max="10247" width="9.375" style="1407" bestFit="1" customWidth="1"/>
    <col min="10248" max="10249" width="8.875" style="1407"/>
    <col min="10250" max="10250" width="9.375" style="1407" bestFit="1" customWidth="1"/>
    <col min="10251" max="10251" width="4" style="1407" customWidth="1"/>
    <col min="10252" max="10252" width="5.125" style="1407" customWidth="1"/>
    <col min="10253" max="10253" width="13.625" style="1407" customWidth="1"/>
    <col min="10254" max="10496" width="8.875"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8.875" style="1407"/>
    <col min="10503" max="10503" width="9.375" style="1407" bestFit="1" customWidth="1"/>
    <col min="10504" max="10505" width="8.875" style="1407"/>
    <col min="10506" max="10506" width="9.375" style="1407" bestFit="1" customWidth="1"/>
    <col min="10507" max="10507" width="4" style="1407" customWidth="1"/>
    <col min="10508" max="10508" width="5.125" style="1407" customWidth="1"/>
    <col min="10509" max="10509" width="13.625" style="1407" customWidth="1"/>
    <col min="10510" max="10752" width="8.875"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8.875" style="1407"/>
    <col min="10759" max="10759" width="9.375" style="1407" bestFit="1" customWidth="1"/>
    <col min="10760" max="10761" width="8.875" style="1407"/>
    <col min="10762" max="10762" width="9.375" style="1407" bestFit="1" customWidth="1"/>
    <col min="10763" max="10763" width="4" style="1407" customWidth="1"/>
    <col min="10764" max="10764" width="5.125" style="1407" customWidth="1"/>
    <col min="10765" max="10765" width="13.625" style="1407" customWidth="1"/>
    <col min="10766" max="11008" width="8.875"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8.875" style="1407"/>
    <col min="11015" max="11015" width="9.375" style="1407" bestFit="1" customWidth="1"/>
    <col min="11016" max="11017" width="8.875" style="1407"/>
    <col min="11018" max="11018" width="9.375" style="1407" bestFit="1" customWidth="1"/>
    <col min="11019" max="11019" width="4" style="1407" customWidth="1"/>
    <col min="11020" max="11020" width="5.125" style="1407" customWidth="1"/>
    <col min="11021" max="11021" width="13.625" style="1407" customWidth="1"/>
    <col min="11022" max="11264" width="8.875"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8.875" style="1407"/>
    <col min="11271" max="11271" width="9.375" style="1407" bestFit="1" customWidth="1"/>
    <col min="11272" max="11273" width="8.875" style="1407"/>
    <col min="11274" max="11274" width="9.375" style="1407" bestFit="1" customWidth="1"/>
    <col min="11275" max="11275" width="4" style="1407" customWidth="1"/>
    <col min="11276" max="11276" width="5.125" style="1407" customWidth="1"/>
    <col min="11277" max="11277" width="13.625" style="1407" customWidth="1"/>
    <col min="11278" max="11520" width="8.875"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8.875" style="1407"/>
    <col min="11527" max="11527" width="9.375" style="1407" bestFit="1" customWidth="1"/>
    <col min="11528" max="11529" width="8.875" style="1407"/>
    <col min="11530" max="11530" width="9.375" style="1407" bestFit="1" customWidth="1"/>
    <col min="11531" max="11531" width="4" style="1407" customWidth="1"/>
    <col min="11532" max="11532" width="5.125" style="1407" customWidth="1"/>
    <col min="11533" max="11533" width="13.625" style="1407" customWidth="1"/>
    <col min="11534" max="11776" width="8.875"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8.875" style="1407"/>
    <col min="11783" max="11783" width="9.375" style="1407" bestFit="1" customWidth="1"/>
    <col min="11784" max="11785" width="8.875" style="1407"/>
    <col min="11786" max="11786" width="9.375" style="1407" bestFit="1" customWidth="1"/>
    <col min="11787" max="11787" width="4" style="1407" customWidth="1"/>
    <col min="11788" max="11788" width="5.125" style="1407" customWidth="1"/>
    <col min="11789" max="11789" width="13.625" style="1407" customWidth="1"/>
    <col min="11790" max="12032" width="8.875"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8.875" style="1407"/>
    <col min="12039" max="12039" width="9.375" style="1407" bestFit="1" customWidth="1"/>
    <col min="12040" max="12041" width="8.875" style="1407"/>
    <col min="12042" max="12042" width="9.375" style="1407" bestFit="1" customWidth="1"/>
    <col min="12043" max="12043" width="4" style="1407" customWidth="1"/>
    <col min="12044" max="12044" width="5.125" style="1407" customWidth="1"/>
    <col min="12045" max="12045" width="13.625" style="1407" customWidth="1"/>
    <col min="12046" max="12288" width="8.875"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8.875" style="1407"/>
    <col min="12295" max="12295" width="9.375" style="1407" bestFit="1" customWidth="1"/>
    <col min="12296" max="12297" width="8.875" style="1407"/>
    <col min="12298" max="12298" width="9.375" style="1407" bestFit="1" customWidth="1"/>
    <col min="12299" max="12299" width="4" style="1407" customWidth="1"/>
    <col min="12300" max="12300" width="5.125" style="1407" customWidth="1"/>
    <col min="12301" max="12301" width="13.625" style="1407" customWidth="1"/>
    <col min="12302" max="12544" width="8.875"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8.875" style="1407"/>
    <col min="12551" max="12551" width="9.375" style="1407" bestFit="1" customWidth="1"/>
    <col min="12552" max="12553" width="8.875" style="1407"/>
    <col min="12554" max="12554" width="9.375" style="1407" bestFit="1" customWidth="1"/>
    <col min="12555" max="12555" width="4" style="1407" customWidth="1"/>
    <col min="12556" max="12556" width="5.125" style="1407" customWidth="1"/>
    <col min="12557" max="12557" width="13.625" style="1407" customWidth="1"/>
    <col min="12558" max="12800" width="8.875"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8.875" style="1407"/>
    <col min="12807" max="12807" width="9.375" style="1407" bestFit="1" customWidth="1"/>
    <col min="12808" max="12809" width="8.875" style="1407"/>
    <col min="12810" max="12810" width="9.375" style="1407" bestFit="1" customWidth="1"/>
    <col min="12811" max="12811" width="4" style="1407" customWidth="1"/>
    <col min="12812" max="12812" width="5.125" style="1407" customWidth="1"/>
    <col min="12813" max="12813" width="13.625" style="1407" customWidth="1"/>
    <col min="12814" max="13056" width="8.875"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8.875" style="1407"/>
    <col min="13063" max="13063" width="9.375" style="1407" bestFit="1" customWidth="1"/>
    <col min="13064" max="13065" width="8.875" style="1407"/>
    <col min="13066" max="13066" width="9.375" style="1407" bestFit="1" customWidth="1"/>
    <col min="13067" max="13067" width="4" style="1407" customWidth="1"/>
    <col min="13068" max="13068" width="5.125" style="1407" customWidth="1"/>
    <col min="13069" max="13069" width="13.625" style="1407" customWidth="1"/>
    <col min="13070" max="13312" width="8.875"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8.875" style="1407"/>
    <col min="13319" max="13319" width="9.375" style="1407" bestFit="1" customWidth="1"/>
    <col min="13320" max="13321" width="8.875" style="1407"/>
    <col min="13322" max="13322" width="9.375" style="1407" bestFit="1" customWidth="1"/>
    <col min="13323" max="13323" width="4" style="1407" customWidth="1"/>
    <col min="13324" max="13324" width="5.125" style="1407" customWidth="1"/>
    <col min="13325" max="13325" width="13.625" style="1407" customWidth="1"/>
    <col min="13326" max="13568" width="8.875"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8.875" style="1407"/>
    <col min="13575" max="13575" width="9.375" style="1407" bestFit="1" customWidth="1"/>
    <col min="13576" max="13577" width="8.875" style="1407"/>
    <col min="13578" max="13578" width="9.375" style="1407" bestFit="1" customWidth="1"/>
    <col min="13579" max="13579" width="4" style="1407" customWidth="1"/>
    <col min="13580" max="13580" width="5.125" style="1407" customWidth="1"/>
    <col min="13581" max="13581" width="13.625" style="1407" customWidth="1"/>
    <col min="13582" max="13824" width="8.875"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8.875" style="1407"/>
    <col min="13831" max="13831" width="9.375" style="1407" bestFit="1" customWidth="1"/>
    <col min="13832" max="13833" width="8.875" style="1407"/>
    <col min="13834" max="13834" width="9.375" style="1407" bestFit="1" customWidth="1"/>
    <col min="13835" max="13835" width="4" style="1407" customWidth="1"/>
    <col min="13836" max="13836" width="5.125" style="1407" customWidth="1"/>
    <col min="13837" max="13837" width="13.625" style="1407" customWidth="1"/>
    <col min="13838" max="14080" width="8.875"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8.875" style="1407"/>
    <col min="14087" max="14087" width="9.375" style="1407" bestFit="1" customWidth="1"/>
    <col min="14088" max="14089" width="8.875" style="1407"/>
    <col min="14090" max="14090" width="9.375" style="1407" bestFit="1" customWidth="1"/>
    <col min="14091" max="14091" width="4" style="1407" customWidth="1"/>
    <col min="14092" max="14092" width="5.125" style="1407" customWidth="1"/>
    <col min="14093" max="14093" width="13.625" style="1407" customWidth="1"/>
    <col min="14094" max="14336" width="8.875"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8.875" style="1407"/>
    <col min="14343" max="14343" width="9.375" style="1407" bestFit="1" customWidth="1"/>
    <col min="14344" max="14345" width="8.875" style="1407"/>
    <col min="14346" max="14346" width="9.375" style="1407" bestFit="1" customWidth="1"/>
    <col min="14347" max="14347" width="4" style="1407" customWidth="1"/>
    <col min="14348" max="14348" width="5.125" style="1407" customWidth="1"/>
    <col min="14349" max="14349" width="13.625" style="1407" customWidth="1"/>
    <col min="14350" max="14592" width="8.875"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8.875" style="1407"/>
    <col min="14599" max="14599" width="9.375" style="1407" bestFit="1" customWidth="1"/>
    <col min="14600" max="14601" width="8.875" style="1407"/>
    <col min="14602" max="14602" width="9.375" style="1407" bestFit="1" customWidth="1"/>
    <col min="14603" max="14603" width="4" style="1407" customWidth="1"/>
    <col min="14604" max="14604" width="5.125" style="1407" customWidth="1"/>
    <col min="14605" max="14605" width="13.625" style="1407" customWidth="1"/>
    <col min="14606" max="14848" width="8.875"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8.875" style="1407"/>
    <col min="14855" max="14855" width="9.375" style="1407" bestFit="1" customWidth="1"/>
    <col min="14856" max="14857" width="8.875" style="1407"/>
    <col min="14858" max="14858" width="9.375" style="1407" bestFit="1" customWidth="1"/>
    <col min="14859" max="14859" width="4" style="1407" customWidth="1"/>
    <col min="14860" max="14860" width="5.125" style="1407" customWidth="1"/>
    <col min="14861" max="14861" width="13.625" style="1407" customWidth="1"/>
    <col min="14862" max="15104" width="8.875"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8.875" style="1407"/>
    <col min="15111" max="15111" width="9.375" style="1407" bestFit="1" customWidth="1"/>
    <col min="15112" max="15113" width="8.875" style="1407"/>
    <col min="15114" max="15114" width="9.375" style="1407" bestFit="1" customWidth="1"/>
    <col min="15115" max="15115" width="4" style="1407" customWidth="1"/>
    <col min="15116" max="15116" width="5.125" style="1407" customWidth="1"/>
    <col min="15117" max="15117" width="13.625" style="1407" customWidth="1"/>
    <col min="15118" max="15360" width="8.875"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8.875" style="1407"/>
    <col min="15367" max="15367" width="9.375" style="1407" bestFit="1" customWidth="1"/>
    <col min="15368" max="15369" width="8.875" style="1407"/>
    <col min="15370" max="15370" width="9.375" style="1407" bestFit="1" customWidth="1"/>
    <col min="15371" max="15371" width="4" style="1407" customWidth="1"/>
    <col min="15372" max="15372" width="5.125" style="1407" customWidth="1"/>
    <col min="15373" max="15373" width="13.625" style="1407" customWidth="1"/>
    <col min="15374" max="15616" width="8.875"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8.875" style="1407"/>
    <col min="15623" max="15623" width="9.375" style="1407" bestFit="1" customWidth="1"/>
    <col min="15624" max="15625" width="8.875" style="1407"/>
    <col min="15626" max="15626" width="9.375" style="1407" bestFit="1" customWidth="1"/>
    <col min="15627" max="15627" width="4" style="1407" customWidth="1"/>
    <col min="15628" max="15628" width="5.125" style="1407" customWidth="1"/>
    <col min="15629" max="15629" width="13.625" style="1407" customWidth="1"/>
    <col min="15630" max="15872" width="8.875"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8.875" style="1407"/>
    <col min="15879" max="15879" width="9.375" style="1407" bestFit="1" customWidth="1"/>
    <col min="15880" max="15881" width="8.875" style="1407"/>
    <col min="15882" max="15882" width="9.375" style="1407" bestFit="1" customWidth="1"/>
    <col min="15883" max="15883" width="4" style="1407" customWidth="1"/>
    <col min="15884" max="15884" width="5.125" style="1407" customWidth="1"/>
    <col min="15885" max="15885" width="13.625" style="1407" customWidth="1"/>
    <col min="15886" max="16128" width="8.875"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8.875" style="1407"/>
    <col min="16135" max="16135" width="9.375" style="1407" bestFit="1" customWidth="1"/>
    <col min="16136" max="16137" width="8.875" style="1407"/>
    <col min="16138" max="16138" width="9.375" style="1407" bestFit="1" customWidth="1"/>
    <col min="16139" max="16139" width="4" style="1407" customWidth="1"/>
    <col min="16140" max="16140" width="5.125" style="1407" customWidth="1"/>
    <col min="16141" max="16141" width="13.625" style="1407" customWidth="1"/>
    <col min="16142" max="16384" width="8.875" style="1407"/>
  </cols>
  <sheetData>
    <row r="1" spans="1:257" s="1471" customFormat="1" ht="15" thickBot="1">
      <c r="A1" s="1465"/>
      <c r="B1" s="1472" t="s">
        <v>1267</v>
      </c>
      <c r="C1" s="1466">
        <f>项目基本情况!D3</f>
        <v>44959</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7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7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M17"/>
  <sheetViews>
    <sheetView workbookViewId="0">
      <selection activeCell="K25" sqref="K25"/>
    </sheetView>
  </sheetViews>
  <sheetFormatPr defaultColWidth="8.875" defaultRowHeight="14.25"/>
  <sheetData>
    <row r="1" spans="1:13" ht="28.5">
      <c r="A1" s="1520" t="s">
        <v>1338</v>
      </c>
      <c r="E1" s="1514" t="s">
        <v>1342</v>
      </c>
      <c r="F1" s="1515" t="s">
        <v>1346</v>
      </c>
    </row>
    <row r="2" spans="1:13" ht="20.25">
      <c r="A2" s="1521" t="s">
        <v>1339</v>
      </c>
    </row>
    <row r="3" spans="1:13" ht="16.5">
      <c r="A3" s="1522" t="s">
        <v>1340</v>
      </c>
    </row>
    <row r="4" spans="1:13">
      <c r="A4" s="1512" t="s">
        <v>1341</v>
      </c>
      <c r="B4" s="1517" t="s">
        <v>1343</v>
      </c>
      <c r="C4" s="1518"/>
      <c r="D4" s="1519"/>
      <c r="E4" s="1517" t="s">
        <v>27</v>
      </c>
      <c r="F4" s="1518"/>
      <c r="G4" s="1519"/>
      <c r="H4" s="1517" t="s">
        <v>1344</v>
      </c>
      <c r="I4" s="1518"/>
      <c r="J4" s="1519"/>
      <c r="K4" s="1517" t="s">
        <v>6</v>
      </c>
      <c r="L4" s="1518"/>
      <c r="M4" s="1519"/>
    </row>
    <row r="5" spans="1:13">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92D050"/>
    <pageSetUpPr fitToPage="1"/>
  </sheetPr>
  <dimension ref="A1:AC132"/>
  <sheetViews>
    <sheetView view="pageBreakPreview" topLeftCell="A33" zoomScale="80" zoomScaleNormal="70" zoomScaleSheetLayoutView="80" workbookViewId="0">
      <selection activeCell="C50" sqref="C50"/>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5" t="s">
        <v>2507</v>
      </c>
      <c r="C1" s="1392" t="s">
        <v>2351</v>
      </c>
      <c r="D1" s="1393" t="s">
        <v>27</v>
      </c>
      <c r="E1" s="1402"/>
      <c r="F1" s="2067" t="s">
        <v>3204</v>
      </c>
      <c r="G1" s="1403" t="s">
        <v>2353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1359</v>
      </c>
      <c r="B2" s="1326" t="e">
        <f>IF(C2="——",ROUND(C50*D3/10000,0),ROUND(C50*D3/10000,0)-D2)</f>
        <v>#DIV/0!</v>
      </c>
      <c r="C2" s="2069" t="s">
        <v>70</v>
      </c>
      <c r="D2" s="1275" t="e">
        <f ca="1">SUMIF(INDIRECT("'"&amp;F2&amp;"'"&amp;"!A:A"),"承租人权益价值",INDIRECT("'"&amp;F2&amp;"'"&amp;"!c:c"))</f>
        <v>#DIV/0!</v>
      </c>
      <c r="E2" s="2070" t="s">
        <v>2149</v>
      </c>
      <c r="F2" s="2071" t="s">
        <v>3177</v>
      </c>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1360</v>
      </c>
      <c r="B3" s="566" t="e">
        <f>IF(C2="——",C50,ROUND(B2*10000/D3,0))</f>
        <v>#DIV/0!</v>
      </c>
      <c r="C3" s="360" t="s">
        <v>2355</v>
      </c>
      <c r="D3" s="359">
        <f>IF(D1="",'数据-汇总表'!E3,SUMIF('数据-汇总表'!$C19:$C33,D1,'数据-汇总表'!$E19:$E33))</f>
        <v>0</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2356</v>
      </c>
      <c r="B4" s="362"/>
      <c r="C4" s="3431" t="s">
        <v>2357</v>
      </c>
      <c r="D4" s="3432"/>
      <c r="E4" s="3433" t="s">
        <v>2358</v>
      </c>
      <c r="F4" s="3434"/>
      <c r="G4" s="3431" t="s">
        <v>2359</v>
      </c>
      <c r="H4" s="3432"/>
      <c r="I4" s="3431" t="s">
        <v>2360</v>
      </c>
      <c r="J4" s="3432"/>
      <c r="K4" s="567" t="s">
        <v>2361</v>
      </c>
      <c r="L4" s="2944"/>
      <c r="M4" s="2945"/>
      <c r="N4" s="2945"/>
      <c r="O4" s="2945"/>
      <c r="P4" s="3435" t="s">
        <v>2362</v>
      </c>
      <c r="Q4" s="3436"/>
      <c r="R4" s="3441" t="s">
        <v>2358</v>
      </c>
      <c r="S4" s="3442"/>
      <c r="T4" s="3441" t="s">
        <v>2359</v>
      </c>
      <c r="U4" s="3442"/>
      <c r="V4" s="3447" t="s">
        <v>2360</v>
      </c>
      <c r="W4" s="3447"/>
      <c r="X4" s="3047"/>
      <c r="Y4" s="3441" t="s">
        <v>2362</v>
      </c>
      <c r="Z4" s="3442"/>
      <c r="AA4" s="3459" t="s">
        <v>2358</v>
      </c>
      <c r="AB4" s="3459" t="s">
        <v>2359</v>
      </c>
      <c r="AC4" s="3428" t="s">
        <v>2360</v>
      </c>
    </row>
    <row r="5" spans="1:29" ht="15">
      <c r="A5" s="364"/>
      <c r="B5" s="365"/>
      <c r="C5" s="3556" t="str">
        <f>'租金比较法-商业'!C5:D5</f>
        <v>恒毅大厦</v>
      </c>
      <c r="D5" s="3557"/>
      <c r="E5" s="3559" t="str">
        <f>C5</f>
        <v>恒毅大厦</v>
      </c>
      <c r="F5" s="3456"/>
      <c r="G5" s="3559" t="str">
        <f t="shared" ref="G5" si="0">E5</f>
        <v>恒毅大厦</v>
      </c>
      <c r="H5" s="3456"/>
      <c r="I5" s="3559" t="str">
        <f t="shared" ref="I5" si="1">G5</f>
        <v>恒毅大厦</v>
      </c>
      <c r="J5" s="3456"/>
      <c r="K5" s="567"/>
      <c r="L5" s="2944"/>
      <c r="M5" s="2945"/>
      <c r="N5" s="2945"/>
      <c r="O5" s="2945"/>
      <c r="P5" s="3437"/>
      <c r="Q5" s="3438"/>
      <c r="R5" s="3443"/>
      <c r="S5" s="3444"/>
      <c r="T5" s="3443"/>
      <c r="U5" s="3444"/>
      <c r="V5" s="3448"/>
      <c r="W5" s="3448"/>
      <c r="X5" s="3042"/>
      <c r="Y5" s="3443"/>
      <c r="Z5" s="3444"/>
      <c r="AA5" s="3460"/>
      <c r="AB5" s="3460"/>
      <c r="AC5" s="3429"/>
    </row>
    <row r="6" spans="1:29" ht="15.75" thickBot="1">
      <c r="A6" s="366"/>
      <c r="B6" s="367"/>
      <c r="C6" s="3554" t="str">
        <f>'租金比较法-商业'!C6:D6</f>
        <v>北京市朝阳区安定路5号</v>
      </c>
      <c r="D6" s="3555"/>
      <c r="E6" s="3554" t="str">
        <f>'租金比较法-商业'!E6:F6</f>
        <v>北京市朝阳区北四环东路108号</v>
      </c>
      <c r="F6" s="3555"/>
      <c r="G6" s="3554" t="str">
        <f>'租金比较法-商业'!G6:H6</f>
        <v>北京市朝阳区曙光西里甲5号</v>
      </c>
      <c r="H6" s="3555"/>
      <c r="I6" s="3554" t="str">
        <f>'租金比较法-商业'!I6:J6</f>
        <v>北京市朝阳区小营北路15号</v>
      </c>
      <c r="J6" s="3555"/>
      <c r="K6" s="567" t="s">
        <v>2368</v>
      </c>
      <c r="L6" s="2944"/>
      <c r="M6" s="2945"/>
      <c r="N6" s="2945"/>
      <c r="O6" s="2945"/>
      <c r="P6" s="3439"/>
      <c r="Q6" s="3440"/>
      <c r="R6" s="3443"/>
      <c r="S6" s="3444"/>
      <c r="T6" s="3445"/>
      <c r="U6" s="3446"/>
      <c r="V6" s="3448"/>
      <c r="W6" s="3448"/>
      <c r="X6" s="3042"/>
      <c r="Y6" s="3445"/>
      <c r="Z6" s="3446"/>
      <c r="AA6" s="3461"/>
      <c r="AB6" s="3461"/>
      <c r="AC6" s="3430"/>
    </row>
    <row r="7" spans="1:29" s="113" customFormat="1" ht="15.75" thickBot="1">
      <c r="A7" s="368" t="s">
        <v>2369</v>
      </c>
      <c r="B7" s="369"/>
      <c r="C7" s="370">
        <f>'数据-取费表'!B2</f>
        <v>44959</v>
      </c>
      <c r="D7" s="371">
        <v>100</v>
      </c>
      <c r="E7" s="372">
        <v>43947</v>
      </c>
      <c r="F7" s="373">
        <f>SUMIF(59:59,YEAR(E7)&amp;"-"&amp;MONTH(E7),60:60)</f>
        <v>0</v>
      </c>
      <c r="G7" s="372">
        <v>44010</v>
      </c>
      <c r="H7" s="371">
        <f>SUMIF(59:59,YEAR(G7)&amp;"-"&amp;MONTH(G7),60:60)</f>
        <v>0</v>
      </c>
      <c r="I7" s="372">
        <v>44068</v>
      </c>
      <c r="J7" s="371">
        <f>SUMIF(59:59,YEAR(I7)&amp;"-"&amp;MONTH(I7),60:60)</f>
        <v>0</v>
      </c>
      <c r="K7" s="568"/>
      <c r="L7" s="2946"/>
      <c r="M7" s="2947"/>
      <c r="N7" s="2947"/>
      <c r="O7" s="2947"/>
      <c r="P7" s="3451" t="s">
        <v>2370</v>
      </c>
      <c r="Q7" s="3454"/>
      <c r="R7" s="710" t="s">
        <v>17</v>
      </c>
      <c r="S7" s="711">
        <f t="shared" ref="S7:S15" si="2">F7</f>
        <v>0</v>
      </c>
      <c r="T7" s="710" t="s">
        <v>17</v>
      </c>
      <c r="U7" s="711">
        <f t="shared" ref="U7:U15" si="3">H7</f>
        <v>0</v>
      </c>
      <c r="V7" s="710" t="s">
        <v>17</v>
      </c>
      <c r="W7" s="711">
        <f t="shared" ref="W7:W15" si="4">J7</f>
        <v>0</v>
      </c>
      <c r="X7" s="712"/>
      <c r="Y7" s="3453" t="s">
        <v>2370</v>
      </c>
      <c r="Z7" s="3452"/>
      <c r="AA7" s="713" t="e">
        <f>D7/F7</f>
        <v>#DIV/0!</v>
      </c>
      <c r="AB7" s="713" t="e">
        <f>D7/H7</f>
        <v>#DIV/0!</v>
      </c>
      <c r="AC7" s="2147" t="e">
        <f>D7/J7</f>
        <v>#DIV/0!</v>
      </c>
    </row>
    <row r="8" spans="1:29" s="113" customFormat="1" ht="15.75" thickBot="1">
      <c r="A8" s="368" t="s">
        <v>2371</v>
      </c>
      <c r="B8" s="369"/>
      <c r="C8" s="374" t="s">
        <v>2408</v>
      </c>
      <c r="D8" s="371">
        <v>100</v>
      </c>
      <c r="E8" s="374" t="s">
        <v>3212</v>
      </c>
      <c r="F8" s="373">
        <f>SUMIF(62:62,E8,63:63)-SUMIF(62:62,C8,63:63)+100</f>
        <v>102</v>
      </c>
      <c r="G8" s="374" t="s">
        <v>3212</v>
      </c>
      <c r="H8" s="371">
        <f>SUMIF(62:62,G8,63:63)-SUMIF(62:62,C8,63:63)+100</f>
        <v>102</v>
      </c>
      <c r="I8" s="374" t="s">
        <v>3212</v>
      </c>
      <c r="J8" s="371">
        <f>SUMIF(62:62,I8,63:63)-SUMIF(62:62,C8,63:63)+100</f>
        <v>102</v>
      </c>
      <c r="K8" s="568"/>
      <c r="L8" s="2946"/>
      <c r="M8" s="2947"/>
      <c r="N8" s="2947"/>
      <c r="O8" s="2947"/>
      <c r="P8" s="3451" t="s">
        <v>2373</v>
      </c>
      <c r="Q8" s="3452"/>
      <c r="R8" s="710" t="s">
        <v>17</v>
      </c>
      <c r="S8" s="711">
        <f t="shared" si="2"/>
        <v>102</v>
      </c>
      <c r="T8" s="710" t="s">
        <v>17</v>
      </c>
      <c r="U8" s="711">
        <f t="shared" si="3"/>
        <v>102</v>
      </c>
      <c r="V8" s="710" t="s">
        <v>17</v>
      </c>
      <c r="W8" s="711">
        <f t="shared" si="4"/>
        <v>102</v>
      </c>
      <c r="X8" s="712"/>
      <c r="Y8" s="3453" t="s">
        <v>2373</v>
      </c>
      <c r="Z8" s="3452"/>
      <c r="AA8" s="713">
        <f t="shared" ref="AA8:AA47" si="5">D8/F8</f>
        <v>0.98039215686274506</v>
      </c>
      <c r="AB8" s="713">
        <f t="shared" ref="AB8:AB47" si="6">D8/H8</f>
        <v>0.98039215686274506</v>
      </c>
      <c r="AC8" s="2147">
        <f t="shared" ref="AC8:AC47" si="7">D8/J8</f>
        <v>0.98039215686274506</v>
      </c>
    </row>
    <row r="9" spans="1:29" s="113" customFormat="1">
      <c r="A9" s="375" t="s">
        <v>2374</v>
      </c>
      <c r="B9" s="67" t="s">
        <v>2375</v>
      </c>
      <c r="C9" s="3123" t="s">
        <v>3242</v>
      </c>
      <c r="D9" s="131">
        <v>100</v>
      </c>
      <c r="E9" s="379" t="s">
        <v>27</v>
      </c>
      <c r="F9" s="131">
        <f>SUMIF(64:64,E9,65:65)-SUMIF(64:64,C9,65:65)+100</f>
        <v>100</v>
      </c>
      <c r="G9" s="379" t="s">
        <v>27</v>
      </c>
      <c r="H9" s="131">
        <f>SUMIF(64:64,G9,65:65)-SUMIF(64:64,C9,65:65)+100</f>
        <v>100</v>
      </c>
      <c r="I9" s="379" t="s">
        <v>27</v>
      </c>
      <c r="J9" s="131">
        <f>SUMIF(64:64,I9,65:65)-SUMIF(64:64,C9,65:65)+100</f>
        <v>100</v>
      </c>
      <c r="K9" s="568"/>
      <c r="L9" s="2946"/>
      <c r="M9" s="2947"/>
      <c r="N9" s="2947"/>
      <c r="O9" s="2947"/>
      <c r="P9" s="3412" t="s">
        <v>2376</v>
      </c>
      <c r="Q9" s="3041" t="str">
        <f t="shared" ref="Q9:Q15" si="8">B9</f>
        <v>用途</v>
      </c>
      <c r="R9" s="710" t="s">
        <v>17</v>
      </c>
      <c r="S9" s="711">
        <f t="shared" si="2"/>
        <v>100</v>
      </c>
      <c r="T9" s="710" t="s">
        <v>17</v>
      </c>
      <c r="U9" s="711">
        <f t="shared" si="3"/>
        <v>100</v>
      </c>
      <c r="V9" s="710" t="s">
        <v>17</v>
      </c>
      <c r="W9" s="711">
        <f t="shared" si="4"/>
        <v>100</v>
      </c>
      <c r="X9" s="712"/>
      <c r="Y9" s="3313" t="s">
        <v>2377</v>
      </c>
      <c r="Z9" s="3040" t="str">
        <f t="shared" ref="Z9:Z15" si="9">Q9</f>
        <v>用途</v>
      </c>
      <c r="AA9" s="713">
        <f t="shared" si="5"/>
        <v>1</v>
      </c>
      <c r="AB9" s="713">
        <f t="shared" si="6"/>
        <v>1</v>
      </c>
      <c r="AC9" s="2147">
        <f t="shared" si="7"/>
        <v>1</v>
      </c>
    </row>
    <row r="10" spans="1:29" s="386" customFormat="1" ht="27.75" thickBot="1">
      <c r="A10" s="380"/>
      <c r="B10" s="381" t="s">
        <v>2378</v>
      </c>
      <c r="C10" s="382" t="s">
        <v>3215</v>
      </c>
      <c r="D10" s="132">
        <v>100</v>
      </c>
      <c r="E10" s="382" t="s">
        <v>3215</v>
      </c>
      <c r="F10" s="132">
        <f>SUMIF(66:66,E10,67:67)-SUMIF(66:66,C10,67:67)+100</f>
        <v>100</v>
      </c>
      <c r="G10" s="382" t="s">
        <v>3215</v>
      </c>
      <c r="H10" s="132">
        <f>SUMIF(66:66,G10,67:67)-SUMIF(66:66,C10,67:67)+100</f>
        <v>100</v>
      </c>
      <c r="I10" s="382" t="s">
        <v>3215</v>
      </c>
      <c r="J10" s="132">
        <f>SUMIF(66:66,I10,67:67)-SUMIF(66:66,C10,67:67)+100</f>
        <v>100</v>
      </c>
      <c r="K10" s="569">
        <v>1</v>
      </c>
      <c r="L10" s="2948"/>
      <c r="M10" s="2949"/>
      <c r="N10" s="2949"/>
      <c r="O10" s="2949"/>
      <c r="P10" s="3412"/>
      <c r="Q10" s="3041" t="str">
        <f t="shared" si="8"/>
        <v>土地使用年限（年）</v>
      </c>
      <c r="R10" s="710" t="s">
        <v>17</v>
      </c>
      <c r="S10" s="711">
        <f t="shared" si="2"/>
        <v>100</v>
      </c>
      <c r="T10" s="710" t="s">
        <v>17</v>
      </c>
      <c r="U10" s="711">
        <f t="shared" si="3"/>
        <v>100</v>
      </c>
      <c r="V10" s="710" t="s">
        <v>17</v>
      </c>
      <c r="W10" s="711">
        <f t="shared" si="4"/>
        <v>100</v>
      </c>
      <c r="X10" s="712"/>
      <c r="Y10" s="3313"/>
      <c r="Z10" s="3040" t="str">
        <f t="shared" si="9"/>
        <v>土地使用年限（年）</v>
      </c>
      <c r="AA10" s="713">
        <f t="shared" si="5"/>
        <v>1</v>
      </c>
      <c r="AB10" s="713">
        <f t="shared" si="6"/>
        <v>1</v>
      </c>
      <c r="AC10" s="2147">
        <f t="shared" si="7"/>
        <v>1</v>
      </c>
    </row>
    <row r="11" spans="1:29" ht="15.75" hidden="1" thickBot="1">
      <c r="A11" s="387"/>
      <c r="B11" s="381" t="s">
        <v>2379</v>
      </c>
      <c r="C11" s="388">
        <v>2.5</v>
      </c>
      <c r="D11" s="132">
        <v>100</v>
      </c>
      <c r="E11" s="388">
        <f>C11</f>
        <v>2.5</v>
      </c>
      <c r="F11" s="132">
        <f>LOOKUP(E11,69:69,70:70)-LOOKUP(C11,69:69,70:70)+100</f>
        <v>100</v>
      </c>
      <c r="G11" s="389">
        <f>C11</f>
        <v>2.5</v>
      </c>
      <c r="H11" s="132">
        <f>LOOKUP(G11,69:69,70:70)-LOOKUP(C11,69:69,70:70)+100</f>
        <v>100</v>
      </c>
      <c r="I11" s="388">
        <f>C11</f>
        <v>2.5</v>
      </c>
      <c r="J11" s="132">
        <f>LOOKUP(I11,69:69,70:70)-LOOKUP(C11,69:69,70:70)+100</f>
        <v>100</v>
      </c>
      <c r="K11" s="569"/>
      <c r="L11" s="2950"/>
      <c r="M11" s="2945"/>
      <c r="N11" s="2945"/>
      <c r="O11" s="2945"/>
      <c r="P11" s="3412"/>
      <c r="Q11" s="3041" t="str">
        <f t="shared" si="8"/>
        <v>容积率</v>
      </c>
      <c r="R11" s="710" t="s">
        <v>17</v>
      </c>
      <c r="S11" s="711">
        <f t="shared" si="2"/>
        <v>100</v>
      </c>
      <c r="T11" s="710" t="s">
        <v>17</v>
      </c>
      <c r="U11" s="711">
        <f t="shared" si="3"/>
        <v>100</v>
      </c>
      <c r="V11" s="710" t="s">
        <v>17</v>
      </c>
      <c r="W11" s="711">
        <f t="shared" si="4"/>
        <v>100</v>
      </c>
      <c r="X11" s="712"/>
      <c r="Y11" s="3313"/>
      <c r="Z11" s="3040" t="str">
        <f t="shared" si="9"/>
        <v>容积率</v>
      </c>
      <c r="AA11" s="713">
        <f t="shared" si="5"/>
        <v>1</v>
      </c>
      <c r="AB11" s="713">
        <f t="shared" si="6"/>
        <v>1</v>
      </c>
      <c r="AC11" s="2147">
        <f t="shared" si="7"/>
        <v>1</v>
      </c>
    </row>
    <row r="12" spans="1:29" s="113" customFormat="1" ht="15" hidden="1">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412"/>
      <c r="Q12" s="3041">
        <f t="shared" si="8"/>
        <v>111</v>
      </c>
      <c r="R12" s="710" t="s">
        <v>17</v>
      </c>
      <c r="S12" s="711">
        <f t="shared" si="2"/>
        <v>100</v>
      </c>
      <c r="T12" s="710" t="s">
        <v>17</v>
      </c>
      <c r="U12" s="711">
        <f t="shared" si="3"/>
        <v>100</v>
      </c>
      <c r="V12" s="710" t="s">
        <v>17</v>
      </c>
      <c r="W12" s="711">
        <f t="shared" si="4"/>
        <v>100</v>
      </c>
      <c r="X12" s="712"/>
      <c r="Y12" s="3313"/>
      <c r="Z12" s="3040">
        <f t="shared" si="9"/>
        <v>111</v>
      </c>
      <c r="AA12" s="713">
        <f>D12/F12</f>
        <v>1</v>
      </c>
      <c r="AB12" s="713">
        <f>D12/H12</f>
        <v>1</v>
      </c>
      <c r="AC12" s="2147">
        <f>D12/J12</f>
        <v>1</v>
      </c>
    </row>
    <row r="13" spans="1:29" ht="15" hidden="1">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412"/>
      <c r="Q13" s="3041">
        <f t="shared" si="8"/>
        <v>111</v>
      </c>
      <c r="R13" s="710" t="s">
        <v>17</v>
      </c>
      <c r="S13" s="711">
        <f t="shared" si="2"/>
        <v>100</v>
      </c>
      <c r="T13" s="710" t="s">
        <v>17</v>
      </c>
      <c r="U13" s="711">
        <f t="shared" si="3"/>
        <v>100</v>
      </c>
      <c r="V13" s="710" t="s">
        <v>17</v>
      </c>
      <c r="W13" s="711">
        <f t="shared" si="4"/>
        <v>100</v>
      </c>
      <c r="X13" s="712"/>
      <c r="Y13" s="3313"/>
      <c r="Z13" s="3040">
        <f t="shared" si="9"/>
        <v>111</v>
      </c>
      <c r="AA13" s="713">
        <f t="shared" si="5"/>
        <v>1</v>
      </c>
      <c r="AB13" s="713">
        <f t="shared" si="6"/>
        <v>1</v>
      </c>
      <c r="AC13" s="2147">
        <f t="shared" si="7"/>
        <v>1</v>
      </c>
    </row>
    <row r="14" spans="1:29" ht="15.75" hidden="1"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412"/>
      <c r="Q14" s="3041">
        <f t="shared" si="8"/>
        <v>111</v>
      </c>
      <c r="R14" s="710" t="s">
        <v>17</v>
      </c>
      <c r="S14" s="711">
        <f t="shared" si="2"/>
        <v>100</v>
      </c>
      <c r="T14" s="710" t="s">
        <v>17</v>
      </c>
      <c r="U14" s="711">
        <f t="shared" si="3"/>
        <v>100</v>
      </c>
      <c r="V14" s="710" t="s">
        <v>17</v>
      </c>
      <c r="W14" s="711">
        <f t="shared" si="4"/>
        <v>100</v>
      </c>
      <c r="X14" s="712"/>
      <c r="Y14" s="3313"/>
      <c r="Z14" s="3040">
        <f t="shared" si="9"/>
        <v>111</v>
      </c>
      <c r="AA14" s="713">
        <f t="shared" si="5"/>
        <v>1</v>
      </c>
      <c r="AB14" s="713">
        <f t="shared" si="6"/>
        <v>1</v>
      </c>
      <c r="AC14" s="2147">
        <f t="shared" si="7"/>
        <v>1</v>
      </c>
    </row>
    <row r="15" spans="1:29" ht="71.25">
      <c r="A15" s="399" t="s">
        <v>2380</v>
      </c>
      <c r="B15" s="585" t="s">
        <v>2508</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51"/>
      <c r="M15" s="2945"/>
      <c r="N15" s="2945"/>
      <c r="O15" s="2945"/>
      <c r="P15" s="3418" t="s">
        <v>2381</v>
      </c>
      <c r="Q15" s="3045" t="str">
        <f t="shared" si="8"/>
        <v>办公集聚程度</v>
      </c>
      <c r="R15" s="714" t="s">
        <v>17</v>
      </c>
      <c r="S15" s="715">
        <f t="shared" si="2"/>
        <v>100</v>
      </c>
      <c r="T15" s="714" t="s">
        <v>17</v>
      </c>
      <c r="U15" s="715">
        <f t="shared" si="3"/>
        <v>100</v>
      </c>
      <c r="V15" s="714" t="s">
        <v>17</v>
      </c>
      <c r="W15" s="715">
        <f t="shared" si="4"/>
        <v>100</v>
      </c>
      <c r="X15" s="3042"/>
      <c r="Y15" s="3420" t="s">
        <v>2381</v>
      </c>
      <c r="Z15" s="3043" t="str">
        <f t="shared" si="9"/>
        <v>办公集聚程度</v>
      </c>
      <c r="AA15" s="3046">
        <f t="shared" si="5"/>
        <v>1</v>
      </c>
      <c r="AB15" s="3046">
        <f t="shared" si="6"/>
        <v>1</v>
      </c>
      <c r="AC15" s="2150">
        <f t="shared" si="7"/>
        <v>1</v>
      </c>
    </row>
    <row r="16" spans="1:29" ht="15">
      <c r="A16" s="387"/>
      <c r="B16" s="586"/>
      <c r="C16" s="2092" t="s">
        <v>3209</v>
      </c>
      <c r="D16" s="407"/>
      <c r="E16" s="2092" t="s">
        <v>3209</v>
      </c>
      <c r="F16" s="407"/>
      <c r="G16" s="2092" t="s">
        <v>3209</v>
      </c>
      <c r="H16" s="409"/>
      <c r="I16" s="2092" t="s">
        <v>3209</v>
      </c>
      <c r="J16" s="407"/>
      <c r="K16" s="572"/>
      <c r="L16" s="2951"/>
      <c r="M16" s="2945"/>
      <c r="N16" s="2945"/>
      <c r="O16" s="2945"/>
      <c r="P16" s="3419"/>
      <c r="Q16" s="3045"/>
      <c r="R16" s="714"/>
      <c r="S16" s="715"/>
      <c r="T16" s="714"/>
      <c r="U16" s="715"/>
      <c r="V16" s="714"/>
      <c r="W16" s="715"/>
      <c r="X16" s="3042"/>
      <c r="Y16" s="3421"/>
      <c r="Z16" s="3043"/>
      <c r="AA16" s="3046">
        <v>1</v>
      </c>
      <c r="AB16" s="3046">
        <v>1</v>
      </c>
      <c r="AC16" s="2150">
        <v>1</v>
      </c>
    </row>
    <row r="17" spans="1:29" ht="71.25">
      <c r="A17" s="387"/>
      <c r="B17" s="587" t="s">
        <v>1945</v>
      </c>
      <c r="C17" s="2151" t="str">
        <f>估价对象房地状况!C6</f>
        <v>好-估价对象临近城市主干道—安定路，临近地铁10号线（安贞门站）有18路、108路、124路、380路、387路等10余条公交线路</v>
      </c>
      <c r="D17" s="409">
        <v>100</v>
      </c>
      <c r="E17" s="413"/>
      <c r="F17" s="409">
        <f>SUMIF(79:79,E18,80:80)-SUMIF(79:79,C18,80:80)+100</f>
        <v>100</v>
      </c>
      <c r="G17" s="411"/>
      <c r="H17" s="414">
        <f>SUMIF(79:79,G18,80:80)-SUMIF(79:79,C18,80:80)+100</f>
        <v>100</v>
      </c>
      <c r="I17" s="411"/>
      <c r="J17" s="414">
        <f>SUMIF(79:79,I18,80:80)-SUMIF(79:79,C18,80:80)+100</f>
        <v>100</v>
      </c>
      <c r="K17" s="571">
        <v>2</v>
      </c>
      <c r="L17" s="2951"/>
      <c r="M17" s="2945"/>
      <c r="N17" s="2945"/>
      <c r="O17" s="2945"/>
      <c r="P17" s="3419"/>
      <c r="Q17" s="3045" t="str">
        <f>B17</f>
        <v>交通便捷度</v>
      </c>
      <c r="R17" s="714" t="s">
        <v>17</v>
      </c>
      <c r="S17" s="715">
        <f>F17</f>
        <v>100</v>
      </c>
      <c r="T17" s="714" t="s">
        <v>17</v>
      </c>
      <c r="U17" s="715">
        <f>H17</f>
        <v>100</v>
      </c>
      <c r="V17" s="714" t="s">
        <v>17</v>
      </c>
      <c r="W17" s="715">
        <f>J17</f>
        <v>100</v>
      </c>
      <c r="X17" s="3042"/>
      <c r="Y17" s="3421"/>
      <c r="Z17" s="3043" t="str">
        <f>Q17</f>
        <v>交通便捷度</v>
      </c>
      <c r="AA17" s="3046">
        <f t="shared" si="5"/>
        <v>1</v>
      </c>
      <c r="AB17" s="3046">
        <f t="shared" si="6"/>
        <v>1</v>
      </c>
      <c r="AC17" s="2150">
        <f t="shared" si="7"/>
        <v>1</v>
      </c>
    </row>
    <row r="18" spans="1:29" ht="15">
      <c r="A18" s="387"/>
      <c r="B18" s="588"/>
      <c r="C18" s="2152" t="s">
        <v>3208</v>
      </c>
      <c r="D18" s="409"/>
      <c r="E18" s="2152" t="s">
        <v>3208</v>
      </c>
      <c r="F18" s="409"/>
      <c r="G18" s="2152" t="s">
        <v>3208</v>
      </c>
      <c r="H18" s="407"/>
      <c r="I18" s="2152" t="s">
        <v>3208</v>
      </c>
      <c r="J18" s="407"/>
      <c r="K18" s="572"/>
      <c r="L18" s="2951"/>
      <c r="M18" s="2945"/>
      <c r="N18" s="2945"/>
      <c r="O18" s="2945"/>
      <c r="P18" s="3419"/>
      <c r="Q18" s="3045"/>
      <c r="R18" s="714"/>
      <c r="S18" s="715"/>
      <c r="T18" s="714"/>
      <c r="U18" s="715"/>
      <c r="V18" s="714"/>
      <c r="W18" s="715"/>
      <c r="X18" s="3042"/>
      <c r="Y18" s="3421"/>
      <c r="Z18" s="3043"/>
      <c r="AA18" s="3046">
        <v>1</v>
      </c>
      <c r="AB18" s="3046">
        <v>1</v>
      </c>
      <c r="AC18" s="2150">
        <v>1</v>
      </c>
    </row>
    <row r="19" spans="1:29" ht="42.75">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1"/>
      <c r="M19" s="2945"/>
      <c r="N19" s="2945"/>
      <c r="O19" s="2945"/>
      <c r="P19" s="3419"/>
      <c r="Q19" s="3045" t="str">
        <f>B19</f>
        <v>公共配套设施</v>
      </c>
      <c r="R19" s="714" t="s">
        <v>17</v>
      </c>
      <c r="S19" s="715">
        <f>F19</f>
        <v>100</v>
      </c>
      <c r="T19" s="714" t="s">
        <v>17</v>
      </c>
      <c r="U19" s="715">
        <f>H19</f>
        <v>100</v>
      </c>
      <c r="V19" s="714" t="s">
        <v>17</v>
      </c>
      <c r="W19" s="715">
        <f>J19</f>
        <v>100</v>
      </c>
      <c r="X19" s="3042"/>
      <c r="Y19" s="3421"/>
      <c r="Z19" s="3043" t="str">
        <f>Q19</f>
        <v>公共配套设施</v>
      </c>
      <c r="AA19" s="3046">
        <f t="shared" si="5"/>
        <v>1</v>
      </c>
      <c r="AB19" s="3046">
        <f t="shared" si="6"/>
        <v>1</v>
      </c>
      <c r="AC19" s="2150">
        <f t="shared" si="7"/>
        <v>1</v>
      </c>
    </row>
    <row r="20" spans="1:29" ht="15">
      <c r="A20" s="387"/>
      <c r="B20" s="588"/>
      <c r="C20" s="2092" t="s">
        <v>3209</v>
      </c>
      <c r="D20" s="407"/>
      <c r="E20" s="2092" t="s">
        <v>3209</v>
      </c>
      <c r="F20" s="407"/>
      <c r="G20" s="2092" t="s">
        <v>3209</v>
      </c>
      <c r="H20" s="407"/>
      <c r="I20" s="2092" t="s">
        <v>3209</v>
      </c>
      <c r="J20" s="407"/>
      <c r="K20" s="572"/>
      <c r="L20" s="2951"/>
      <c r="M20" s="2945"/>
      <c r="N20" s="2945"/>
      <c r="O20" s="2945"/>
      <c r="P20" s="3419"/>
      <c r="Q20" s="3045"/>
      <c r="R20" s="714"/>
      <c r="S20" s="715"/>
      <c r="T20" s="714"/>
      <c r="U20" s="715"/>
      <c r="V20" s="714"/>
      <c r="W20" s="715"/>
      <c r="X20" s="3042"/>
      <c r="Y20" s="3421"/>
      <c r="Z20" s="3043"/>
      <c r="AA20" s="3046">
        <v>1</v>
      </c>
      <c r="AB20" s="3046">
        <v>1</v>
      </c>
      <c r="AC20" s="2150">
        <v>1</v>
      </c>
    </row>
    <row r="21" spans="1:29" ht="28.5">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419"/>
      <c r="Q21" s="3045" t="str">
        <f>B21</f>
        <v>基础设施水平</v>
      </c>
      <c r="R21" s="714" t="s">
        <v>17</v>
      </c>
      <c r="S21" s="715">
        <f>F21</f>
        <v>100</v>
      </c>
      <c r="T21" s="714" t="s">
        <v>17</v>
      </c>
      <c r="U21" s="715">
        <f>H21</f>
        <v>100</v>
      </c>
      <c r="V21" s="714" t="s">
        <v>17</v>
      </c>
      <c r="W21" s="715">
        <f>J21</f>
        <v>100</v>
      </c>
      <c r="X21" s="3042"/>
      <c r="Y21" s="3421"/>
      <c r="Z21" s="3043" t="str">
        <f>Q21</f>
        <v>基础设施水平</v>
      </c>
      <c r="AA21" s="3046">
        <f t="shared" ref="AA21" si="10">D21/F21</f>
        <v>1</v>
      </c>
      <c r="AB21" s="3046">
        <f t="shared" ref="AB21" si="11">D21/H21</f>
        <v>1</v>
      </c>
      <c r="AC21" s="2150">
        <f t="shared" ref="AC21" si="12">D21/J21</f>
        <v>1</v>
      </c>
    </row>
    <row r="22" spans="1:29" ht="15">
      <c r="A22" s="387"/>
      <c r="B22" s="589"/>
      <c r="C22" s="2152" t="s">
        <v>3216</v>
      </c>
      <c r="D22" s="407"/>
      <c r="E22" s="2152" t="s">
        <v>3216</v>
      </c>
      <c r="F22" s="407"/>
      <c r="G22" s="2152" t="s">
        <v>3216</v>
      </c>
      <c r="H22" s="407"/>
      <c r="I22" s="2152" t="s">
        <v>3216</v>
      </c>
      <c r="J22" s="407"/>
      <c r="K22" s="1292"/>
      <c r="L22" s="2951"/>
      <c r="M22" s="2945"/>
      <c r="N22" s="2945"/>
      <c r="O22" s="2945"/>
      <c r="P22" s="3419"/>
      <c r="Q22" s="3045"/>
      <c r="R22" s="714"/>
      <c r="S22" s="715"/>
      <c r="T22" s="714"/>
      <c r="U22" s="715"/>
      <c r="V22" s="714"/>
      <c r="W22" s="715"/>
      <c r="X22" s="3042"/>
      <c r="Y22" s="3421"/>
      <c r="Z22" s="3043"/>
      <c r="AA22" s="3046">
        <v>1</v>
      </c>
      <c r="AB22" s="3046">
        <v>1</v>
      </c>
      <c r="AC22" s="2150">
        <v>1</v>
      </c>
    </row>
    <row r="23" spans="1:29" ht="42.75">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1"/>
      <c r="M23" s="2945"/>
      <c r="N23" s="2945"/>
      <c r="O23" s="2945"/>
      <c r="P23" s="3419"/>
      <c r="Q23" s="3045" t="str">
        <f>B23</f>
        <v>环境质量</v>
      </c>
      <c r="R23" s="714" t="s">
        <v>17</v>
      </c>
      <c r="S23" s="715">
        <f>F23</f>
        <v>100</v>
      </c>
      <c r="T23" s="714" t="s">
        <v>17</v>
      </c>
      <c r="U23" s="715">
        <f>H23</f>
        <v>100</v>
      </c>
      <c r="V23" s="714" t="s">
        <v>17</v>
      </c>
      <c r="W23" s="715">
        <f>J23</f>
        <v>100</v>
      </c>
      <c r="X23" s="3042"/>
      <c r="Y23" s="3421"/>
      <c r="Z23" s="3043" t="str">
        <f>Q23</f>
        <v>环境质量</v>
      </c>
      <c r="AA23" s="3046">
        <f t="shared" si="5"/>
        <v>1</v>
      </c>
      <c r="AB23" s="3046">
        <f t="shared" si="6"/>
        <v>1</v>
      </c>
      <c r="AC23" s="2150">
        <f t="shared" si="7"/>
        <v>1</v>
      </c>
    </row>
    <row r="24" spans="1:29" ht="15">
      <c r="A24" s="387"/>
      <c r="B24" s="589"/>
      <c r="C24" s="2092" t="s">
        <v>3209</v>
      </c>
      <c r="D24" s="407"/>
      <c r="E24" s="2092" t="s">
        <v>3209</v>
      </c>
      <c r="F24" s="407"/>
      <c r="G24" s="2092" t="s">
        <v>3209</v>
      </c>
      <c r="H24" s="407"/>
      <c r="I24" s="2092" t="s">
        <v>3209</v>
      </c>
      <c r="J24" s="407"/>
      <c r="K24" s="572"/>
      <c r="L24" s="2951"/>
      <c r="M24" s="2945"/>
      <c r="N24" s="2945"/>
      <c r="O24" s="2945"/>
      <c r="P24" s="3419"/>
      <c r="Q24" s="3045"/>
      <c r="R24" s="714"/>
      <c r="S24" s="715"/>
      <c r="T24" s="714"/>
      <c r="U24" s="715"/>
      <c r="V24" s="714"/>
      <c r="W24" s="715"/>
      <c r="X24" s="3042"/>
      <c r="Y24" s="3421"/>
      <c r="Z24" s="3043"/>
      <c r="AA24" s="3046">
        <v>1</v>
      </c>
      <c r="AB24" s="3046">
        <v>1</v>
      </c>
      <c r="AC24" s="2150">
        <v>1</v>
      </c>
    </row>
    <row r="25" spans="1:29" ht="27">
      <c r="A25" s="364"/>
      <c r="B25" s="587" t="s">
        <v>2512</v>
      </c>
      <c r="C25" s="2096">
        <f>'租金比较法-商业'!C25</f>
        <v>0</v>
      </c>
      <c r="D25" s="394">
        <v>100</v>
      </c>
      <c r="E25" s="393">
        <f>C25</f>
        <v>0</v>
      </c>
      <c r="F25" s="394">
        <f>SUMIF(87:87,E26,88:88)-SUMIF(87:87,C26,88:88)+100</f>
        <v>100</v>
      </c>
      <c r="G25" s="2096">
        <f>C25</f>
        <v>0</v>
      </c>
      <c r="H25" s="394">
        <f>SUMIF(87:87,G26,88:88)-SUMIF(87:87,C26,88:88)+100</f>
        <v>100</v>
      </c>
      <c r="I25" s="393">
        <f>C25</f>
        <v>0</v>
      </c>
      <c r="J25" s="394">
        <f>SUMIF(87:87,I26,88:88)-SUMIF(87:87,C26,88:88)+100</f>
        <v>100</v>
      </c>
      <c r="K25" s="571">
        <v>2</v>
      </c>
      <c r="L25" s="2951"/>
      <c r="M25" s="2945"/>
      <c r="N25" s="2945"/>
      <c r="O25" s="2945"/>
      <c r="P25" s="3419"/>
      <c r="Q25" s="3045" t="str">
        <f>B25</f>
        <v>毗邻道路的类型与等级</v>
      </c>
      <c r="R25" s="714" t="s">
        <v>17</v>
      </c>
      <c r="S25" s="715">
        <f>F25</f>
        <v>100</v>
      </c>
      <c r="T25" s="714" t="s">
        <v>17</v>
      </c>
      <c r="U25" s="715">
        <f>H25</f>
        <v>100</v>
      </c>
      <c r="V25" s="714" t="s">
        <v>17</v>
      </c>
      <c r="W25" s="715">
        <f>J25</f>
        <v>100</v>
      </c>
      <c r="X25" s="3042"/>
      <c r="Y25" s="3421"/>
      <c r="Z25" s="3043" t="str">
        <f>Q25</f>
        <v>毗邻道路的类型与等级</v>
      </c>
      <c r="AA25" s="3046">
        <f t="shared" si="5"/>
        <v>1</v>
      </c>
      <c r="AB25" s="3046">
        <f t="shared" si="6"/>
        <v>1</v>
      </c>
      <c r="AC25" s="2150">
        <f t="shared" si="7"/>
        <v>1</v>
      </c>
    </row>
    <row r="26" spans="1:29" ht="15">
      <c r="A26" s="364"/>
      <c r="B26" s="588"/>
      <c r="C26" s="590" t="s">
        <v>3219</v>
      </c>
      <c r="D26" s="394"/>
      <c r="E26" s="590" t="s">
        <v>3219</v>
      </c>
      <c r="F26" s="394"/>
      <c r="G26" s="590" t="s">
        <v>3219</v>
      </c>
      <c r="H26" s="394"/>
      <c r="I26" s="590" t="s">
        <v>3219</v>
      </c>
      <c r="J26" s="394"/>
      <c r="K26" s="572"/>
      <c r="L26" s="2951"/>
      <c r="M26" s="2945"/>
      <c r="N26" s="2945"/>
      <c r="O26" s="2945"/>
      <c r="P26" s="3419"/>
      <c r="Q26" s="3045"/>
      <c r="R26" s="714"/>
      <c r="S26" s="715"/>
      <c r="T26" s="714"/>
      <c r="U26" s="715"/>
      <c r="V26" s="714"/>
      <c r="W26" s="715"/>
      <c r="X26" s="3042"/>
      <c r="Y26" s="3421"/>
      <c r="Z26" s="3043"/>
      <c r="AA26" s="3046">
        <v>1</v>
      </c>
      <c r="AB26" s="3046">
        <v>1</v>
      </c>
      <c r="AC26" s="2150">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19"/>
      <c r="Q27" s="3045" t="str">
        <f t="shared" ref="Q27:Q47" si="13">B27</f>
        <v>楼层</v>
      </c>
      <c r="R27" s="714" t="s">
        <v>17</v>
      </c>
      <c r="S27" s="715">
        <f>F27</f>
        <v>100</v>
      </c>
      <c r="T27" s="714" t="s">
        <v>17</v>
      </c>
      <c r="U27" s="715">
        <f>H27</f>
        <v>100</v>
      </c>
      <c r="V27" s="714" t="s">
        <v>17</v>
      </c>
      <c r="W27" s="715">
        <f>J27</f>
        <v>100</v>
      </c>
      <c r="X27" s="3042"/>
      <c r="Y27" s="3421"/>
      <c r="Z27" s="3043" t="str">
        <f>Q27</f>
        <v>楼层</v>
      </c>
      <c r="AA27" s="3046">
        <f t="shared" si="5"/>
        <v>1</v>
      </c>
      <c r="AB27" s="3046">
        <f t="shared" si="6"/>
        <v>1</v>
      </c>
      <c r="AC27" s="2150">
        <f t="shared" si="7"/>
        <v>1</v>
      </c>
    </row>
    <row r="28" spans="1:29" s="113" customFormat="1" ht="15" hidden="1">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419"/>
      <c r="Q28" s="3041" t="str">
        <f t="shared" si="13"/>
        <v>朝向</v>
      </c>
      <c r="R28" s="710" t="s">
        <v>17</v>
      </c>
      <c r="S28" s="711">
        <f>F28</f>
        <v>100</v>
      </c>
      <c r="T28" s="710" t="s">
        <v>17</v>
      </c>
      <c r="U28" s="711">
        <f>H28</f>
        <v>100</v>
      </c>
      <c r="V28" s="710" t="s">
        <v>17</v>
      </c>
      <c r="W28" s="711">
        <f>J28</f>
        <v>100</v>
      </c>
      <c r="X28" s="712"/>
      <c r="Y28" s="3421"/>
      <c r="Z28" s="3040" t="str">
        <f>Q28</f>
        <v>朝向</v>
      </c>
      <c r="AA28" s="3046">
        <f>D28/F28</f>
        <v>1</v>
      </c>
      <c r="AB28" s="3046">
        <f>D28/H28</f>
        <v>1</v>
      </c>
      <c r="AC28" s="2150">
        <f>D28/J28</f>
        <v>1</v>
      </c>
    </row>
    <row r="29" spans="1:29" ht="15.75" thickBot="1">
      <c r="A29" s="387"/>
      <c r="B29" s="3125" t="s">
        <v>3238</v>
      </c>
      <c r="C29" s="2096" t="str">
        <f>'租金比较法-商业'!C29</f>
        <v>1</v>
      </c>
      <c r="D29" s="394">
        <v>100</v>
      </c>
      <c r="E29" s="391" t="s">
        <v>3239</v>
      </c>
      <c r="F29" s="394">
        <f>SUMIF(93:93,E29,94:94)-SUMIF(93:93,C29,94:94)+100</f>
        <v>102</v>
      </c>
      <c r="G29" s="2148" t="s">
        <v>3240</v>
      </c>
      <c r="H29" s="394">
        <f>SUMIF(93:93,G29,94:94)-SUMIF(93:93,C29,94:94)+100</f>
        <v>102</v>
      </c>
      <c r="I29" s="391" t="s">
        <v>3241</v>
      </c>
      <c r="J29" s="394">
        <f>SUMIF(93:93,I29,94:94)-SUMIF(93:93,C29,94:94)+100</f>
        <v>100</v>
      </c>
      <c r="K29" s="570"/>
      <c r="L29" s="2951"/>
      <c r="M29" s="2945"/>
      <c r="N29" s="2945"/>
      <c r="O29" s="2945"/>
      <c r="P29" s="3419"/>
      <c r="Q29" s="3045" t="str">
        <f t="shared" si="13"/>
        <v>楼层</v>
      </c>
      <c r="R29" s="714" t="s">
        <v>17</v>
      </c>
      <c r="S29" s="715">
        <f t="shared" ref="S29:S47" si="14">F29</f>
        <v>102</v>
      </c>
      <c r="T29" s="714" t="s">
        <v>17</v>
      </c>
      <c r="U29" s="715">
        <f t="shared" ref="U29:U47" si="15">H29</f>
        <v>102</v>
      </c>
      <c r="V29" s="714" t="s">
        <v>17</v>
      </c>
      <c r="W29" s="715">
        <f t="shared" ref="W29:W47" si="16">J29</f>
        <v>100</v>
      </c>
      <c r="X29" s="3042"/>
      <c r="Y29" s="3421"/>
      <c r="Z29" s="3043" t="str">
        <f t="shared" ref="Z29:Z47" si="17">Q29</f>
        <v>楼层</v>
      </c>
      <c r="AA29" s="3046">
        <f t="shared" si="5"/>
        <v>0.98039215686274506</v>
      </c>
      <c r="AB29" s="3046">
        <f t="shared" si="6"/>
        <v>0.98039215686274506</v>
      </c>
      <c r="AC29" s="2150">
        <f t="shared" si="7"/>
        <v>1</v>
      </c>
    </row>
    <row r="30" spans="1:29" ht="15.75" hidden="1" customHeight="1">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419"/>
      <c r="Q30" s="3045">
        <f t="shared" si="13"/>
        <v>111</v>
      </c>
      <c r="R30" s="714" t="s">
        <v>17</v>
      </c>
      <c r="S30" s="715">
        <f t="shared" si="14"/>
        <v>100</v>
      </c>
      <c r="T30" s="714" t="s">
        <v>17</v>
      </c>
      <c r="U30" s="715">
        <f t="shared" si="15"/>
        <v>100</v>
      </c>
      <c r="V30" s="714" t="s">
        <v>17</v>
      </c>
      <c r="W30" s="715">
        <f t="shared" si="16"/>
        <v>100</v>
      </c>
      <c r="X30" s="3042"/>
      <c r="Y30" s="3421"/>
      <c r="Z30" s="3043">
        <f t="shared" si="17"/>
        <v>111</v>
      </c>
      <c r="AA30" s="3046">
        <f t="shared" si="5"/>
        <v>1</v>
      </c>
      <c r="AB30" s="3046">
        <f t="shared" si="6"/>
        <v>1</v>
      </c>
      <c r="AC30" s="2150">
        <f t="shared" si="7"/>
        <v>1</v>
      </c>
    </row>
    <row r="31" spans="1:29" ht="15.75" hidden="1" customHeight="1">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419"/>
      <c r="Q31" s="3045">
        <f t="shared" si="13"/>
        <v>111</v>
      </c>
      <c r="R31" s="714" t="s">
        <v>17</v>
      </c>
      <c r="S31" s="715">
        <f t="shared" si="14"/>
        <v>100</v>
      </c>
      <c r="T31" s="714" t="s">
        <v>17</v>
      </c>
      <c r="U31" s="715">
        <f t="shared" si="15"/>
        <v>100</v>
      </c>
      <c r="V31" s="714" t="s">
        <v>17</v>
      </c>
      <c r="W31" s="715">
        <f t="shared" si="16"/>
        <v>100</v>
      </c>
      <c r="X31" s="3042"/>
      <c r="Y31" s="3421"/>
      <c r="Z31" s="3043">
        <f t="shared" si="17"/>
        <v>111</v>
      </c>
      <c r="AA31" s="3046">
        <f t="shared" si="5"/>
        <v>1</v>
      </c>
      <c r="AB31" s="3046">
        <f t="shared" si="6"/>
        <v>1</v>
      </c>
      <c r="AC31" s="2150">
        <f t="shared" si="7"/>
        <v>1</v>
      </c>
    </row>
    <row r="32" spans="1:29" ht="15.75" hidden="1"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419"/>
      <c r="Q32" s="3045">
        <f t="shared" si="13"/>
        <v>111</v>
      </c>
      <c r="R32" s="714" t="s">
        <v>17</v>
      </c>
      <c r="S32" s="715">
        <f t="shared" si="14"/>
        <v>100</v>
      </c>
      <c r="T32" s="714" t="s">
        <v>17</v>
      </c>
      <c r="U32" s="715">
        <f t="shared" si="15"/>
        <v>100</v>
      </c>
      <c r="V32" s="714" t="s">
        <v>17</v>
      </c>
      <c r="W32" s="715">
        <f t="shared" si="16"/>
        <v>100</v>
      </c>
      <c r="X32" s="3042"/>
      <c r="Y32" s="3421"/>
      <c r="Z32" s="3043">
        <f t="shared" si="17"/>
        <v>111</v>
      </c>
      <c r="AA32" s="3046">
        <f t="shared" si="5"/>
        <v>1</v>
      </c>
      <c r="AB32" s="3046">
        <f t="shared" si="6"/>
        <v>1</v>
      </c>
      <c r="AC32" s="2150">
        <f t="shared" si="7"/>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1"/>
      <c r="M33" s="2945"/>
      <c r="N33" s="2945"/>
      <c r="O33" s="2945"/>
      <c r="P33" s="3422" t="s">
        <v>2386</v>
      </c>
      <c r="Q33" s="3045" t="str">
        <f t="shared" si="13"/>
        <v>建筑类型</v>
      </c>
      <c r="R33" s="714" t="s">
        <v>17</v>
      </c>
      <c r="S33" s="715">
        <f t="shared" si="14"/>
        <v>100</v>
      </c>
      <c r="T33" s="714" t="s">
        <v>17</v>
      </c>
      <c r="U33" s="715">
        <f t="shared" si="15"/>
        <v>100</v>
      </c>
      <c r="V33" s="714" t="s">
        <v>17</v>
      </c>
      <c r="W33" s="715">
        <f t="shared" si="16"/>
        <v>100</v>
      </c>
      <c r="X33" s="3042"/>
      <c r="Y33" s="3425" t="s">
        <v>2386</v>
      </c>
      <c r="Z33" s="3043" t="str">
        <f t="shared" si="17"/>
        <v>建筑类型</v>
      </c>
      <c r="AA33" s="3046">
        <f t="shared" si="5"/>
        <v>1</v>
      </c>
      <c r="AB33" s="3046">
        <f t="shared" si="6"/>
        <v>1</v>
      </c>
      <c r="AC33" s="2150">
        <f t="shared" si="7"/>
        <v>1</v>
      </c>
    </row>
    <row r="34" spans="1:29" s="430" customFormat="1" ht="15">
      <c r="A34" s="427"/>
      <c r="B34" s="381" t="s">
        <v>2387</v>
      </c>
      <c r="C34" s="428">
        <f>'租金比较法-商业'!C34</f>
        <v>445.5</v>
      </c>
      <c r="D34" s="132">
        <v>100</v>
      </c>
      <c r="E34" s="389">
        <v>150</v>
      </c>
      <c r="F34" s="384">
        <f>LOOKUP(E34,104:104,105:105)-LOOKUP(C34,104:104,105:105)+100</f>
        <v>94</v>
      </c>
      <c r="G34" s="388">
        <v>249</v>
      </c>
      <c r="H34" s="132">
        <f>LOOKUP(G34,104:104,105:105)-LOOKUP(C34,104:104,105:105)+100</f>
        <v>96</v>
      </c>
      <c r="I34" s="388">
        <v>200</v>
      </c>
      <c r="J34" s="132">
        <f>LOOKUP(I34,104:104,105:105)-LOOKUP(C34,104:104,105:105)+100</f>
        <v>96</v>
      </c>
      <c r="K34" s="570"/>
      <c r="L34" s="2950"/>
      <c r="M34" s="2952"/>
      <c r="N34" s="2952"/>
      <c r="O34" s="2952"/>
      <c r="P34" s="3423"/>
      <c r="Q34" s="716" t="str">
        <f t="shared" si="13"/>
        <v>项目建筑规模</v>
      </c>
      <c r="R34" s="717" t="s">
        <v>17</v>
      </c>
      <c r="S34" s="718">
        <f t="shared" si="14"/>
        <v>94</v>
      </c>
      <c r="T34" s="717" t="s">
        <v>17</v>
      </c>
      <c r="U34" s="718">
        <f t="shared" si="15"/>
        <v>96</v>
      </c>
      <c r="V34" s="717" t="s">
        <v>17</v>
      </c>
      <c r="W34" s="718">
        <f t="shared" si="16"/>
        <v>96</v>
      </c>
      <c r="X34" s="719"/>
      <c r="Y34" s="3425"/>
      <c r="Z34" s="720" t="str">
        <f t="shared" si="17"/>
        <v>项目建筑规模</v>
      </c>
      <c r="AA34" s="3046">
        <f t="shared" si="5"/>
        <v>1.0638297872340425</v>
      </c>
      <c r="AB34" s="3046">
        <f t="shared" si="6"/>
        <v>1.0416666666666667</v>
      </c>
      <c r="AC34" s="2150">
        <f t="shared" si="7"/>
        <v>1.0416666666666667</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23"/>
      <c r="Q35" s="3045" t="str">
        <f t="shared" si="13"/>
        <v>建筑结构</v>
      </c>
      <c r="R35" s="714" t="s">
        <v>17</v>
      </c>
      <c r="S35" s="715">
        <f t="shared" si="14"/>
        <v>100</v>
      </c>
      <c r="T35" s="714" t="s">
        <v>17</v>
      </c>
      <c r="U35" s="715">
        <f t="shared" si="15"/>
        <v>100</v>
      </c>
      <c r="V35" s="714" t="s">
        <v>17</v>
      </c>
      <c r="W35" s="715">
        <f t="shared" si="16"/>
        <v>100</v>
      </c>
      <c r="X35" s="3042"/>
      <c r="Y35" s="3425"/>
      <c r="Z35" s="3043" t="str">
        <f t="shared" si="17"/>
        <v>建筑结构</v>
      </c>
      <c r="AA35" s="3046">
        <f t="shared" si="5"/>
        <v>1</v>
      </c>
      <c r="AB35" s="3046">
        <f t="shared" si="6"/>
        <v>1</v>
      </c>
      <c r="AC35" s="2150">
        <f t="shared" si="7"/>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23"/>
      <c r="Q36" s="3045" t="str">
        <f t="shared" si="13"/>
        <v>公共部分装修</v>
      </c>
      <c r="R36" s="714" t="s">
        <v>17</v>
      </c>
      <c r="S36" s="715">
        <f t="shared" si="14"/>
        <v>100</v>
      </c>
      <c r="T36" s="714" t="s">
        <v>17</v>
      </c>
      <c r="U36" s="715">
        <f t="shared" si="15"/>
        <v>100</v>
      </c>
      <c r="V36" s="714" t="s">
        <v>17</v>
      </c>
      <c r="W36" s="715">
        <f t="shared" si="16"/>
        <v>100</v>
      </c>
      <c r="X36" s="3042"/>
      <c r="Y36" s="3425"/>
      <c r="Z36" s="3043" t="str">
        <f t="shared" si="17"/>
        <v>公共部分装修</v>
      </c>
      <c r="AA36" s="3046">
        <f t="shared" si="5"/>
        <v>1</v>
      </c>
      <c r="AB36" s="3046">
        <f t="shared" si="6"/>
        <v>1</v>
      </c>
      <c r="AC36" s="2150">
        <f t="shared" si="7"/>
        <v>1</v>
      </c>
    </row>
    <row r="37" spans="1:29" ht="15">
      <c r="A37" s="431"/>
      <c r="B37" s="381" t="s">
        <v>2483</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51"/>
      <c r="M37" s="2945"/>
      <c r="N37" s="2945"/>
      <c r="O37" s="2945"/>
      <c r="P37" s="3423"/>
      <c r="Q37" s="3045" t="str">
        <f t="shared" si="13"/>
        <v>成新度</v>
      </c>
      <c r="R37" s="714" t="s">
        <v>17</v>
      </c>
      <c r="S37" s="715">
        <f t="shared" si="14"/>
        <v>100</v>
      </c>
      <c r="T37" s="714" t="s">
        <v>17</v>
      </c>
      <c r="U37" s="715">
        <f t="shared" si="15"/>
        <v>100</v>
      </c>
      <c r="V37" s="714" t="s">
        <v>17</v>
      </c>
      <c r="W37" s="715">
        <f t="shared" si="16"/>
        <v>100</v>
      </c>
      <c r="X37" s="3042"/>
      <c r="Y37" s="3425"/>
      <c r="Z37" s="3043" t="str">
        <f t="shared" si="17"/>
        <v>成新度</v>
      </c>
      <c r="AA37" s="3046">
        <f t="shared" si="5"/>
        <v>1</v>
      </c>
      <c r="AB37" s="3046">
        <f t="shared" si="6"/>
        <v>1</v>
      </c>
      <c r="AC37" s="2150">
        <f t="shared" si="7"/>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23"/>
      <c r="Q38" s="3041" t="str">
        <f t="shared" si="13"/>
        <v>写字楼等级</v>
      </c>
      <c r="R38" s="710" t="s">
        <v>17</v>
      </c>
      <c r="S38" s="711">
        <f t="shared" si="14"/>
        <v>100</v>
      </c>
      <c r="T38" s="710" t="s">
        <v>17</v>
      </c>
      <c r="U38" s="711">
        <f t="shared" si="15"/>
        <v>100</v>
      </c>
      <c r="V38" s="710" t="s">
        <v>17</v>
      </c>
      <c r="W38" s="711">
        <f t="shared" si="16"/>
        <v>100</v>
      </c>
      <c r="X38" s="712"/>
      <c r="Y38" s="3425"/>
      <c r="Z38" s="3040" t="str">
        <f t="shared" si="17"/>
        <v>写字楼等级</v>
      </c>
      <c r="AA38" s="713">
        <f t="shared" si="5"/>
        <v>1</v>
      </c>
      <c r="AB38" s="713">
        <f t="shared" si="6"/>
        <v>1</v>
      </c>
      <c r="AC38" s="2147">
        <f t="shared" si="7"/>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23" t="s">
        <v>2386</v>
      </c>
      <c r="Q39" s="3045" t="str">
        <f t="shared" si="13"/>
        <v>物业管理</v>
      </c>
      <c r="R39" s="714" t="s">
        <v>17</v>
      </c>
      <c r="S39" s="715">
        <f t="shared" si="14"/>
        <v>100</v>
      </c>
      <c r="T39" s="714" t="s">
        <v>17</v>
      </c>
      <c r="U39" s="715">
        <f t="shared" si="15"/>
        <v>100</v>
      </c>
      <c r="V39" s="714" t="s">
        <v>17</v>
      </c>
      <c r="W39" s="715">
        <f t="shared" si="16"/>
        <v>100</v>
      </c>
      <c r="X39" s="3042"/>
      <c r="Y39" s="3425" t="s">
        <v>2386</v>
      </c>
      <c r="Z39" s="3043" t="str">
        <f t="shared" si="17"/>
        <v>物业管理</v>
      </c>
      <c r="AA39" s="3046">
        <f t="shared" si="5"/>
        <v>1</v>
      </c>
      <c r="AB39" s="3046">
        <f t="shared" si="6"/>
        <v>1</v>
      </c>
      <c r="AC39" s="2150">
        <f t="shared" si="7"/>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23"/>
      <c r="Q40" s="3045" t="str">
        <f t="shared" si="13"/>
        <v>市政基础设施</v>
      </c>
      <c r="R40" s="714" t="s">
        <v>17</v>
      </c>
      <c r="S40" s="715">
        <f t="shared" si="14"/>
        <v>100</v>
      </c>
      <c r="T40" s="714" t="s">
        <v>17</v>
      </c>
      <c r="U40" s="715">
        <f t="shared" si="15"/>
        <v>100</v>
      </c>
      <c r="V40" s="714" t="s">
        <v>17</v>
      </c>
      <c r="W40" s="715">
        <f t="shared" si="16"/>
        <v>100</v>
      </c>
      <c r="X40" s="3042"/>
      <c r="Y40" s="3425"/>
      <c r="Z40" s="3043" t="str">
        <f t="shared" si="17"/>
        <v>市政基础设施</v>
      </c>
      <c r="AA40" s="3046">
        <f t="shared" si="5"/>
        <v>1</v>
      </c>
      <c r="AB40" s="3046">
        <f t="shared" si="6"/>
        <v>1</v>
      </c>
      <c r="AC40" s="2150">
        <f t="shared" si="7"/>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23"/>
      <c r="Q41" s="3045" t="str">
        <f t="shared" si="13"/>
        <v>层高</v>
      </c>
      <c r="R41" s="714" t="s">
        <v>17</v>
      </c>
      <c r="S41" s="715">
        <f t="shared" si="14"/>
        <v>100</v>
      </c>
      <c r="T41" s="714" t="s">
        <v>17</v>
      </c>
      <c r="U41" s="715">
        <f t="shared" si="15"/>
        <v>100</v>
      </c>
      <c r="V41" s="714" t="s">
        <v>17</v>
      </c>
      <c r="W41" s="715">
        <f t="shared" si="16"/>
        <v>100</v>
      </c>
      <c r="X41" s="3042"/>
      <c r="Y41" s="3425"/>
      <c r="Z41" s="3043" t="str">
        <f t="shared" si="17"/>
        <v>层高</v>
      </c>
      <c r="AA41" s="3046">
        <f t="shared" si="5"/>
        <v>1</v>
      </c>
      <c r="AB41" s="3046">
        <f t="shared" si="6"/>
        <v>1</v>
      </c>
      <c r="AC41" s="2150">
        <f t="shared" si="7"/>
        <v>1</v>
      </c>
    </row>
    <row r="42" spans="1:29" s="430" customFormat="1" ht="15" hidden="1">
      <c r="A42" s="427"/>
      <c r="B42" s="3044"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23"/>
      <c r="Q42" s="716" t="str">
        <f t="shared" si="13"/>
        <v>单套建筑面积</v>
      </c>
      <c r="R42" s="717" t="s">
        <v>17</v>
      </c>
      <c r="S42" s="718">
        <f t="shared" si="14"/>
        <v>100</v>
      </c>
      <c r="T42" s="717" t="s">
        <v>17</v>
      </c>
      <c r="U42" s="718">
        <f t="shared" si="15"/>
        <v>100</v>
      </c>
      <c r="V42" s="717" t="s">
        <v>17</v>
      </c>
      <c r="W42" s="718">
        <f t="shared" si="16"/>
        <v>100</v>
      </c>
      <c r="X42" s="719"/>
      <c r="Y42" s="3425"/>
      <c r="Z42" s="720" t="str">
        <f t="shared" si="17"/>
        <v>单套建筑面积</v>
      </c>
      <c r="AA42" s="3046">
        <f t="shared" si="5"/>
        <v>1</v>
      </c>
      <c r="AB42" s="3046">
        <f t="shared" si="6"/>
        <v>1</v>
      </c>
      <c r="AC42" s="2150">
        <f t="shared" si="7"/>
        <v>1</v>
      </c>
    </row>
    <row r="43" spans="1:29" ht="15">
      <c r="A43" s="431"/>
      <c r="B43" s="381" t="s">
        <v>2489</v>
      </c>
      <c r="C43" s="419" t="s">
        <v>3229</v>
      </c>
      <c r="D43" s="394">
        <v>100</v>
      </c>
      <c r="E43" s="419" t="s">
        <v>3233</v>
      </c>
      <c r="F43" s="420">
        <f>SUMIF(123:123,E43,124:124)-SUMIF(123:123,C43,124:124)+100</f>
        <v>102</v>
      </c>
      <c r="G43" s="419" t="s">
        <v>3229</v>
      </c>
      <c r="H43" s="394">
        <f>SUMIF(123:123,G43,124:124)-SUMIF(123:123,C43,124:124)+100</f>
        <v>100</v>
      </c>
      <c r="I43" s="419" t="s">
        <v>3233</v>
      </c>
      <c r="J43" s="394">
        <f>SUMIF(123:123,I43,124:124)-SUMIF(123:123,C43,124:124)+100</f>
        <v>102</v>
      </c>
      <c r="K43" s="569">
        <v>2</v>
      </c>
      <c r="L43" s="2951"/>
      <c r="M43" s="2945"/>
      <c r="N43" s="2945"/>
      <c r="O43" s="2945"/>
      <c r="P43" s="3423"/>
      <c r="Q43" s="3045" t="str">
        <f t="shared" si="13"/>
        <v>内部装修</v>
      </c>
      <c r="R43" s="714" t="s">
        <v>17</v>
      </c>
      <c r="S43" s="715">
        <f t="shared" si="14"/>
        <v>102</v>
      </c>
      <c r="T43" s="714" t="s">
        <v>17</v>
      </c>
      <c r="U43" s="715">
        <f t="shared" si="15"/>
        <v>100</v>
      </c>
      <c r="V43" s="714" t="s">
        <v>17</v>
      </c>
      <c r="W43" s="715">
        <f t="shared" si="16"/>
        <v>102</v>
      </c>
      <c r="X43" s="3042"/>
      <c r="Y43" s="3425"/>
      <c r="Z43" s="3043" t="str">
        <f t="shared" si="17"/>
        <v>内部装修</v>
      </c>
      <c r="AA43" s="3046">
        <f t="shared" si="5"/>
        <v>0.98039215686274506</v>
      </c>
      <c r="AB43" s="3046">
        <f t="shared" si="6"/>
        <v>1</v>
      </c>
      <c r="AC43" s="2150">
        <f t="shared" si="7"/>
        <v>0.98039215686274506</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1"/>
      <c r="M44" s="2945"/>
      <c r="N44" s="2945"/>
      <c r="O44" s="2945"/>
      <c r="P44" s="3423"/>
      <c r="Q44" s="3045" t="str">
        <f t="shared" si="13"/>
        <v>内部装修维护情况</v>
      </c>
      <c r="R44" s="714" t="s">
        <v>17</v>
      </c>
      <c r="S44" s="715">
        <f t="shared" si="14"/>
        <v>100</v>
      </c>
      <c r="T44" s="714" t="s">
        <v>17</v>
      </c>
      <c r="U44" s="715">
        <f t="shared" si="15"/>
        <v>100</v>
      </c>
      <c r="V44" s="714" t="s">
        <v>17</v>
      </c>
      <c r="W44" s="715">
        <f t="shared" si="16"/>
        <v>100</v>
      </c>
      <c r="X44" s="3042"/>
      <c r="Y44" s="3425"/>
      <c r="Z44" s="3043" t="str">
        <f t="shared" si="17"/>
        <v>内部装修维护情况</v>
      </c>
      <c r="AA44" s="3046">
        <f t="shared" si="5"/>
        <v>1</v>
      </c>
      <c r="AB44" s="3046">
        <f t="shared" si="6"/>
        <v>1</v>
      </c>
      <c r="AC44" s="2150">
        <f t="shared" si="7"/>
        <v>1</v>
      </c>
    </row>
    <row r="45" spans="1:29" s="113" customFormat="1" ht="15.75" thickBot="1">
      <c r="A45" s="432"/>
      <c r="B45" s="3124" t="s">
        <v>3243</v>
      </c>
      <c r="C45" s="428">
        <v>2004</v>
      </c>
      <c r="D45" s="132">
        <v>100</v>
      </c>
      <c r="E45" s="391">
        <v>2004</v>
      </c>
      <c r="F45" s="384">
        <f>SUMIF(127:127,E45,128:128)-SUMIF(127:127,C45,128:128)+100</f>
        <v>100</v>
      </c>
      <c r="G45" s="391">
        <v>2004</v>
      </c>
      <c r="H45" s="132">
        <f>SUMIF(127:127,G45,128:128)-SUMIF(127:127,C45,128:128)+100</f>
        <v>100</v>
      </c>
      <c r="I45" s="391">
        <v>2004</v>
      </c>
      <c r="J45" s="132">
        <f>SUMIF(127:127,I45,128:128)-SUMIF(127:127,C45,128:128)+100</f>
        <v>100</v>
      </c>
      <c r="K45" s="570"/>
      <c r="L45" s="2946"/>
      <c r="M45" s="2947"/>
      <c r="N45" s="2947"/>
      <c r="O45" s="2947"/>
      <c r="P45" s="3423"/>
      <c r="Q45" s="3041" t="str">
        <f t="shared" si="13"/>
        <v>建成年份</v>
      </c>
      <c r="R45" s="710" t="s">
        <v>17</v>
      </c>
      <c r="S45" s="711">
        <f t="shared" si="14"/>
        <v>100</v>
      </c>
      <c r="T45" s="710" t="s">
        <v>17</v>
      </c>
      <c r="U45" s="711">
        <f t="shared" si="15"/>
        <v>100</v>
      </c>
      <c r="V45" s="710" t="s">
        <v>17</v>
      </c>
      <c r="W45" s="711">
        <f t="shared" si="16"/>
        <v>100</v>
      </c>
      <c r="X45" s="712"/>
      <c r="Y45" s="3425"/>
      <c r="Z45" s="3040" t="str">
        <f t="shared" si="17"/>
        <v>建成年份</v>
      </c>
      <c r="AA45" s="713">
        <f t="shared" si="5"/>
        <v>1</v>
      </c>
      <c r="AB45" s="713">
        <f t="shared" si="6"/>
        <v>1</v>
      </c>
      <c r="AC45" s="2147">
        <f t="shared" si="7"/>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23"/>
      <c r="Q46" s="3045">
        <f t="shared" si="13"/>
        <v>111</v>
      </c>
      <c r="R46" s="714" t="s">
        <v>17</v>
      </c>
      <c r="S46" s="715">
        <f t="shared" si="14"/>
        <v>100</v>
      </c>
      <c r="T46" s="714" t="s">
        <v>17</v>
      </c>
      <c r="U46" s="715">
        <f t="shared" si="15"/>
        <v>100</v>
      </c>
      <c r="V46" s="714" t="s">
        <v>17</v>
      </c>
      <c r="W46" s="715">
        <f t="shared" si="16"/>
        <v>100</v>
      </c>
      <c r="X46" s="3042"/>
      <c r="Y46" s="3425"/>
      <c r="Z46" s="3043">
        <f t="shared" si="17"/>
        <v>111</v>
      </c>
      <c r="AA46" s="3046">
        <f t="shared" si="5"/>
        <v>1</v>
      </c>
      <c r="AB46" s="3046">
        <f t="shared" si="6"/>
        <v>1</v>
      </c>
      <c r="AC46" s="2150">
        <f t="shared" si="7"/>
        <v>1</v>
      </c>
    </row>
    <row r="47" spans="1:29" ht="15.75" hidden="1"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24"/>
      <c r="Q47" s="3045">
        <f t="shared" si="13"/>
        <v>111</v>
      </c>
      <c r="R47" s="714" t="s">
        <v>17</v>
      </c>
      <c r="S47" s="715">
        <f t="shared" si="14"/>
        <v>100</v>
      </c>
      <c r="T47" s="714" t="s">
        <v>17</v>
      </c>
      <c r="U47" s="715">
        <f t="shared" si="15"/>
        <v>100</v>
      </c>
      <c r="V47" s="714" t="s">
        <v>17</v>
      </c>
      <c r="W47" s="715">
        <f t="shared" si="16"/>
        <v>100</v>
      </c>
      <c r="X47" s="3042"/>
      <c r="Y47" s="3426"/>
      <c r="Z47" s="3043">
        <f t="shared" si="17"/>
        <v>111</v>
      </c>
      <c r="AA47" s="3046">
        <f t="shared" si="5"/>
        <v>1</v>
      </c>
      <c r="AB47" s="3046">
        <f t="shared" si="6"/>
        <v>1</v>
      </c>
      <c r="AC47" s="2150">
        <f t="shared" si="7"/>
        <v>1</v>
      </c>
    </row>
    <row r="48" spans="1:29" ht="15">
      <c r="A48" s="438" t="s">
        <v>2398</v>
      </c>
      <c r="B48" s="439"/>
      <c r="C48" s="1316" t="s">
        <v>1</v>
      </c>
      <c r="D48" s="1317"/>
      <c r="E48" s="1318">
        <v>35000</v>
      </c>
      <c r="F48" s="1319"/>
      <c r="G48" s="1320">
        <v>35341</v>
      </c>
      <c r="H48" s="1321"/>
      <c r="I48" s="1318">
        <v>35000</v>
      </c>
      <c r="J48" s="444"/>
      <c r="K48" s="723"/>
      <c r="L48" s="2953"/>
      <c r="M48" s="2945"/>
      <c r="N48" s="2945"/>
      <c r="O48" s="2945"/>
      <c r="P48" s="3412" t="str">
        <f>A48</f>
        <v>成交单价（元/平方米）</v>
      </c>
      <c r="Q48" s="3413"/>
      <c r="R48" s="3427">
        <f>E48</f>
        <v>35000</v>
      </c>
      <c r="S48" s="3427"/>
      <c r="T48" s="3427">
        <f>G48</f>
        <v>35341</v>
      </c>
      <c r="U48" s="3427"/>
      <c r="V48" s="3427">
        <f>I48</f>
        <v>35000</v>
      </c>
      <c r="W48" s="3427"/>
      <c r="X48" s="405"/>
      <c r="Y48" s="721"/>
      <c r="Z48" s="405"/>
      <c r="AA48" s="405"/>
      <c r="AB48" s="405"/>
      <c r="AC48" s="586"/>
    </row>
    <row r="49" spans="1:29" ht="15.75" thickBot="1">
      <c r="A49" s="445" t="s">
        <v>2399</v>
      </c>
      <c r="B49" s="446"/>
      <c r="C49" s="1322" t="e">
        <f>R50</f>
        <v>#DIV/0!</v>
      </c>
      <c r="D49" s="2540" t="s">
        <v>2879</v>
      </c>
      <c r="E49" s="1323" t="e">
        <f>R49</f>
        <v>#DIV/0!</v>
      </c>
      <c r="F49" s="2541"/>
      <c r="G49" s="1322" t="e">
        <f>T49</f>
        <v>#DIV/0!</v>
      </c>
      <c r="H49" s="2541"/>
      <c r="I49" s="1323" t="e">
        <f>V49</f>
        <v>#DIV/0!</v>
      </c>
      <c r="J49" s="2541"/>
      <c r="K49" s="2543">
        <f>F49+H49+J49</f>
        <v>0</v>
      </c>
      <c r="L49" s="2953"/>
      <c r="M49" s="2945"/>
      <c r="N49" s="2945"/>
      <c r="O49" s="2945"/>
      <c r="P49" s="3412" t="str">
        <f>A49</f>
        <v>比较价值（元/平方米）</v>
      </c>
      <c r="Q49" s="3413"/>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405"/>
      <c r="Y49" s="405"/>
      <c r="Z49" s="405"/>
      <c r="AA49" s="405"/>
      <c r="AB49" s="405"/>
      <c r="AC49" s="586"/>
    </row>
    <row r="50" spans="1:29" ht="15.75" thickBot="1">
      <c r="A50" s="449" t="s">
        <v>2400</v>
      </c>
      <c r="B50" s="450"/>
      <c r="C50" s="1325" t="e">
        <f>R50</f>
        <v>#DIV/0!</v>
      </c>
      <c r="D50" s="1325"/>
      <c r="E50" s="1325"/>
      <c r="F50" s="1325"/>
      <c r="G50" s="1325"/>
      <c r="H50" s="1325"/>
      <c r="I50" s="1325"/>
      <c r="J50" s="451"/>
      <c r="K50" s="724"/>
      <c r="L50" s="2953"/>
      <c r="M50" s="2945"/>
      <c r="N50" s="2945"/>
      <c r="O50" s="2945"/>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2401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2402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2403</v>
      </c>
      <c r="D55" s="458"/>
      <c r="E55" s="456">
        <f>IF(E48&lt;G48,G48/E48-1,E48/G48-1)</f>
        <v>9.7428571428570532E-3</v>
      </c>
      <c r="F55" s="457" t="str">
        <f>IF(OR(E55&gt;=0.3,E55&lt;=-0.3),"超过30%","")</f>
        <v/>
      </c>
      <c r="G55" s="456">
        <f>IF(G48&lt;I48,I48/G48-1,G48/I48-1)</f>
        <v>9.7428571428570532E-3</v>
      </c>
      <c r="H55" s="457" t="str">
        <f>IF(OR(G55&gt;=0.3,G55&lt;=-0.3),"超过30%","")</f>
        <v/>
      </c>
      <c r="I55" s="456">
        <f>IF(I48&lt;E48,E48/I48-1,I48/E48-1)</f>
        <v>0</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2404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2023-2</v>
      </c>
      <c r="D59" s="1347">
        <f>EDATE(C59,-1)</f>
        <v>44927</v>
      </c>
      <c r="E59" s="1347">
        <f>EDATE(D59,-1)</f>
        <v>44896</v>
      </c>
      <c r="F59" s="1347">
        <f t="shared" ref="F59:O59" si="18">EDATE(E59,-1)</f>
        <v>44866</v>
      </c>
      <c r="G59" s="1347">
        <f t="shared" si="18"/>
        <v>44835</v>
      </c>
      <c r="H59" s="1347">
        <f t="shared" si="18"/>
        <v>44805</v>
      </c>
      <c r="I59" s="1347">
        <f t="shared" si="18"/>
        <v>44774</v>
      </c>
      <c r="J59" s="1347">
        <f t="shared" si="18"/>
        <v>44743</v>
      </c>
      <c r="K59" s="1347">
        <f t="shared" si="18"/>
        <v>44713</v>
      </c>
      <c r="L59" s="1347">
        <f t="shared" si="18"/>
        <v>44682</v>
      </c>
      <c r="M59" s="1347">
        <f t="shared" si="18"/>
        <v>44652</v>
      </c>
      <c r="N59" s="1347">
        <f t="shared" si="18"/>
        <v>44621</v>
      </c>
      <c r="O59" s="1347">
        <f t="shared" si="18"/>
        <v>44593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99.5</v>
      </c>
      <c r="G60" s="469">
        <v>99.5</v>
      </c>
      <c r="H60" s="469">
        <v>99.5</v>
      </c>
      <c r="I60" s="469">
        <v>99.5</v>
      </c>
      <c r="J60" s="469">
        <v>99.5</v>
      </c>
      <c r="K60" s="469">
        <v>99.5</v>
      </c>
      <c r="L60" s="469">
        <v>100.5</v>
      </c>
      <c r="M60" s="470">
        <v>100.5</v>
      </c>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2408</v>
      </c>
      <c r="D62" s="3121" t="s">
        <v>3237</v>
      </c>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v>102</v>
      </c>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1（含）-2</v>
      </c>
      <c r="D68" s="504" t="str">
        <f t="shared" ref="D68:L68" si="19">D69&amp;"（含）"&amp;"-"&amp;E69</f>
        <v>2（含）-3</v>
      </c>
      <c r="E68" s="504" t="str">
        <f t="shared" si="19"/>
        <v>3（含）-</v>
      </c>
      <c r="F68" s="504" t="str">
        <f t="shared" si="19"/>
        <v>（含）-</v>
      </c>
      <c r="G68" s="504" t="str">
        <f t="shared" si="19"/>
        <v>（含）-</v>
      </c>
      <c r="H68" s="504" t="str">
        <f t="shared" si="19"/>
        <v>（含）-</v>
      </c>
      <c r="I68" s="504" t="str">
        <f t="shared" si="19"/>
        <v>（含）-</v>
      </c>
      <c r="J68" s="504" t="str">
        <f t="shared" si="19"/>
        <v>（含）-</v>
      </c>
      <c r="K68" s="504" t="str">
        <f t="shared" si="19"/>
        <v>（含）-</v>
      </c>
      <c r="L68" s="504" t="str">
        <f t="shared" si="19"/>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1</v>
      </c>
      <c r="D69" s="506">
        <v>2</v>
      </c>
      <c r="E69" s="506">
        <v>3</v>
      </c>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20">C70-$K11</f>
        <v>100</v>
      </c>
      <c r="E70" s="501">
        <f t="shared" si="20"/>
        <v>100</v>
      </c>
      <c r="F70" s="501">
        <f t="shared" si="20"/>
        <v>100</v>
      </c>
      <c r="G70" s="501">
        <f t="shared" si="20"/>
        <v>100</v>
      </c>
      <c r="H70" s="501">
        <f t="shared" si="20"/>
        <v>100</v>
      </c>
      <c r="I70" s="501">
        <f t="shared" si="20"/>
        <v>100</v>
      </c>
      <c r="J70" s="501">
        <f t="shared" si="20"/>
        <v>100</v>
      </c>
      <c r="K70" s="501">
        <f t="shared" si="20"/>
        <v>100</v>
      </c>
      <c r="L70" s="501">
        <f t="shared" si="20"/>
        <v>100</v>
      </c>
      <c r="M70" s="502">
        <f t="shared" si="20"/>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98</v>
      </c>
      <c r="E78" s="501">
        <f>D78-$K15</f>
        <v>96</v>
      </c>
      <c r="F78" s="501">
        <f>E78-$K15</f>
        <v>94</v>
      </c>
      <c r="G78" s="501">
        <f>F78-$K15</f>
        <v>92</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98</v>
      </c>
      <c r="E82" s="501">
        <f>D82-$K19</f>
        <v>96</v>
      </c>
      <c r="F82" s="501">
        <f>E82-$K19</f>
        <v>94</v>
      </c>
      <c r="G82" s="501">
        <f>F82-$K19</f>
        <v>92</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98</v>
      </c>
      <c r="E86" s="501">
        <f>D86-$K23</f>
        <v>96</v>
      </c>
      <c r="F86" s="501">
        <f>E86-$K23</f>
        <v>94</v>
      </c>
      <c r="G86" s="501">
        <f>F86-$K23</f>
        <v>92</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t="s">
        <v>3218</v>
      </c>
      <c r="D87" s="511" t="s">
        <v>3219</v>
      </c>
      <c r="E87" s="511" t="s">
        <v>3220</v>
      </c>
      <c r="F87" s="511" t="s">
        <v>3221</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21">C88-$K25</f>
        <v>98</v>
      </c>
      <c r="E88" s="501">
        <f t="shared" si="21"/>
        <v>96</v>
      </c>
      <c r="F88" s="501">
        <f t="shared" si="21"/>
        <v>94</v>
      </c>
      <c r="G88" s="501">
        <f t="shared" si="21"/>
        <v>92</v>
      </c>
      <c r="H88" s="501">
        <f t="shared" si="21"/>
        <v>90</v>
      </c>
      <c r="I88" s="501">
        <f t="shared" si="21"/>
        <v>88</v>
      </c>
      <c r="J88" s="501">
        <f t="shared" si="21"/>
        <v>86</v>
      </c>
      <c r="K88" s="501">
        <f t="shared" si="21"/>
        <v>84</v>
      </c>
      <c r="L88" s="501">
        <f t="shared" si="21"/>
        <v>82</v>
      </c>
      <c r="M88" s="501">
        <f t="shared" si="21"/>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2">D90-$K27</f>
        <v>100</v>
      </c>
      <c r="F90" s="501">
        <f t="shared" si="22"/>
        <v>100</v>
      </c>
      <c r="G90" s="501">
        <f t="shared" si="22"/>
        <v>100</v>
      </c>
      <c r="H90" s="501">
        <f t="shared" si="22"/>
        <v>100</v>
      </c>
      <c r="I90" s="501">
        <f t="shared" si="22"/>
        <v>100</v>
      </c>
      <c r="J90" s="501">
        <f t="shared" si="22"/>
        <v>100</v>
      </c>
      <c r="K90" s="501">
        <f t="shared" si="22"/>
        <v>100</v>
      </c>
      <c r="L90" s="501">
        <f t="shared" si="22"/>
        <v>100</v>
      </c>
      <c r="M90" s="501">
        <f t="shared" si="22"/>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3">C92-$K28</f>
        <v>100</v>
      </c>
      <c r="E92" s="501">
        <f t="shared" si="23"/>
        <v>100</v>
      </c>
      <c r="F92" s="501">
        <f t="shared" si="23"/>
        <v>100</v>
      </c>
      <c r="G92" s="501">
        <f t="shared" si="23"/>
        <v>100</v>
      </c>
      <c r="H92" s="501">
        <f t="shared" si="23"/>
        <v>100</v>
      </c>
      <c r="I92" s="501">
        <f t="shared" si="23"/>
        <v>100</v>
      </c>
      <c r="J92" s="501">
        <f t="shared" si="23"/>
        <v>100</v>
      </c>
      <c r="K92" s="501">
        <f t="shared" si="23"/>
        <v>100</v>
      </c>
      <c r="L92" s="501">
        <f t="shared" si="23"/>
        <v>100</v>
      </c>
      <c r="M92" s="501">
        <f t="shared" si="23"/>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t="str">
        <f>B29</f>
        <v>楼层</v>
      </c>
      <c r="C93" s="3127" t="str">
        <f>'租金比较法-商业'!C29</f>
        <v>1</v>
      </c>
      <c r="D93" s="511" t="str">
        <f>E29</f>
        <v>中楼层/15</v>
      </c>
      <c r="E93" s="511" t="str">
        <f>G29</f>
        <v>中楼层/20</v>
      </c>
      <c r="F93" s="511" t="str">
        <f>I29</f>
        <v>低楼层/15</v>
      </c>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v>100</v>
      </c>
      <c r="D94" s="493">
        <v>102</v>
      </c>
      <c r="E94" s="493">
        <v>102</v>
      </c>
      <c r="F94" s="493">
        <v>100</v>
      </c>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4">C102-$K33</f>
        <v>100</v>
      </c>
      <c r="E102" s="501">
        <f t="shared" si="24"/>
        <v>100</v>
      </c>
      <c r="F102" s="501">
        <f t="shared" si="24"/>
        <v>100</v>
      </c>
      <c r="G102" s="501">
        <f t="shared" si="24"/>
        <v>100</v>
      </c>
      <c r="H102" s="501">
        <f t="shared" si="24"/>
        <v>100</v>
      </c>
      <c r="I102" s="501">
        <f t="shared" si="24"/>
        <v>100</v>
      </c>
      <c r="J102" s="501">
        <f t="shared" si="24"/>
        <v>100</v>
      </c>
      <c r="K102" s="501">
        <f t="shared" si="24"/>
        <v>100</v>
      </c>
      <c r="L102" s="501">
        <f t="shared" si="24"/>
        <v>100</v>
      </c>
      <c r="M102" s="502">
        <f t="shared" si="24"/>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0(含)-100</v>
      </c>
      <c r="D103" s="535" t="str">
        <f t="shared" ref="D103:L103" si="25">D104&amp;"(含)"&amp;"-"&amp;E104</f>
        <v>100(含)-200</v>
      </c>
      <c r="E103" s="535" t="str">
        <f t="shared" si="25"/>
        <v>200(含)-300</v>
      </c>
      <c r="F103" s="535" t="str">
        <f t="shared" si="25"/>
        <v>300(含)-400</v>
      </c>
      <c r="G103" s="535" t="str">
        <f t="shared" si="25"/>
        <v>400(含)-500</v>
      </c>
      <c r="H103" s="535" t="str">
        <f t="shared" si="25"/>
        <v>500(含)-</v>
      </c>
      <c r="I103" s="535" t="str">
        <f t="shared" si="25"/>
        <v>(含)-</v>
      </c>
      <c r="J103" s="535" t="str">
        <f t="shared" si="25"/>
        <v>(含)-</v>
      </c>
      <c r="K103" s="535" t="str">
        <f t="shared" si="25"/>
        <v>(含)-</v>
      </c>
      <c r="L103" s="535" t="str">
        <f t="shared" si="25"/>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100</v>
      </c>
      <c r="E104" s="552">
        <v>200</v>
      </c>
      <c r="F104" s="552">
        <v>300</v>
      </c>
      <c r="G104" s="552">
        <v>400</v>
      </c>
      <c r="H104" s="552">
        <v>500</v>
      </c>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102</v>
      </c>
      <c r="D105" s="493">
        <v>104</v>
      </c>
      <c r="E105" s="493">
        <v>106</v>
      </c>
      <c r="F105" s="493">
        <v>108</v>
      </c>
      <c r="G105" s="493">
        <v>110</v>
      </c>
      <c r="H105" s="493">
        <v>112</v>
      </c>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6">C107-$K35</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2">
        <f t="shared" si="26"/>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7">C109-$K36</f>
        <v>100</v>
      </c>
      <c r="E109" s="501">
        <f t="shared" si="27"/>
        <v>100</v>
      </c>
      <c r="F109" s="501">
        <f t="shared" si="27"/>
        <v>100</v>
      </c>
      <c r="G109" s="501">
        <f t="shared" si="27"/>
        <v>100</v>
      </c>
      <c r="H109" s="501">
        <f t="shared" si="27"/>
        <v>100</v>
      </c>
      <c r="I109" s="501">
        <f t="shared" si="27"/>
        <v>100</v>
      </c>
      <c r="J109" s="501">
        <f t="shared" si="27"/>
        <v>100</v>
      </c>
      <c r="K109" s="501">
        <f t="shared" si="27"/>
        <v>100</v>
      </c>
      <c r="L109" s="501">
        <f t="shared" si="27"/>
        <v>100</v>
      </c>
      <c r="M109" s="502">
        <f t="shared" si="27"/>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8">D112+$K37</f>
        <v>100</v>
      </c>
      <c r="F112" s="501">
        <f t="shared" si="28"/>
        <v>100</v>
      </c>
      <c r="G112" s="501">
        <f t="shared" si="28"/>
        <v>100</v>
      </c>
      <c r="H112" s="501">
        <f t="shared" si="28"/>
        <v>100</v>
      </c>
      <c r="I112" s="501">
        <f t="shared" si="28"/>
        <v>100</v>
      </c>
      <c r="J112" s="501">
        <f t="shared" si="28"/>
        <v>100</v>
      </c>
      <c r="K112" s="501">
        <f t="shared" si="28"/>
        <v>100</v>
      </c>
      <c r="L112" s="501">
        <f t="shared" si="28"/>
        <v>100</v>
      </c>
      <c r="M112" s="501">
        <f t="shared" si="28"/>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30">C116-$K39</f>
        <v>100</v>
      </c>
      <c r="E116" s="501">
        <f t="shared" si="30"/>
        <v>100</v>
      </c>
      <c r="F116" s="501">
        <f t="shared" si="30"/>
        <v>100</v>
      </c>
      <c r="G116" s="501">
        <f t="shared" si="30"/>
        <v>100</v>
      </c>
      <c r="H116" s="501">
        <f t="shared" si="30"/>
        <v>100</v>
      </c>
      <c r="I116" s="501">
        <f t="shared" si="30"/>
        <v>100</v>
      </c>
      <c r="J116" s="501">
        <f t="shared" si="30"/>
        <v>100</v>
      </c>
      <c r="K116" s="501">
        <f t="shared" si="30"/>
        <v>100</v>
      </c>
      <c r="L116" s="501">
        <f t="shared" si="30"/>
        <v>100</v>
      </c>
      <c r="M116" s="502">
        <f t="shared" si="30"/>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127" t="s">
        <v>3232</v>
      </c>
      <c r="D123" s="3127" t="s">
        <v>3234</v>
      </c>
      <c r="E123" s="3127" t="s">
        <v>3235</v>
      </c>
      <c r="F123" s="3128" t="s">
        <v>3236</v>
      </c>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2">C124-$K43</f>
        <v>98</v>
      </c>
      <c r="E124" s="501">
        <f t="shared" si="32"/>
        <v>96</v>
      </c>
      <c r="F124" s="501">
        <f t="shared" si="32"/>
        <v>94</v>
      </c>
      <c r="G124" s="501">
        <f t="shared" si="32"/>
        <v>92</v>
      </c>
      <c r="H124" s="501">
        <f t="shared" si="32"/>
        <v>90</v>
      </c>
      <c r="I124" s="501">
        <f t="shared" si="32"/>
        <v>88</v>
      </c>
      <c r="J124" s="501">
        <f t="shared" si="32"/>
        <v>86</v>
      </c>
      <c r="K124" s="501">
        <f t="shared" si="32"/>
        <v>84</v>
      </c>
      <c r="L124" s="501">
        <f t="shared" si="32"/>
        <v>82</v>
      </c>
      <c r="M124" s="502">
        <f t="shared" si="32"/>
        <v>80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t="str">
        <f>B45</f>
        <v>建成年份</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xr:uid="{00000000-0002-0000-2F00-000000000000}">
      <formula1>"简单平均,加权平均"</formula1>
    </dataValidation>
    <dataValidation type="list" allowBlank="1" showInputMessage="1" showErrorMessage="1" sqref="F2" xr:uid="{00000000-0002-0000-2F00-000001000000}">
      <formula1>估价方法</formula1>
    </dataValidation>
    <dataValidation type="list" allowBlank="1" showInputMessage="1" showErrorMessage="1" sqref="C2" xr:uid="{00000000-0002-0000-2F00-000002000000}">
      <formula1>"需扣减承租人权益,——"</formula1>
    </dataValidation>
    <dataValidation type="list" allowBlank="1" showInputMessage="1" showErrorMessage="1" sqref="F1" xr:uid="{00000000-0002-0000-2F00-000003000000}">
      <formula1>"售价,租金"</formula1>
    </dataValidation>
    <dataValidation type="list" allowBlank="1" showInputMessage="1" showErrorMessage="1" sqref="C22 E22 G22 I22" xr:uid="{00000000-0002-0000-2F00-000004000000}">
      <formula1>基础设施水平</formula1>
    </dataValidation>
    <dataValidation type="list" allowBlank="1" showInputMessage="1" showErrorMessage="1" sqref="C8 E8 G8 I8" xr:uid="{00000000-0002-0000-2F00-000005000000}">
      <formula1>办公交易情况</formula1>
    </dataValidation>
    <dataValidation type="list" allowBlank="1" showInputMessage="1" showErrorMessage="1" sqref="C43 E43 G43 I43" xr:uid="{00000000-0002-0000-2F00-000006000000}">
      <formula1>办公内部装修</formula1>
    </dataValidation>
    <dataValidation type="list" allowBlank="1" showInputMessage="1" showErrorMessage="1" sqref="C41 E41 G41 I41" xr:uid="{00000000-0002-0000-2F00-000007000000}">
      <formula1>办公层高</formula1>
    </dataValidation>
    <dataValidation type="list" allowBlank="1" showInputMessage="1" showErrorMessage="1" sqref="C40 E40 G40 I40" xr:uid="{00000000-0002-0000-2F00-000008000000}">
      <formula1>办公基础设施水平</formula1>
    </dataValidation>
    <dataValidation type="list" allowBlank="1" showInputMessage="1" showErrorMessage="1" sqref="C39 E39 G39 I39" xr:uid="{00000000-0002-0000-2F00-000009000000}">
      <formula1>办公物业管理</formula1>
    </dataValidation>
    <dataValidation type="list" allowBlank="1" showInputMessage="1" showErrorMessage="1" sqref="C38 E38 G38 I38" xr:uid="{00000000-0002-0000-2F00-00000A000000}">
      <formula1>写字楼等级</formula1>
    </dataValidation>
    <dataValidation type="list" allowBlank="1" showInputMessage="1" showErrorMessage="1" sqref="C36 E36 G36 I36" xr:uid="{00000000-0002-0000-2F00-00000B000000}">
      <formula1>办公公共部分装修</formula1>
    </dataValidation>
    <dataValidation type="list" allowBlank="1" showInputMessage="1" showErrorMessage="1" sqref="C33 E33 G33 I33" xr:uid="{00000000-0002-0000-2F00-00000C000000}">
      <formula1>办公建筑类型</formula1>
    </dataValidation>
    <dataValidation type="list" allowBlank="1" showInputMessage="1" showErrorMessage="1" sqref="C27 E27 G27 I27" xr:uid="{00000000-0002-0000-2F00-00000D000000}">
      <formula1>办公楼层</formula1>
    </dataValidation>
    <dataValidation type="list" allowBlank="1" showInputMessage="1" showErrorMessage="1" sqref="C28 E28 G28 I28" xr:uid="{00000000-0002-0000-2F00-00000E000000}">
      <formula1>办公朝向</formula1>
    </dataValidation>
    <dataValidation type="list" allowBlank="1" showInputMessage="1" showErrorMessage="1" sqref="G26 C26 E26 I26" xr:uid="{00000000-0002-0000-2F00-00000F000000}">
      <formula1>办公道路级别</formula1>
    </dataValidation>
    <dataValidation type="list" allowBlank="1" showInputMessage="1" showErrorMessage="1" sqref="C16 E16 G16 I16" xr:uid="{00000000-0002-0000-2F00-000010000000}">
      <formula1>办公集聚程度</formula1>
    </dataValidation>
    <dataValidation type="list" allowBlank="1" showInputMessage="1" showErrorMessage="1" sqref="E9 G9 I9" xr:uid="{00000000-0002-0000-2F00-000011000000}">
      <formula1>办公用途</formula1>
    </dataValidation>
    <dataValidation type="list" allowBlank="1" showInputMessage="1" showErrorMessage="1" sqref="C10 E10 G10 I10" xr:uid="{00000000-0002-0000-2F00-000012000000}">
      <formula1>土地年限区间</formula1>
    </dataValidation>
    <dataValidation type="list" allowBlank="1" showInputMessage="1" showErrorMessage="1" sqref="D1" xr:uid="{00000000-0002-0000-2F00-000013000000}">
      <formula1>项目类型</formula1>
    </dataValidation>
    <dataValidation type="list" allowBlank="1" showInputMessage="1" showErrorMessage="1" sqref="C44 E44 G44 I44" xr:uid="{00000000-0002-0000-2F00-000014000000}">
      <formula1>内部装修维护情况</formula1>
    </dataValidation>
    <dataValidation type="list" allowBlank="1" showInputMessage="1" showErrorMessage="1" sqref="E20 I20 G20 C20" xr:uid="{00000000-0002-0000-2F00-000015000000}">
      <formula1>公共配套设施</formula1>
    </dataValidation>
    <dataValidation type="list" allowBlank="1" showInputMessage="1" showErrorMessage="1" sqref="E18 G18 I18 C18" xr:uid="{00000000-0002-0000-2F00-000016000000}">
      <formula1>交通便捷度</formula1>
    </dataValidation>
    <dataValidation type="list" allowBlank="1" showInputMessage="1" showErrorMessage="1" sqref="E24 G24 I24 C24" xr:uid="{00000000-0002-0000-2F00-000017000000}">
      <formula1>环境</formula1>
    </dataValidation>
    <dataValidation type="list" allowBlank="1" showInputMessage="1" showErrorMessage="1" sqref="C35 E35 G35 I35" xr:uid="{00000000-0002-0000-2F00-000018000000}">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
  <sheetViews>
    <sheetView workbookViewId="0">
      <selection activeCell="A187" sqref="A187"/>
    </sheetView>
  </sheetViews>
  <sheetFormatPr defaultColWidth="8.875" defaultRowHeight="14.2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240" t="str">
        <f>IF(项目基本情况!B9="房地产市场价值","估价结果一览表","结果表-2")</f>
        <v>估价结果一览表</v>
      </c>
      <c r="B1" s="3240"/>
      <c r="C1" s="3240"/>
      <c r="D1" s="3240"/>
      <c r="E1" s="3240"/>
      <c r="F1" s="3240"/>
      <c r="G1" s="3240"/>
      <c r="H1" s="3240"/>
      <c r="I1" s="3240"/>
    </row>
    <row r="2" spans="1:9" ht="30" customHeight="1" thickTop="1">
      <c r="A2" s="3241" t="s">
        <v>1606</v>
      </c>
      <c r="B2" s="3241" t="s">
        <v>1607</v>
      </c>
      <c r="C2" s="3241" t="s">
        <v>1608</v>
      </c>
      <c r="D2" s="3241" t="str">
        <f>结果表!D116</f>
        <v>出让国有建设用地使用权价值</v>
      </c>
      <c r="E2" s="3241"/>
      <c r="F2" s="3241" t="str">
        <f>结果表!F116</f>
        <v>在建建筑物价值</v>
      </c>
      <c r="G2" s="3241"/>
      <c r="H2" s="3241" t="str">
        <f>IF(项目基本情况!B9="房地产市场价值","房地产市场价值","房地产价值")</f>
        <v>房地产市场价值</v>
      </c>
      <c r="I2" s="3241"/>
    </row>
    <row r="3" spans="1:9" ht="15">
      <c r="A3" s="3235"/>
      <c r="B3" s="3235"/>
      <c r="C3" s="3235"/>
      <c r="D3" s="963" t="s">
        <v>1603</v>
      </c>
      <c r="E3" s="963" t="s">
        <v>1609</v>
      </c>
      <c r="F3" s="963" t="s">
        <v>1603</v>
      </c>
      <c r="G3" s="963" t="s">
        <v>1604</v>
      </c>
      <c r="H3" s="963" t="s">
        <v>1603</v>
      </c>
      <c r="I3" s="963" t="s">
        <v>1604</v>
      </c>
    </row>
    <row r="4" spans="1:9" ht="15">
      <c r="A4" s="1692" t="str">
        <f>项目基本情况!S2</f>
        <v>北京市房地产</v>
      </c>
      <c r="B4" s="963">
        <f>项目基本情况!C17</f>
        <v>445.5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35" t="s">
        <v>1605</v>
      </c>
      <c r="B5" s="3235"/>
      <c r="C5" s="3235"/>
      <c r="D5" s="3236" t="e">
        <f ca="1">结果表!D119</f>
        <v>#REF!</v>
      </c>
      <c r="E5" s="3236"/>
      <c r="F5" s="3236" t="e">
        <f ca="1">结果表!F119</f>
        <v>#REF!</v>
      </c>
      <c r="G5" s="3236"/>
      <c r="H5" s="3236" t="e">
        <f ca="1">结果表!H119</f>
        <v>#REF!</v>
      </c>
      <c r="I5" s="3236"/>
    </row>
    <row r="6" spans="1:9" ht="15.75">
      <c r="A6" s="3234" t="str">
        <f>结果表!A120</f>
        <v/>
      </c>
      <c r="B6" s="3234"/>
      <c r="C6" s="3234"/>
      <c r="D6" s="3234">
        <f>结果表!D120</f>
        <v>0</v>
      </c>
      <c r="E6" s="3234"/>
      <c r="F6" s="3234"/>
      <c r="G6" s="3234"/>
      <c r="H6" s="3234"/>
      <c r="I6" s="3234"/>
    </row>
    <row r="7" spans="1:9" ht="15">
      <c r="A7" s="3235" t="s">
        <v>1605</v>
      </c>
      <c r="B7" s="3235"/>
      <c r="C7" s="3235"/>
      <c r="D7" s="3237" t="str">
        <f>结果表!D121</f>
        <v>零元整</v>
      </c>
      <c r="E7" s="3238"/>
      <c r="F7" s="3238"/>
      <c r="G7" s="3238"/>
      <c r="H7" s="3238"/>
      <c r="I7" s="3239"/>
    </row>
    <row r="8" spans="1:9" ht="15.75">
      <c r="A8" s="3234" t="str">
        <f>结果表!A122</f>
        <v/>
      </c>
      <c r="B8" s="3234"/>
      <c r="C8" s="3234"/>
      <c r="D8" s="3234" t="e">
        <f ca="1">结果表!D122</f>
        <v>#REF!</v>
      </c>
      <c r="E8" s="3234"/>
      <c r="F8" s="3234"/>
      <c r="G8" s="3234"/>
      <c r="H8" s="3234"/>
      <c r="I8" s="3234"/>
    </row>
    <row r="9" spans="1:9" ht="15">
      <c r="A9" s="3235" t="s">
        <v>1605</v>
      </c>
      <c r="B9" s="3235"/>
      <c r="C9" s="3235"/>
      <c r="D9" s="3236" t="e">
        <f ca="1">结果表!D123</f>
        <v>#REF!</v>
      </c>
      <c r="E9" s="3236"/>
      <c r="F9" s="3236"/>
      <c r="G9" s="3236"/>
      <c r="H9" s="3236"/>
      <c r="I9" s="3236"/>
    </row>
    <row r="10" spans="1:9" ht="15.75">
      <c r="A10" s="3234" t="str">
        <f>结果表!A124</f>
        <v/>
      </c>
      <c r="B10" s="3234"/>
      <c r="C10" s="3234"/>
      <c r="D10" s="3234" t="str">
        <f>结果表!D124</f>
        <v>——</v>
      </c>
      <c r="E10" s="3234"/>
      <c r="F10" s="3234"/>
      <c r="G10" s="3234"/>
      <c r="H10" s="3234"/>
      <c r="I10" s="3234"/>
    </row>
    <row r="11" spans="1:9" ht="15">
      <c r="A11" s="3235" t="s">
        <v>1605</v>
      </c>
      <c r="B11" s="3235"/>
      <c r="C11" s="3235"/>
      <c r="D11" s="3236" t="e">
        <f>结果表!D125</f>
        <v>#VALUE!</v>
      </c>
      <c r="E11" s="3236"/>
      <c r="F11" s="3236"/>
      <c r="G11" s="3236"/>
      <c r="H11" s="3236"/>
      <c r="I11" s="3236"/>
    </row>
    <row r="12" spans="1:9" ht="15.75">
      <c r="A12" s="3234" t="str">
        <f>结果表!A126</f>
        <v/>
      </c>
      <c r="B12" s="3234"/>
      <c r="C12" s="3234"/>
      <c r="D12" s="3234" t="str">
        <f>结果表!D126</f>
        <v>——</v>
      </c>
      <c r="E12" s="3234"/>
      <c r="F12" s="3234"/>
      <c r="G12" s="3234"/>
      <c r="H12" s="3234"/>
      <c r="I12" s="3234"/>
    </row>
    <row r="13" spans="1:9" ht="15.75" thickBot="1">
      <c r="A13" s="3231" t="s">
        <v>1605</v>
      </c>
      <c r="B13" s="3231"/>
      <c r="C13" s="3231"/>
      <c r="D13" s="3232" t="e">
        <f>结果表!D127</f>
        <v>#VALUE!</v>
      </c>
      <c r="E13" s="3232"/>
      <c r="F13" s="3232"/>
      <c r="G13" s="3232"/>
      <c r="H13" s="3232"/>
      <c r="I13" s="3232"/>
    </row>
    <row r="14" spans="1:9" ht="15" thickTop="1">
      <c r="A14" s="3233" t="s">
        <v>1610</v>
      </c>
      <c r="B14" s="3233"/>
      <c r="C14" s="3233"/>
      <c r="D14" s="3233"/>
      <c r="E14" s="3233"/>
      <c r="F14" s="3233"/>
      <c r="G14" s="3233"/>
      <c r="H14" s="3233"/>
      <c r="I14" s="3233"/>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tabColor rgb="FFFF0000"/>
  </sheetPr>
  <dimension ref="A1:K26"/>
  <sheetViews>
    <sheetView view="pageBreakPreview" zoomScaleNormal="80" zoomScaleSheetLayoutView="100" workbookViewId="0">
      <selection activeCell="C8" sqref="C8"/>
    </sheetView>
  </sheetViews>
  <sheetFormatPr defaultColWidth="9" defaultRowHeight="14.25"/>
  <cols>
    <col min="1" max="1" width="25" style="2739" customWidth="1"/>
    <col min="2" max="9" width="15.625" style="2739" customWidth="1"/>
    <col min="10" max="16384" width="9" style="2739"/>
  </cols>
  <sheetData>
    <row r="1" spans="1:11" ht="16.5">
      <c r="A1" s="2738" t="s">
        <v>1331</v>
      </c>
      <c r="B1" s="2738">
        <f>SUM(B14:B23)</f>
        <v>445.5</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44959</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SUM(D14:D23)</f>
        <v>2240.3863000000001</v>
      </c>
      <c r="C5" s="2738">
        <f>ROUND(B5*10000/$B$1,0)</f>
        <v>50289</v>
      </c>
      <c r="D5" s="2738" t="e">
        <f>ROUND(B5*10000/$B$2,0)</f>
        <v>#DIV/0!</v>
      </c>
      <c r="E5" s="2915"/>
      <c r="F5" s="2916"/>
      <c r="G5" s="2916"/>
      <c r="H5" s="2917"/>
      <c r="I5" s="2917"/>
      <c r="J5" s="2917"/>
      <c r="K5" s="2917"/>
    </row>
    <row r="6" spans="1:11" ht="16.5">
      <c r="A6" s="2738" t="s">
        <v>1322</v>
      </c>
      <c r="B6" s="2738">
        <f>SUM(G14:G23)</f>
        <v>2240.3863000000001</v>
      </c>
      <c r="C6" s="2738">
        <f>ROUND(B6*10000/$B$1,0)</f>
        <v>50289</v>
      </c>
      <c r="D6" s="2738" t="e">
        <f>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v>9.27</v>
      </c>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'数据-汇总表'!F19</f>
        <v>445.5</v>
      </c>
      <c r="C14" s="2744">
        <f>结果表!C118</f>
        <v>0</v>
      </c>
      <c r="D14" s="2744">
        <v>2240.3863000000001</v>
      </c>
      <c r="E14" s="2744">
        <f>ROUND(D14*10000/B14,0)</f>
        <v>50289</v>
      </c>
      <c r="F14" s="2744" t="e">
        <f>ROUND(D14*10000/C14,0)</f>
        <v>#DIV/0!</v>
      </c>
      <c r="G14" s="2744">
        <f>D14</f>
        <v>2240.3863000000001</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2"/>
      <c r="H15" s="1502"/>
      <c r="I15" s="2745"/>
      <c r="J15" s="2916"/>
      <c r="K15" s="2917"/>
    </row>
    <row r="16" spans="1:11" ht="16.5">
      <c r="A16" s="2743" t="s">
        <v>1314</v>
      </c>
      <c r="B16" s="2745"/>
      <c r="C16" s="2745"/>
      <c r="D16" s="2745"/>
      <c r="E16" s="2744" t="e">
        <f t="shared" si="0"/>
        <v>#DIV/0!</v>
      </c>
      <c r="F16" s="2744" t="e">
        <f t="shared" si="1"/>
        <v>#DIV/0!</v>
      </c>
      <c r="G16" s="1502"/>
      <c r="H16" s="1502"/>
      <c r="I16" s="2745"/>
      <c r="J16" s="2917"/>
      <c r="K16" s="2917"/>
    </row>
    <row r="17" spans="1:11" ht="16.5">
      <c r="A17" s="2743" t="s">
        <v>1313</v>
      </c>
      <c r="B17" s="2745"/>
      <c r="C17" s="2745"/>
      <c r="D17" s="2745"/>
      <c r="E17" s="2744" t="e">
        <f t="shared" si="0"/>
        <v>#DIV/0!</v>
      </c>
      <c r="F17" s="2744" t="e">
        <f t="shared" si="1"/>
        <v>#DIV/0!</v>
      </c>
      <c r="G17" s="1502"/>
      <c r="H17" s="1502"/>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
  <sheetViews>
    <sheetView workbookViewId="0">
      <selection activeCell="D11" sqref="D11"/>
    </sheetView>
  </sheetViews>
  <sheetFormatPr defaultColWidth="8.875" defaultRowHeight="14.25"/>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248" t="s">
        <v>1627</v>
      </c>
      <c r="B1" s="3248"/>
      <c r="C1" s="3248"/>
      <c r="D1" s="3248"/>
    </row>
    <row r="2" spans="1:4" ht="18">
      <c r="A2" s="3249" t="s">
        <v>1611</v>
      </c>
      <c r="B2" s="3249"/>
      <c r="C2" s="3249"/>
      <c r="D2" s="3249"/>
    </row>
    <row r="3" spans="1:4" ht="18.75">
      <c r="A3" s="1696" t="s">
        <v>1612</v>
      </c>
      <c r="B3" s="1696" t="s">
        <v>1613</v>
      </c>
      <c r="C3" s="1696" t="s">
        <v>1614</v>
      </c>
      <c r="D3" s="1696" t="s">
        <v>1615</v>
      </c>
    </row>
    <row r="4" spans="1:4" ht="56.25" customHeight="1">
      <c r="A4" s="1697" t="str">
        <f>项目基本情况!B4</f>
        <v>陈颖</v>
      </c>
      <c r="B4" s="1698">
        <f ca="1">项目基本情况!C4</f>
        <v>0</v>
      </c>
      <c r="C4" s="1699"/>
      <c r="D4" s="1700" t="s">
        <v>1616</v>
      </c>
    </row>
    <row r="5" spans="1:4" ht="56.25" customHeight="1">
      <c r="A5" s="1697" t="str">
        <f>项目基本情况!D4</f>
        <v>叶凌</v>
      </c>
      <c r="B5" s="1698">
        <f ca="1">项目基本情况!E4</f>
        <v>0</v>
      </c>
      <c r="C5" s="1701"/>
      <c r="D5" s="1700" t="s">
        <v>1616</v>
      </c>
    </row>
    <row r="6" spans="1:4" ht="18">
      <c r="A6" s="3249" t="s">
        <v>1617</v>
      </c>
      <c r="B6" s="3249"/>
      <c r="C6" s="3249"/>
      <c r="D6" s="324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250" t="s">
        <v>1620</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7"/>
      <c r="C12" s="3247"/>
      <c r="D12" s="3247"/>
    </row>
    <row r="13" spans="1:4" ht="30" customHeight="1">
      <c r="A13" s="3242" t="str">
        <f>IF(项目基本情况!B8="抵押","3.抵押双方在办理抵押登记手续时，应使用本公司出具的正式《房地产评估报告》，特提醒报告使用者注意。","——")</f>
        <v>——</v>
      </c>
      <c r="B13" s="3247"/>
      <c r="C13" s="3247"/>
      <c r="D13" s="3247"/>
    </row>
    <row r="14" spans="1:4" ht="15.75" customHeight="1">
      <c r="A14" s="3242" t="str">
        <f>IF(项目基本情况!B8="抵押","4.本次评估估价师所知悉的法定优先受偿款情况说明如下：","——")</f>
        <v>——</v>
      </c>
      <c r="B14" s="3247"/>
      <c r="C14" s="3247"/>
      <c r="D14" s="3247"/>
    </row>
    <row r="15" spans="1:4" ht="42" customHeight="1">
      <c r="A15" s="3242" t="str">
        <f>IF(项目基本情况!B8="抵押","（1）"&amp;CONCATENATE(项目基本情况!L20,项目基本情况!L21,项目基本情况!L22),"——")</f>
        <v>——</v>
      </c>
      <c r="B15" s="3242"/>
      <c r="C15" s="3242"/>
      <c r="D15" s="3242"/>
    </row>
    <row r="16" spans="1:4" ht="30" customHeight="1">
      <c r="A16" s="3244" t="s">
        <v>1621</v>
      </c>
      <c r="B16" s="3244"/>
      <c r="C16" s="3244"/>
      <c r="D16" s="3244"/>
    </row>
    <row r="17" spans="1:4" ht="144" customHeight="1">
      <c r="A17" s="3244" t="s">
        <v>1622</v>
      </c>
      <c r="B17" s="3244"/>
      <c r="C17" s="3244"/>
      <c r="D17" s="3244"/>
    </row>
    <row r="18" spans="1:4" ht="15.75" customHeight="1">
      <c r="A18" s="3242" t="str">
        <f>IF(项目基本情况!B8="抵押",结果表!K120,"——")</f>
        <v>——</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5"/>
      <c r="C21" s="3245"/>
      <c r="D21" s="3245"/>
    </row>
    <row r="22" spans="1:4" ht="18.75" customHeight="1">
      <c r="A22" s="3246" t="s">
        <v>1623</v>
      </c>
      <c r="B22" s="3246"/>
      <c r="C22" s="3246"/>
      <c r="D22" s="324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workbookViewId="0">
      <selection activeCell="C5" sqref="C5"/>
    </sheetView>
  </sheetViews>
  <sheetFormatPr defaultColWidth="9" defaultRowHeight="14.25"/>
  <cols>
    <col min="1" max="2" width="13.125" style="1662" customWidth="1"/>
    <col min="3" max="10" width="12.5" style="1662" customWidth="1"/>
    <col min="11" max="16384" width="9" style="1662"/>
  </cols>
  <sheetData>
    <row r="1" spans="1:10" ht="18">
      <c r="A1" s="1695" t="s">
        <v>838</v>
      </c>
      <c r="B1" s="1706"/>
      <c r="C1" s="1706"/>
      <c r="D1" s="1706"/>
      <c r="E1" s="1706"/>
      <c r="F1" s="1706"/>
      <c r="G1" s="1706"/>
      <c r="H1" s="1706"/>
      <c r="I1" s="1706"/>
      <c r="J1" s="1706"/>
    </row>
    <row r="2" spans="1:10" ht="18">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712" customWidth="1"/>
    <col min="2" max="16384" width="14.5" style="1694"/>
  </cols>
  <sheetData>
    <row r="1" spans="1:7" s="1709" customFormat="1" ht="18">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4.25">
      <c r="A15" s="3256" t="s">
        <v>1634</v>
      </c>
      <c r="B15" s="3251" t="s">
        <v>136</v>
      </c>
      <c r="C15" s="3252"/>
    </row>
    <row r="16" spans="1:7" ht="14.25">
      <c r="A16" s="3257"/>
      <c r="B16" s="3251" t="s">
        <v>69</v>
      </c>
      <c r="C16" s="3252"/>
    </row>
    <row r="17" spans="1:3" ht="14.25">
      <c r="A17" s="3257"/>
      <c r="B17" s="3254" t="s">
        <v>1635</v>
      </c>
      <c r="C17" s="1719" t="s">
        <v>1634</v>
      </c>
    </row>
    <row r="18" spans="1:3" ht="14.25">
      <c r="A18" s="3257"/>
      <c r="B18" s="3254"/>
      <c r="C18" s="1719" t="s">
        <v>1636</v>
      </c>
    </row>
    <row r="19" spans="1:3" ht="14.25">
      <c r="A19" s="3257"/>
      <c r="B19" s="3254"/>
      <c r="C19" s="1719" t="s">
        <v>1637</v>
      </c>
    </row>
    <row r="20" spans="1:3" ht="14.25">
      <c r="A20" s="3258"/>
      <c r="B20" s="3253" t="s">
        <v>1638</v>
      </c>
      <c r="C20" s="3252"/>
    </row>
    <row r="21" spans="1:3" ht="14.25">
      <c r="A21" s="1720" t="s">
        <v>1639</v>
      </c>
      <c r="B21" s="1721"/>
      <c r="C21" s="1722"/>
    </row>
    <row r="22" spans="1:3" ht="14.25">
      <c r="A22" s="3255" t="s">
        <v>1640</v>
      </c>
      <c r="B22" s="3253" t="s">
        <v>1641</v>
      </c>
      <c r="C22" s="3252"/>
    </row>
    <row r="23" spans="1:3" ht="14.25">
      <c r="A23" s="3255"/>
      <c r="B23" s="3253" t="s">
        <v>1642</v>
      </c>
      <c r="C23" s="3252"/>
    </row>
    <row r="24" spans="1:3" ht="14.25">
      <c r="A24" s="3255"/>
      <c r="B24" s="3253" t="s">
        <v>1643</v>
      </c>
      <c r="C24" s="3252"/>
    </row>
    <row r="25" spans="1:3" ht="14.25">
      <c r="A25" s="3255"/>
      <c r="B25" s="3254" t="s">
        <v>1644</v>
      </c>
      <c r="C25" s="1719" t="s">
        <v>1645</v>
      </c>
    </row>
    <row r="26" spans="1:3" ht="14.25">
      <c r="A26" s="3255"/>
      <c r="B26" s="3254"/>
      <c r="C26" s="1719" t="s">
        <v>1646</v>
      </c>
    </row>
    <row r="27" spans="1:3" ht="14.25">
      <c r="A27" s="3255"/>
      <c r="B27" s="3254"/>
      <c r="C27" s="1719" t="s">
        <v>1647</v>
      </c>
    </row>
    <row r="28" spans="1:3" ht="14.25">
      <c r="A28" s="3255"/>
      <c r="B28" s="3254"/>
      <c r="C28" s="1719" t="s">
        <v>1648</v>
      </c>
    </row>
    <row r="29" spans="1:3" ht="14.25">
      <c r="A29" s="3255"/>
      <c r="B29" s="3254"/>
      <c r="C29" s="1719" t="s">
        <v>1649</v>
      </c>
    </row>
    <row r="30" spans="1:3" ht="14.25">
      <c r="A30" s="3255"/>
      <c r="B30" s="3254"/>
      <c r="C30" s="1719" t="s">
        <v>1650</v>
      </c>
    </row>
    <row r="31" spans="1:3" ht="14.25">
      <c r="A31" s="3255"/>
      <c r="B31" s="3254"/>
      <c r="C31" s="1719" t="s">
        <v>1651</v>
      </c>
    </row>
    <row r="32" spans="1:3" ht="14.25">
      <c r="A32" s="3255"/>
      <c r="B32" s="3254"/>
      <c r="C32" s="1719" t="s">
        <v>1652</v>
      </c>
    </row>
    <row r="33" spans="1:3" ht="14.25">
      <c r="A33" s="3255"/>
      <c r="B33" s="3254"/>
      <c r="C33" s="1719" t="s">
        <v>1653</v>
      </c>
    </row>
    <row r="34" spans="1:3">
      <c r="A34" s="1723" t="s">
        <v>76</v>
      </c>
    </row>
    <row r="37" spans="1:3">
      <c r="A37" s="1723" t="s">
        <v>1654</v>
      </c>
    </row>
    <row r="38" spans="1:3" ht="14.25">
      <c r="A38" s="1724" t="s">
        <v>77</v>
      </c>
    </row>
    <row r="39" spans="1:3" ht="14.25">
      <c r="A39" s="1724" t="s">
        <v>78</v>
      </c>
    </row>
    <row r="40" spans="1:3" ht="14.25">
      <c r="A40" s="1724" t="s">
        <v>79</v>
      </c>
    </row>
    <row r="41" spans="1:3" ht="14.25">
      <c r="A41" s="1725" t="s">
        <v>80</v>
      </c>
    </row>
    <row r="42" spans="1:3" ht="14.2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44963</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t="str">
        <f ca="1">IF(C4&lt;B2,"已过期",1119970066)</f>
        <v>已过期</v>
      </c>
      <c r="C4" s="2570">
        <v>44876</v>
      </c>
      <c r="D4" s="2571" t="str">
        <f ca="1">A4&amp;"（注册号："&amp;B4&amp;"）"</f>
        <v>梁津（注册号：已过期）</v>
      </c>
      <c r="E4" s="2572" t="s">
        <v>2889</v>
      </c>
      <c r="F4" s="1474">
        <f ca="1">IF(G4&lt;B2,"已过期",96010014)</f>
        <v>96010014</v>
      </c>
      <c r="G4" s="2573">
        <v>47118</v>
      </c>
      <c r="H4" s="2574" t="str">
        <f ca="1">E4&amp;"（注册号："&amp;F4&amp;"）"</f>
        <v>梁津（注册号：96010014）</v>
      </c>
    </row>
    <row r="5" spans="1:8" ht="24" customHeight="1">
      <c r="A5" s="1474" t="s">
        <v>2890</v>
      </c>
      <c r="B5" s="1474" t="str">
        <f ca="1">IF(C5&lt;B2,"已过期",1119970111)</f>
        <v>已过期</v>
      </c>
      <c r="C5" s="2570">
        <v>44876</v>
      </c>
      <c r="D5" s="2571" t="str">
        <f t="shared" ref="D5:D15" ca="1" si="0">A5&amp;"（注册号："&amp;B5&amp;"）"</f>
        <v>叶凌（注册号：已过期）</v>
      </c>
      <c r="E5" s="2572" t="s">
        <v>2890</v>
      </c>
      <c r="F5" s="1474">
        <f ca="1">IF(G5&lt;B2,"已过期",94010078)</f>
        <v>94010078</v>
      </c>
      <c r="G5" s="2573">
        <v>46387</v>
      </c>
      <c r="H5" s="2574" t="str">
        <f t="shared" ref="H5:H16" ca="1" si="1">E5&amp;"（注册号："&amp;F5&amp;"）"</f>
        <v>叶凌（注册号：94010078）</v>
      </c>
    </row>
    <row r="6" spans="1:8" ht="24" customHeight="1">
      <c r="A6" s="1474" t="s">
        <v>2891</v>
      </c>
      <c r="B6" s="1474" t="str">
        <f ca="1">IF(C6&lt;B2,"已过期",1120050019)</f>
        <v>已过期</v>
      </c>
      <c r="C6" s="2570">
        <v>44395</v>
      </c>
      <c r="D6" s="2571" t="str">
        <f t="shared" ca="1" si="0"/>
        <v>王鹏（注册号：已过期）</v>
      </c>
      <c r="E6" s="2572" t="s">
        <v>2891</v>
      </c>
      <c r="F6" s="1474">
        <f ca="1">IF(G6&lt;B2,"已过期",2002110030)</f>
        <v>2002110030</v>
      </c>
      <c r="G6" s="2573">
        <v>46387</v>
      </c>
      <c r="H6" s="2574" t="str">
        <f t="shared" ca="1" si="1"/>
        <v>王鹏（注册号：2002110030）</v>
      </c>
    </row>
    <row r="7" spans="1:8" ht="24" customHeight="1">
      <c r="A7" s="1474" t="s">
        <v>2892</v>
      </c>
      <c r="B7" s="1474" t="str">
        <f ca="1">IF(C7&lt;B2,"已过期",1120000080)</f>
        <v>已过期</v>
      </c>
      <c r="C7" s="2570">
        <v>44876</v>
      </c>
      <c r="D7" s="2571" t="str">
        <f t="shared" ca="1" si="0"/>
        <v>欧红伟（注册号：已过期）</v>
      </c>
      <c r="E7" s="2572" t="s">
        <v>2892</v>
      </c>
      <c r="F7" s="1474">
        <f ca="1">IF(G7&lt;B2,"已过期",2000110082)</f>
        <v>2000110082</v>
      </c>
      <c r="G7" s="2573">
        <v>46387</v>
      </c>
      <c r="H7" s="2574" t="str">
        <f t="shared" ca="1" si="1"/>
        <v>欧红伟（注册号：2000110082）</v>
      </c>
    </row>
    <row r="8" spans="1:8" ht="24" customHeight="1">
      <c r="A8" s="1474" t="s">
        <v>2893</v>
      </c>
      <c r="B8" s="1474" t="str">
        <f ca="1">IF(C8&lt;B2,"已过期",1419970001)</f>
        <v>已过期</v>
      </c>
      <c r="C8" s="2570">
        <v>44899</v>
      </c>
      <c r="D8" s="2571" t="str">
        <f t="shared" ca="1" si="0"/>
        <v>吴薇（注册号：已过期）</v>
      </c>
      <c r="E8" s="2572" t="s">
        <v>2893</v>
      </c>
      <c r="F8" s="1474">
        <f ca="1">IF(G8&lt;B2,"已过期",2002110125)</f>
        <v>2002110125</v>
      </c>
      <c r="G8" s="2573">
        <v>47118</v>
      </c>
      <c r="H8" s="2574" t="str">
        <f t="shared" ca="1" si="1"/>
        <v>吴薇（注册号：2002110125）</v>
      </c>
    </row>
    <row r="9" spans="1:8" ht="24" customHeight="1">
      <c r="A9" s="1474" t="s">
        <v>2894</v>
      </c>
      <c r="B9" s="1474" t="str">
        <f ca="1">IF(C9&lt;B2,"已过期",1120060040)</f>
        <v>已过期</v>
      </c>
      <c r="C9" s="2575">
        <v>44554</v>
      </c>
      <c r="D9" s="2571" t="str">
        <f t="shared" ca="1" si="0"/>
        <v>陈颖（注册号：已过期）</v>
      </c>
      <c r="E9" s="2572" t="s">
        <v>2894</v>
      </c>
      <c r="F9" s="1474">
        <f ca="1">IF(G9&lt;B2,"已过期",2004110096)</f>
        <v>2004110096</v>
      </c>
      <c r="G9" s="2573">
        <v>47118</v>
      </c>
      <c r="H9" s="2574" t="str">
        <f t="shared" ca="1" si="1"/>
        <v>陈颖（注册号：2004110096）</v>
      </c>
    </row>
    <row r="10" spans="1:8" ht="24" customHeight="1">
      <c r="A10" s="1474" t="s">
        <v>2895</v>
      </c>
      <c r="B10" s="1474" t="str">
        <f ca="1">IF(C10&lt;B2,"已过期",1120100036)</f>
        <v>已过期</v>
      </c>
      <c r="C10" s="2575">
        <v>44675</v>
      </c>
      <c r="D10" s="2571" t="str">
        <f t="shared" ca="1" si="0"/>
        <v>崔锴（注册号：已过期）</v>
      </c>
      <c r="E10" s="2572" t="s">
        <v>2895</v>
      </c>
      <c r="F10" s="1474">
        <f ca="1">IF(G10&lt;B2,"已过期",2010110070)</f>
        <v>2010110070</v>
      </c>
      <c r="G10" s="2573">
        <v>47907</v>
      </c>
      <c r="H10" s="2574" t="str">
        <f t="shared" ca="1" si="1"/>
        <v>崔锴（注册号：2010110070）</v>
      </c>
    </row>
    <row r="11" spans="1:8" ht="24" customHeight="1">
      <c r="A11" s="1474" t="s">
        <v>2896</v>
      </c>
      <c r="B11" s="1474" t="str">
        <f ca="1">IF(C11&lt;B2,"已过期",1120070131)</f>
        <v>已过期</v>
      </c>
      <c r="C11" s="2570">
        <v>44849</v>
      </c>
      <c r="D11" s="2571" t="str">
        <f t="shared" ca="1" si="0"/>
        <v>郑燚（注册号：已过期）</v>
      </c>
      <c r="E11" s="2572" t="s">
        <v>2896</v>
      </c>
      <c r="F11" s="1474">
        <f ca="1">IF(G11&lt;B2,"已过期",2014110011)</f>
        <v>2014110011</v>
      </c>
      <c r="G11" s="2573">
        <v>49302</v>
      </c>
      <c r="H11" s="2574" t="str">
        <f t="shared" ca="1" si="1"/>
        <v>郑燚（注册号：2014110011）</v>
      </c>
    </row>
    <row r="12" spans="1:8" ht="24" customHeight="1">
      <c r="A12" s="1474" t="s">
        <v>2897</v>
      </c>
      <c r="B12" s="1474" t="str">
        <f ca="1">IF(C12&lt;B2,"已过期",1120040230)</f>
        <v>已过期</v>
      </c>
      <c r="C12" s="2575">
        <v>44864</v>
      </c>
      <c r="D12" s="2571" t="str">
        <f t="shared" ca="1" si="0"/>
        <v>苏海（注册号：已过期）</v>
      </c>
      <c r="E12" s="2572" t="s">
        <v>2897</v>
      </c>
      <c r="F12" s="1474">
        <f ca="1">IF(G12&lt;B2,"已过期",98030020)</f>
        <v>98030020</v>
      </c>
      <c r="G12" s="2573">
        <v>47118</v>
      </c>
      <c r="H12" s="2574" t="str">
        <f t="shared" ca="1" si="1"/>
        <v>苏海（注册号：98030020）</v>
      </c>
    </row>
    <row r="13" spans="1:8" ht="24" customHeight="1">
      <c r="A13" s="1474" t="s">
        <v>2898</v>
      </c>
      <c r="B13" s="1474" t="str">
        <f ca="1">IF(C13&lt;B2,"已过期",1120020033)</f>
        <v>已过期</v>
      </c>
      <c r="C13" s="2570">
        <v>44339</v>
      </c>
      <c r="D13" s="2571" t="str">
        <f t="shared" ca="1" si="0"/>
        <v>刘敬东（注册号：已过期）</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259" t="s">
        <v>2901</v>
      </c>
      <c r="B17" s="3259"/>
      <c r="C17" s="3259"/>
      <c r="D17" s="3259"/>
      <c r="E17" s="3259"/>
      <c r="F17" s="3259"/>
      <c r="G17" s="3259"/>
      <c r="H17" s="3259"/>
    </row>
    <row r="18" spans="1:8" ht="24" customHeight="1">
      <c r="A18" s="3260" t="s">
        <v>2902</v>
      </c>
      <c r="B18" s="3260"/>
      <c r="C18" s="3260"/>
      <c r="D18" s="2568"/>
      <c r="E18" s="3261" t="s">
        <v>2903</v>
      </c>
      <c r="F18" s="3260"/>
      <c r="G18" s="3260"/>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成本法 (元)</vt:lpstr>
      <vt:lpstr>假设开发法</vt:lpstr>
      <vt:lpstr>租金比较法-商业</vt:lpstr>
      <vt:lpstr>周边商铺价格调研表</vt:lpstr>
      <vt:lpstr>租金案例</vt:lpstr>
      <vt:lpstr>收益法倒推-商业</vt:lpstr>
      <vt:lpstr>收益法</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比较法-商业</vt:lpstr>
      <vt:lpstr>商业案例</vt:lpstr>
      <vt:lpstr>地价</vt:lpstr>
      <vt:lpstr>典型户型修正</vt:lpstr>
      <vt:lpstr>成本法（废）</vt:lpstr>
      <vt:lpstr>区片价</vt:lpstr>
      <vt:lpstr>因素修正幅度</vt:lpstr>
      <vt:lpstr>存贷款利率</vt:lpstr>
      <vt:lpstr>区片价（范围）</vt:lpstr>
      <vt:lpstr>售价比较法-办公</vt:lpstr>
      <vt:lpstr>售价案例</vt:lpstr>
      <vt:lpstr>系统读取表</vt:lpstr>
      <vt:lpstr>Sheet3</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'售价比较法-办公'!Print_Area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'售价比较法-办公'!办公层高</vt:lpstr>
      <vt:lpstr>办公层高</vt:lpstr>
      <vt:lpstr>'售价比较法-办公'!办公朝向</vt:lpstr>
      <vt:lpstr>办公朝向</vt:lpstr>
      <vt:lpstr>'售价比较法-办公'!办公道路级别</vt:lpstr>
      <vt:lpstr>办公道路级别</vt:lpstr>
      <vt:lpstr>'售价比较法-办公'!办公公共部分装修</vt:lpstr>
      <vt:lpstr>办公公共部分装修</vt:lpstr>
      <vt:lpstr>'售价比较法-办公'!办公基础设施水平</vt:lpstr>
      <vt:lpstr>办公基础设施水平</vt:lpstr>
      <vt:lpstr>办公集聚程度</vt:lpstr>
      <vt:lpstr>'售价比较法-办公'!办公建筑结构</vt:lpstr>
      <vt:lpstr>办公建筑结构</vt:lpstr>
      <vt:lpstr>'售价比较法-办公'!办公建筑类型</vt:lpstr>
      <vt:lpstr>办公建筑类型</vt:lpstr>
      <vt:lpstr>'售价比较法-办公'!办公交易情况</vt:lpstr>
      <vt:lpstr>办公交易情况</vt:lpstr>
      <vt:lpstr>'售价比较法-办公'!办公楼层</vt:lpstr>
      <vt:lpstr>办公楼层</vt:lpstr>
      <vt:lpstr>'售价比较法-办公'!办公内部装修</vt:lpstr>
      <vt:lpstr>办公内部装修</vt:lpstr>
      <vt:lpstr>'售价比较法-办公'!办公物业管理</vt:lpstr>
      <vt:lpstr>办公物业管理</vt:lpstr>
      <vt:lpstr>'售价比较法-办公'!办公用途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'售价比较法-办公'!写字楼等级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2023-02-06T12:41:46Z</dcterms:modified>
</cp:coreProperties>
</file>