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 sheetId="82" r:id="rId46"/>
    <sheet name="Sheet2" sheetId="79" r:id="rId47"/>
    <sheet name="Sheet3" sheetId="80" r:id="rId48"/>
    <sheet name="Sheet4" sheetId="81" r:id="rId49"/>
    <sheet name="Sheet1" sheetId="83"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D11" i="83"/>
  <c r="E11" i="83"/>
  <c r="E5" i="83"/>
  <c r="E6" i="83"/>
  <c r="E7" i="83"/>
  <c r="E8" i="83"/>
  <c r="E9" i="83"/>
  <c r="E10" i="83"/>
  <c r="E4" i="83"/>
  <c r="C11" i="83"/>
  <c r="C38" i="39"/>
  <c r="AN13" i="3"/>
  <c r="AT13" i="3"/>
  <c r="M4" i="79"/>
  <c r="K2" i="79"/>
  <c r="C14" i="83" l="1"/>
  <c r="C12" i="83"/>
  <c r="C13" i="83"/>
  <c r="D3" i="4" l="1"/>
  <c r="G13" i="4" l="1"/>
  <c r="D13" i="82"/>
  <c r="H11" i="82"/>
  <c r="E11" i="82"/>
  <c r="C10" i="82"/>
  <c r="C9" i="82"/>
  <c r="C8" i="82"/>
  <c r="C7" i="82"/>
  <c r="H6" i="82"/>
  <c r="E6" i="82"/>
  <c r="C6" i="82"/>
  <c r="F1" i="82"/>
  <c r="E1" i="82"/>
  <c r="D11" i="82" s="1"/>
  <c r="D9" i="82" l="1"/>
  <c r="F9" i="82" s="1"/>
  <c r="D8" i="82"/>
  <c r="F8" i="82" s="1"/>
  <c r="D10" i="82"/>
  <c r="F10" i="82" s="1"/>
  <c r="D7" i="82"/>
  <c r="F7" i="82" l="1"/>
  <c r="D6" i="82"/>
  <c r="G4" i="82" s="1"/>
  <c r="G3" i="82" s="1"/>
  <c r="D4" i="82"/>
  <c r="I8" i="82" l="1"/>
  <c r="C4" i="82"/>
  <c r="D3" i="82"/>
  <c r="C3" i="82" s="1"/>
  <c r="F11" i="82"/>
  <c r="F6" i="82"/>
  <c r="E71" i="39" l="1"/>
  <c r="F71" i="39"/>
  <c r="G71" i="39"/>
  <c r="H71" i="39"/>
  <c r="I71" i="39"/>
  <c r="J71" i="39"/>
  <c r="D71" i="39"/>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C9" i="79"/>
  <c r="E9" i="79"/>
  <c r="C4" i="79"/>
  <c r="E4" i="79"/>
  <c r="G2" i="79"/>
  <c r="H3" i="79"/>
  <c r="G4" i="79"/>
  <c r="H4" i="79"/>
  <c r="G5" i="79"/>
  <c r="H5" i="79" s="1"/>
  <c r="G6" i="79"/>
  <c r="H6" i="79"/>
  <c r="G7" i="79"/>
  <c r="H7" i="79"/>
  <c r="G8" i="79"/>
  <c r="H8" i="79"/>
  <c r="G9" i="79"/>
  <c r="H9" i="79"/>
  <c r="E3" i="79"/>
  <c r="C5" i="79"/>
  <c r="E5" i="79" s="1"/>
  <c r="C6" i="79"/>
  <c r="E6" i="79" s="1"/>
  <c r="C7" i="79"/>
  <c r="E7" i="79"/>
  <c r="C8" i="79"/>
  <c r="E8" i="79"/>
  <c r="C1" i="73"/>
  <c r="L1" i="73" s="1"/>
  <c r="B2" i="1"/>
  <c r="C42" i="1" s="1"/>
  <c r="L20" i="6"/>
  <c r="G15" i="4"/>
  <c r="F7" i="1" s="1"/>
  <c r="G7" i="1" s="1"/>
  <c r="J51" i="77"/>
  <c r="G1" i="77"/>
  <c r="F15" i="77"/>
  <c r="F17" i="77"/>
  <c r="F18" i="77"/>
  <c r="F20" i="77"/>
  <c r="F23" i="77"/>
  <c r="D24" i="77" s="1"/>
  <c r="F21" i="77"/>
  <c r="F28" i="77"/>
  <c r="F32" i="77"/>
  <c r="F33" i="77"/>
  <c r="F34" i="77"/>
  <c r="L19" i="6"/>
  <c r="E15" i="4"/>
  <c r="C10" i="39" s="1"/>
  <c r="J51" i="15"/>
  <c r="M47" i="77"/>
  <c r="J50" i="77"/>
  <c r="K59" i="77"/>
  <c r="P74" i="77"/>
  <c r="Q72" i="77"/>
  <c r="F60" i="77"/>
  <c r="F61" i="77"/>
  <c r="F62" i="77"/>
  <c r="P61" i="77"/>
  <c r="Q59" i="77"/>
  <c r="F59" i="77"/>
  <c r="Q58" i="77"/>
  <c r="Q51" i="77"/>
  <c r="D46" i="77"/>
  <c r="F31" i="77"/>
  <c r="M18" i="77"/>
  <c r="M19" i="77"/>
  <c r="M20" i="77"/>
  <c r="M17" i="77"/>
  <c r="E5" i="6"/>
  <c r="D9" i="68" s="1"/>
  <c r="C9" i="68" s="1"/>
  <c r="R46" i="39"/>
  <c r="K8" i="1"/>
  <c r="K9" i="1"/>
  <c r="K10" i="1"/>
  <c r="K11" i="1"/>
  <c r="K12" i="1"/>
  <c r="K13" i="1"/>
  <c r="C7" i="39"/>
  <c r="C68" i="39" s="1"/>
  <c r="G19" i="43"/>
  <c r="P23" i="43" s="1"/>
  <c r="B71" i="39" s="1"/>
  <c r="T46" i="39"/>
  <c r="V46" i="39"/>
  <c r="J9" i="39"/>
  <c r="AC9" i="39"/>
  <c r="N14" i="1"/>
  <c r="N7" i="1"/>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s="1"/>
  <c r="G17" i="43"/>
  <c r="H17" i="43"/>
  <c r="I17" i="43"/>
  <c r="J17" i="43"/>
  <c r="C16" i="43"/>
  <c r="C5" i="43"/>
  <c r="D5" i="43"/>
  <c r="J53" i="67"/>
  <c r="M47" i="15"/>
  <c r="AL5" i="3"/>
  <c r="D9" i="71"/>
  <c r="AH7" i="71"/>
  <c r="AG7" i="71"/>
  <c r="AE7" i="71"/>
  <c r="AF7" i="71"/>
  <c r="AD7" i="71"/>
  <c r="BE13" i="3"/>
  <c r="BF13" i="3"/>
  <c r="BG13" i="3"/>
  <c r="BH13" i="3"/>
  <c r="BI13" i="3"/>
  <c r="BJ13" i="3"/>
  <c r="BK13" i="3"/>
  <c r="BM13" i="3"/>
  <c r="BN13" i="3"/>
  <c r="BO13" i="3"/>
  <c r="BP13" i="3"/>
  <c r="BQ13" i="3"/>
  <c r="BR13" i="3"/>
  <c r="BL13" i="3" s="1"/>
  <c r="BL5" i="3" s="1"/>
  <c r="BS13" i="3"/>
  <c r="BT13" i="3"/>
  <c r="AC1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15" i="62" s="1"/>
  <c r="B61" i="72" s="1"/>
  <c r="A5" i="62"/>
  <c r="B72" i="72" s="1"/>
  <c r="A4" i="62"/>
  <c r="B70" i="72" s="1"/>
  <c r="F33" i="9"/>
  <c r="B37" i="48"/>
  <c r="B2" i="72"/>
  <c r="B13" i="53"/>
  <c r="B29" i="72"/>
  <c r="R35" i="4"/>
  <c r="Q35" i="4"/>
  <c r="P35" i="4"/>
  <c r="O35" i="4"/>
  <c r="N35" i="4"/>
  <c r="M35" i="4"/>
  <c r="L35" i="4"/>
  <c r="K34" i="4"/>
  <c r="T34" i="4"/>
  <c r="G13" i="1"/>
  <c r="G11" i="1"/>
  <c r="I15" i="4"/>
  <c r="H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s="1"/>
  <c r="P10" i="1" s="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s="1"/>
  <c r="O8" i="1"/>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M12" i="1"/>
  <c r="O12" i="1" s="1"/>
  <c r="P12" i="1" s="1"/>
  <c r="S13" i="1"/>
  <c r="R13" i="1"/>
  <c r="S11" i="1"/>
  <c r="R11" i="1"/>
  <c r="S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J56" i="9"/>
  <c r="J57" i="9"/>
  <c r="A24" i="51"/>
  <c r="B18" i="72"/>
  <c r="U29" i="34"/>
  <c r="D9" i="11"/>
  <c r="C9" i="11" s="1"/>
  <c r="E32" i="6"/>
  <c r="G1" i="68"/>
  <c r="K1" i="12"/>
  <c r="F30" i="6"/>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48" i="35" s="1"/>
  <c r="D48" i="35" s="1"/>
  <c r="C7" i="33"/>
  <c r="C58" i="33" s="1"/>
  <c r="C7" i="21"/>
  <c r="C58" i="21" s="1"/>
  <c r="D58" i="21" s="1"/>
  <c r="E58" i="21" s="1"/>
  <c r="F58" i="21" s="1"/>
  <c r="G58" i="21" s="1"/>
  <c r="H58" i="21" s="1"/>
  <c r="C7" i="40"/>
  <c r="C63" i="40" s="1"/>
  <c r="C65" i="40" s="1"/>
  <c r="M47" i="9"/>
  <c r="T35" i="4"/>
  <c r="A19" i="51"/>
  <c r="B14" i="72"/>
  <c r="C46" i="36"/>
  <c r="D46" i="36" s="1"/>
  <c r="E46" i="36" s="1"/>
  <c r="C59" i="34"/>
  <c r="D59" i="34" s="1"/>
  <c r="E59" i="34" s="1"/>
  <c r="F59" i="34" s="1"/>
  <c r="G59" i="34" s="1"/>
  <c r="H59" i="34" s="1"/>
  <c r="I59" i="34" s="1"/>
  <c r="C52" i="37"/>
  <c r="D52" i="37" s="1"/>
  <c r="E52" i="37" s="1"/>
  <c r="F52" i="37" s="1"/>
  <c r="G52" i="37" s="1"/>
  <c r="H52" i="37" s="1"/>
  <c r="A4" i="51"/>
  <c r="B6" i="72"/>
  <c r="C94" i="9"/>
  <c r="C92" i="9"/>
  <c r="H62" i="43"/>
  <c r="H66" i="43"/>
  <c r="H61" i="43"/>
  <c r="H65" i="43"/>
  <c r="H60" i="43"/>
  <c r="H64" i="43"/>
  <c r="H59" i="43"/>
  <c r="H63" i="43"/>
  <c r="H67" i="43"/>
  <c r="H55" i="43"/>
  <c r="H51" i="43"/>
  <c r="H56" i="43"/>
  <c r="H76" i="43"/>
  <c r="H72" i="43"/>
  <c r="H77" i="43"/>
  <c r="B6" i="1"/>
  <c r="E6" i="1"/>
  <c r="S8" i="1"/>
  <c r="AQ8" i="1" s="1"/>
  <c r="M11" i="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T11" i="1"/>
  <c r="D9" i="69"/>
  <c r="C9" i="69" s="1"/>
  <c r="AQ9" i="1"/>
  <c r="K15" i="1"/>
  <c r="T9" i="1"/>
  <c r="T13" i="1"/>
  <c r="AA39" i="40"/>
  <c r="S39" i="40"/>
  <c r="S12" i="33"/>
  <c r="AA12" i="33"/>
  <c r="D68" i="9"/>
  <c r="F54" i="9"/>
  <c r="J32" i="39"/>
  <c r="H107" i="39"/>
  <c r="I107" i="39"/>
  <c r="J107" i="39"/>
  <c r="K107" i="39"/>
  <c r="L107" i="39"/>
  <c r="M107" i="39"/>
  <c r="H32" i="39"/>
  <c r="AA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F46" i="36"/>
  <c r="G46" i="36" s="1"/>
  <c r="H46" i="36" s="1"/>
  <c r="I46" i="36" s="1"/>
  <c r="J46" i="36" s="1"/>
  <c r="E48" i="35"/>
  <c r="F48" i="35" s="1"/>
  <c r="G48" i="35" s="1"/>
  <c r="H48" i="35" s="1"/>
  <c r="I48" i="35" s="1"/>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C19" i="68"/>
  <c r="AE8" i="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4" i="43"/>
  <c r="B66" i="40" s="1"/>
  <c r="P25" i="43"/>
  <c r="AO9" i="1"/>
  <c r="AO8" i="1"/>
  <c r="M28" i="15"/>
  <c r="F8" i="15"/>
  <c r="E10" i="76"/>
  <c r="F41" i="67"/>
  <c r="M26" i="15"/>
  <c r="E7" i="76"/>
  <c r="F40" i="15"/>
  <c r="M22" i="15"/>
  <c r="E2" i="69"/>
  <c r="E8" i="76"/>
  <c r="B8" i="76"/>
  <c r="C76" i="67"/>
  <c r="F8" i="77"/>
  <c r="D2" i="35"/>
  <c r="M6" i="15"/>
  <c r="F26" i="77"/>
  <c r="AO13" i="1"/>
  <c r="E9" i="76"/>
  <c r="B11" i="76"/>
  <c r="M8" i="15"/>
  <c r="B10" i="76"/>
  <c r="F6" i="67"/>
  <c r="J15" i="77"/>
  <c r="F9" i="77"/>
  <c r="F37" i="77"/>
  <c r="F7" i="73"/>
  <c r="M27" i="67"/>
  <c r="F36" i="67"/>
  <c r="M23" i="67"/>
  <c r="F13" i="77"/>
  <c r="F36" i="15"/>
  <c r="D2" i="37"/>
  <c r="E12" i="76"/>
  <c r="M28" i="67"/>
  <c r="M23" i="15"/>
  <c r="F26" i="67"/>
  <c r="F7" i="67"/>
  <c r="M26" i="67"/>
  <c r="F3" i="73"/>
  <c r="M26" i="77"/>
  <c r="E13" i="76"/>
  <c r="C76" i="77"/>
  <c r="F13" i="67"/>
  <c r="M28" i="77"/>
  <c r="L47" i="77"/>
  <c r="F16" i="15"/>
  <c r="F5" i="73"/>
  <c r="J15" i="67"/>
  <c r="L48" i="77"/>
  <c r="L47" i="67"/>
  <c r="M29" i="67"/>
  <c r="M8" i="77"/>
  <c r="D2" i="36"/>
  <c r="M27" i="77"/>
  <c r="F4" i="73"/>
  <c r="F40" i="67"/>
  <c r="F38" i="77"/>
  <c r="D2" i="21"/>
  <c r="M22" i="77"/>
  <c r="B13" i="76"/>
  <c r="B9" i="76"/>
  <c r="F35" i="67"/>
  <c r="M23" i="77"/>
  <c r="F8" i="67"/>
  <c r="M27" i="15"/>
  <c r="F16" i="77"/>
  <c r="M24" i="67"/>
  <c r="F9" i="15"/>
  <c r="F42" i="15"/>
  <c r="D2" i="33"/>
  <c r="M24" i="77"/>
  <c r="F37" i="67"/>
  <c r="F37" i="15"/>
  <c r="J15" i="15"/>
  <c r="F6" i="77"/>
  <c r="F26" i="15"/>
  <c r="F38" i="67"/>
  <c r="M22" i="67"/>
  <c r="D2" i="34"/>
  <c r="F42" i="67"/>
  <c r="M6" i="77"/>
  <c r="B12" i="76"/>
  <c r="L47" i="15"/>
  <c r="B7" i="76"/>
  <c r="AO11" i="1"/>
  <c r="F40" i="77"/>
  <c r="F6" i="73"/>
  <c r="E2" i="68"/>
  <c r="M9" i="15"/>
  <c r="F42" i="77"/>
  <c r="F38" i="15"/>
  <c r="F13" i="15"/>
  <c r="F20" i="31"/>
  <c r="L48" i="67"/>
  <c r="M24" i="15"/>
  <c r="AO10" i="1"/>
  <c r="F16" i="67"/>
  <c r="M9" i="67"/>
  <c r="E11" i="76"/>
  <c r="C76" i="15"/>
  <c r="F9" i="67"/>
  <c r="AO12" i="1"/>
  <c r="F43" i="67"/>
  <c r="M8" i="67"/>
  <c r="M21" i="67"/>
  <c r="M9" i="77"/>
  <c r="M6" i="67"/>
  <c r="F36" i="77"/>
  <c r="AR12" i="1" l="1"/>
  <c r="C18" i="9"/>
  <c r="D18" i="9" s="1"/>
  <c r="AR11" i="1"/>
  <c r="AQ13" i="1"/>
  <c r="AR9" i="1"/>
  <c r="AQ11" i="1"/>
  <c r="AR13" i="1"/>
  <c r="AQ10" i="1"/>
  <c r="E28" i="6"/>
  <c r="G30" i="6"/>
  <c r="T8" i="1"/>
  <c r="AR8" i="1"/>
  <c r="P8" i="1"/>
  <c r="E8" i="49"/>
  <c r="J1" i="73"/>
  <c r="B14" i="49"/>
  <c r="U17" i="39"/>
  <c r="D19" i="12"/>
  <c r="C19" i="12" s="1"/>
  <c r="D23" i="77"/>
  <c r="F95" i="39"/>
  <c r="G95" i="39" s="1"/>
  <c r="J21" i="39"/>
  <c r="G91" i="39"/>
  <c r="J17" i="39"/>
  <c r="F81" i="39"/>
  <c r="D23" i="67"/>
  <c r="D22" i="77"/>
  <c r="D58" i="33"/>
  <c r="E58" i="33" s="1"/>
  <c r="F58" i="33" s="1"/>
  <c r="G58" i="33" s="1"/>
  <c r="H58" i="33" s="1"/>
  <c r="I58" i="33" s="1"/>
  <c r="J58" i="33" s="1"/>
  <c r="K58" i="33" s="1"/>
  <c r="L58" i="33" s="1"/>
  <c r="M58" i="33" s="1"/>
  <c r="N58" i="33" s="1"/>
  <c r="O58" i="33" s="1"/>
  <c r="F7" i="33"/>
  <c r="S7" i="33" s="1"/>
  <c r="M20" i="43"/>
  <c r="C19" i="43" s="1"/>
  <c r="C34" i="43" s="1"/>
  <c r="C36" i="69"/>
  <c r="E11" i="49"/>
  <c r="E5" i="49"/>
  <c r="B9" i="49"/>
  <c r="C4" i="4" s="1"/>
  <c r="B5" i="49"/>
  <c r="B22" i="49"/>
  <c r="C13" i="12"/>
  <c r="C48" i="69"/>
  <c r="C48" i="68"/>
  <c r="C24" i="12"/>
  <c r="C28" i="15"/>
  <c r="C30" i="68"/>
  <c r="C28" i="67"/>
  <c r="C77" i="9"/>
  <c r="C74" i="9" s="1"/>
  <c r="C30" i="69"/>
  <c r="F6" i="1"/>
  <c r="C36" i="43"/>
  <c r="T15" i="43"/>
  <c r="V15" i="43" s="1"/>
  <c r="C35" i="43"/>
  <c r="T11" i="43"/>
  <c r="V11" i="43" s="1"/>
  <c r="T9" i="43"/>
  <c r="V9" i="43" s="1"/>
  <c r="T8" i="43"/>
  <c r="V8" i="43" s="1"/>
  <c r="AA7" i="33"/>
  <c r="R48" i="33" s="1"/>
  <c r="E48" i="33" s="1"/>
  <c r="D63" i="40"/>
  <c r="C39" i="43"/>
  <c r="J59" i="34"/>
  <c r="K59" i="34" s="1"/>
  <c r="L59" i="34" s="1"/>
  <c r="M59" i="34" s="1"/>
  <c r="N59" i="34" s="1"/>
  <c r="O59" i="34" s="1"/>
  <c r="H7" i="34" s="1"/>
  <c r="F7" i="34"/>
  <c r="K46" i="36"/>
  <c r="L46" i="36" s="1"/>
  <c r="M46" i="36" s="1"/>
  <c r="N46" i="36" s="1"/>
  <c r="O46" i="36" s="1"/>
  <c r="J7" i="36"/>
  <c r="F7" i="36"/>
  <c r="H7" i="36"/>
  <c r="I52" i="37"/>
  <c r="J52" i="37" s="1"/>
  <c r="K52" i="37" s="1"/>
  <c r="L52" i="37" s="1"/>
  <c r="M52" i="37" s="1"/>
  <c r="N52" i="37" s="1"/>
  <c r="O52" i="37" s="1"/>
  <c r="H7" i="37"/>
  <c r="F7" i="37"/>
  <c r="J7" i="37"/>
  <c r="I58" i="21"/>
  <c r="J58" i="21" s="1"/>
  <c r="K58" i="21" s="1"/>
  <c r="L58" i="21" s="1"/>
  <c r="M58" i="21" s="1"/>
  <c r="N58" i="21" s="1"/>
  <c r="O58" i="21" s="1"/>
  <c r="H7" i="21"/>
  <c r="J48" i="35"/>
  <c r="K48" i="35" s="1"/>
  <c r="L48" i="35" s="1"/>
  <c r="M48" i="35" s="1"/>
  <c r="N48" i="35" s="1"/>
  <c r="O48" i="35" s="1"/>
  <c r="C70" i="39"/>
  <c r="D68" i="39"/>
  <c r="J7" i="34"/>
  <c r="C33" i="43"/>
  <c r="C37" i="43"/>
  <c r="C38" i="43"/>
  <c r="C28" i="77"/>
  <c r="B8" i="49"/>
  <c r="B4" i="49"/>
  <c r="E10" i="49"/>
  <c r="E16" i="49"/>
  <c r="E22" i="49"/>
  <c r="B7" i="49"/>
  <c r="E4" i="49"/>
  <c r="B6" i="49"/>
  <c r="E9" i="49"/>
  <c r="E21" i="49"/>
  <c r="B11" i="49"/>
  <c r="E4" i="4" s="1"/>
  <c r="B5" i="62" s="1"/>
  <c r="B73" i="72" s="1"/>
  <c r="B13" i="49"/>
  <c r="E6" i="49"/>
  <c r="E7" i="49"/>
  <c r="B16" i="49"/>
  <c r="B10" i="49"/>
  <c r="B20" i="31"/>
  <c r="B8" i="70"/>
  <c r="J20" i="67"/>
  <c r="F69" i="67"/>
  <c r="F63" i="67"/>
  <c r="C62" i="67" s="1"/>
  <c r="C34" i="67"/>
  <c r="F64" i="67"/>
  <c r="F65" i="67"/>
  <c r="Q71" i="15"/>
  <c r="C27" i="67"/>
  <c r="F51" i="67"/>
  <c r="B10" i="70"/>
  <c r="B11" i="70"/>
  <c r="F70" i="67"/>
  <c r="F68" i="67"/>
  <c r="F66" i="67"/>
  <c r="N59" i="67"/>
  <c r="M59" i="67"/>
  <c r="L58" i="67"/>
  <c r="L59" i="67"/>
  <c r="M59" i="15"/>
  <c r="L59" i="15" s="1"/>
  <c r="N59" i="15"/>
  <c r="F71" i="67"/>
  <c r="I54" i="67"/>
  <c r="L56" i="67"/>
  <c r="J57" i="67"/>
  <c r="J55" i="67" s="1"/>
  <c r="J58" i="67" s="1"/>
  <c r="Q50" i="67" s="1"/>
  <c r="F50" i="67"/>
  <c r="M7" i="67"/>
  <c r="J6" i="67" s="1"/>
  <c r="C6" i="67"/>
  <c r="Q71" i="67"/>
  <c r="B12" i="70"/>
  <c r="B13" i="70"/>
  <c r="B9" i="70"/>
  <c r="L58" i="77"/>
  <c r="N59" i="77"/>
  <c r="M59" i="77"/>
  <c r="L59" i="77" s="1"/>
  <c r="Q71" i="77"/>
  <c r="F68" i="77"/>
  <c r="C27" i="77"/>
  <c r="F51" i="77"/>
  <c r="F68" i="15"/>
  <c r="C27" i="15"/>
  <c r="J60" i="77"/>
  <c r="Q48" i="77" s="1"/>
  <c r="J53" i="77"/>
  <c r="J57" i="77"/>
  <c r="J55" i="77" s="1"/>
  <c r="J58" i="77" s="1"/>
  <c r="Q50" i="77" s="1"/>
  <c r="L56" i="77"/>
  <c r="L60" i="77"/>
  <c r="J59" i="77"/>
  <c r="L57" i="77"/>
  <c r="I54" i="77"/>
  <c r="F66" i="77"/>
  <c r="F65" i="77"/>
  <c r="F64" i="77"/>
  <c r="F66" i="15"/>
  <c r="F65" i="15"/>
  <c r="F64" i="15"/>
  <c r="I1" i="73"/>
  <c r="B39" i="1" s="1"/>
  <c r="F51" i="15"/>
  <c r="D3" i="73"/>
  <c r="D5" i="73"/>
  <c r="C17" i="67"/>
  <c r="C16" i="67"/>
  <c r="C14" i="67"/>
  <c r="D6" i="73"/>
  <c r="D7" i="73"/>
  <c r="G1" i="73"/>
  <c r="D4" i="73"/>
  <c r="L48" i="15"/>
  <c r="E30" i="6" l="1"/>
  <c r="K14" i="1"/>
  <c r="M14" i="1" s="1"/>
  <c r="O14" i="1" s="1"/>
  <c r="P14" i="1" s="1"/>
  <c r="E20" i="43"/>
  <c r="O17" i="43" s="1"/>
  <c r="H7" i="33"/>
  <c r="K4" i="4"/>
  <c r="B46" i="48" s="1"/>
  <c r="B4" i="72" s="1"/>
  <c r="B4" i="62"/>
  <c r="B71" i="72" s="1"/>
  <c r="R49" i="33"/>
  <c r="T16" i="43"/>
  <c r="V16" i="43" s="1"/>
  <c r="W21" i="39"/>
  <c r="AC21" i="39"/>
  <c r="AC17" i="39"/>
  <c r="W17" i="39"/>
  <c r="G81" i="39"/>
  <c r="H81" i="39" s="1"/>
  <c r="I81" i="39" s="1"/>
  <c r="J81" i="39" s="1"/>
  <c r="K81" i="39" s="1"/>
  <c r="L81" i="39" s="1"/>
  <c r="M81" i="39" s="1"/>
  <c r="J7" i="21"/>
  <c r="F7" i="21"/>
  <c r="T13" i="43"/>
  <c r="V13" i="43" s="1"/>
  <c r="T14" i="43"/>
  <c r="V14" i="43" s="1"/>
  <c r="T10" i="43"/>
  <c r="V10" i="43" s="1"/>
  <c r="T12" i="43"/>
  <c r="V12" i="43" s="1"/>
  <c r="J7" i="33"/>
  <c r="AB7" i="33"/>
  <c r="T48" i="33" s="1"/>
  <c r="G48" i="33" s="1"/>
  <c r="U7" i="33"/>
  <c r="B40" i="1"/>
  <c r="F24" i="15" s="1"/>
  <c r="C24" i="15" s="1"/>
  <c r="J60" i="15"/>
  <c r="Q48" i="15" s="1"/>
  <c r="I54" i="15"/>
  <c r="L56" i="15"/>
  <c r="J59" i="15"/>
  <c r="J53" i="15"/>
  <c r="F1" i="15" s="1"/>
  <c r="L57" i="15"/>
  <c r="J57" i="15"/>
  <c r="J55" i="15" s="1"/>
  <c r="J58" i="15" s="1"/>
  <c r="Q50" i="15" s="1"/>
  <c r="L60" i="15"/>
  <c r="Q66" i="15" s="1"/>
  <c r="L58" i="15"/>
  <c r="Q73" i="15" s="1"/>
  <c r="G6" i="1"/>
  <c r="D65" i="40"/>
  <c r="E63" i="40"/>
  <c r="G34" i="43"/>
  <c r="I34" i="43" s="1"/>
  <c r="E34" i="43"/>
  <c r="J7" i="35"/>
  <c r="G39" i="43"/>
  <c r="I39" i="43" s="1"/>
  <c r="E39" i="43"/>
  <c r="G35" i="43"/>
  <c r="I35" i="43" s="1"/>
  <c r="E35" i="43"/>
  <c r="G36" i="43"/>
  <c r="I36" i="43" s="1"/>
  <c r="E36" i="43"/>
  <c r="G38" i="43"/>
  <c r="I38" i="43" s="1"/>
  <c r="E38" i="43"/>
  <c r="G33" i="43"/>
  <c r="I33" i="43" s="1"/>
  <c r="E33" i="43"/>
  <c r="W7" i="34"/>
  <c r="AC7" i="34"/>
  <c r="V49" i="34" s="1"/>
  <c r="I49" i="34" s="1"/>
  <c r="F7" i="35"/>
  <c r="H7" i="35"/>
  <c r="AB7" i="21"/>
  <c r="T48" i="21" s="1"/>
  <c r="G48" i="21" s="1"/>
  <c r="U7" i="21"/>
  <c r="AA7" i="37"/>
  <c r="R42" i="37" s="1"/>
  <c r="S7" i="37"/>
  <c r="S7" i="36"/>
  <c r="AA7" i="36"/>
  <c r="R36" i="36" s="1"/>
  <c r="E53" i="33"/>
  <c r="F53" i="33" s="1"/>
  <c r="E52" i="33"/>
  <c r="F52" i="33" s="1"/>
  <c r="G37" i="43"/>
  <c r="I37" i="43" s="1"/>
  <c r="E37" i="43"/>
  <c r="D70" i="39"/>
  <c r="E68" i="39"/>
  <c r="W7" i="35"/>
  <c r="AC7" i="35"/>
  <c r="V38" i="35" s="1"/>
  <c r="I38" i="35" s="1"/>
  <c r="AC7" i="21"/>
  <c r="V48" i="21" s="1"/>
  <c r="I48" i="21" s="1"/>
  <c r="W7" i="21"/>
  <c r="S7" i="21"/>
  <c r="AA7" i="21"/>
  <c r="R48" i="21" s="1"/>
  <c r="W7" i="37"/>
  <c r="AC7" i="37"/>
  <c r="V42" i="37" s="1"/>
  <c r="I42" i="37" s="1"/>
  <c r="U7" i="37"/>
  <c r="AB7" i="37"/>
  <c r="T42" i="37" s="1"/>
  <c r="G42" i="37" s="1"/>
  <c r="U7" i="36"/>
  <c r="AB7" i="36"/>
  <c r="T36" i="36" s="1"/>
  <c r="G36" i="36" s="1"/>
  <c r="AC7" i="36"/>
  <c r="V36" i="36" s="1"/>
  <c r="I36" i="36" s="1"/>
  <c r="W7" i="36"/>
  <c r="S7" i="34"/>
  <c r="AA7" i="34"/>
  <c r="R49" i="34" s="1"/>
  <c r="U7" i="34"/>
  <c r="AB7" i="34"/>
  <c r="T49" i="34" s="1"/>
  <c r="G49" i="34" s="1"/>
  <c r="C48" i="33"/>
  <c r="C49" i="33"/>
  <c r="L46" i="77"/>
  <c r="C15" i="67"/>
  <c r="C18" i="67"/>
  <c r="F11" i="15"/>
  <c r="C53" i="15" s="1"/>
  <c r="M11" i="15"/>
  <c r="F11" i="77"/>
  <c r="M11" i="77"/>
  <c r="F11" i="67"/>
  <c r="M11" i="67"/>
  <c r="J10" i="67" s="1"/>
  <c r="J5" i="67" s="1"/>
  <c r="Q61" i="77"/>
  <c r="Q74" i="77"/>
  <c r="Q60" i="77"/>
  <c r="Q73" i="77"/>
  <c r="Q60" i="67"/>
  <c r="Q73" i="67"/>
  <c r="C49" i="67"/>
  <c r="Q66" i="77"/>
  <c r="Q57" i="77"/>
  <c r="F1" i="77"/>
  <c r="Q52" i="77"/>
  <c r="Q74" i="15"/>
  <c r="Q61" i="15"/>
  <c r="Q74" i="67"/>
  <c r="Q61" i="67"/>
  <c r="AE7" i="1"/>
  <c r="AE6" i="1"/>
  <c r="M17" i="43" l="1"/>
  <c r="P17" i="43"/>
  <c r="N17" i="43"/>
  <c r="F22" i="68"/>
  <c r="C44" i="68" s="1"/>
  <c r="D41" i="68" s="1"/>
  <c r="Q52" i="15"/>
  <c r="L46" i="15"/>
  <c r="AT6" i="3"/>
  <c r="F22" i="69"/>
  <c r="C26" i="69" s="1"/>
  <c r="D22" i="69" s="1"/>
  <c r="Q57" i="15"/>
  <c r="G52" i="33"/>
  <c r="H52" i="33" s="1"/>
  <c r="W7" i="33"/>
  <c r="AC7" i="33"/>
  <c r="V48" i="33" s="1"/>
  <c r="I48" i="33" s="1"/>
  <c r="F24" i="67"/>
  <c r="C24" i="67" s="1"/>
  <c r="F24" i="77"/>
  <c r="C24" i="77" s="1"/>
  <c r="F22" i="11"/>
  <c r="C26" i="11" s="1"/>
  <c r="D22" i="11" s="1"/>
  <c r="F25" i="12"/>
  <c r="C26" i="12" s="1"/>
  <c r="D25" i="12" s="1"/>
  <c r="Q60" i="15"/>
  <c r="E65" i="40"/>
  <c r="F63" i="40"/>
  <c r="G53" i="34"/>
  <c r="H53" i="34" s="1"/>
  <c r="G54" i="34"/>
  <c r="H54" i="34" s="1"/>
  <c r="E49" i="34"/>
  <c r="I54" i="34" s="1"/>
  <c r="J54" i="34" s="1"/>
  <c r="R50" i="34"/>
  <c r="G40" i="36"/>
  <c r="H40" i="36" s="1"/>
  <c r="G41" i="36"/>
  <c r="H41" i="36" s="1"/>
  <c r="G47" i="37"/>
  <c r="H47" i="37" s="1"/>
  <c r="G46" i="37"/>
  <c r="H46" i="37" s="1"/>
  <c r="I46" i="37"/>
  <c r="J46" i="37" s="1"/>
  <c r="E48" i="21"/>
  <c r="R49" i="21"/>
  <c r="I42" i="35"/>
  <c r="J42" i="35" s="1"/>
  <c r="E70" i="39"/>
  <c r="F68" i="39"/>
  <c r="I40" i="36"/>
  <c r="J40" i="36" s="1"/>
  <c r="I52" i="21"/>
  <c r="J52" i="21" s="1"/>
  <c r="I53" i="21"/>
  <c r="J53" i="21" s="1"/>
  <c r="R37" i="36"/>
  <c r="E36" i="36"/>
  <c r="U7" i="35"/>
  <c r="AB7" i="35"/>
  <c r="T38" i="35" s="1"/>
  <c r="G38" i="35" s="1"/>
  <c r="R43" i="37"/>
  <c r="E42" i="37"/>
  <c r="G52" i="21"/>
  <c r="H52" i="21" s="1"/>
  <c r="G53" i="21"/>
  <c r="H53" i="21" s="1"/>
  <c r="AA7" i="35"/>
  <c r="R38" i="35" s="1"/>
  <c r="S7" i="35"/>
  <c r="I53" i="34"/>
  <c r="J53" i="34" s="1"/>
  <c r="C19" i="67"/>
  <c r="J24" i="67"/>
  <c r="J26" i="67"/>
  <c r="J29" i="67" s="1"/>
  <c r="J18" i="67"/>
  <c r="C53" i="67"/>
  <c r="C48" i="67" s="1"/>
  <c r="C10" i="67"/>
  <c r="C5" i="67" s="1"/>
  <c r="C10" i="77"/>
  <c r="C53" i="77"/>
  <c r="F41" i="77"/>
  <c r="F41" i="15"/>
  <c r="C24" i="68" l="1"/>
  <c r="C26" i="68"/>
  <c r="D22" i="68" s="1"/>
  <c r="C44" i="69"/>
  <c r="D41" i="69" s="1"/>
  <c r="I52" i="33"/>
  <c r="J52" i="33" s="1"/>
  <c r="I53" i="33"/>
  <c r="J53" i="33" s="1"/>
  <c r="G53" i="33"/>
  <c r="H53" i="33" s="1"/>
  <c r="C44" i="11"/>
  <c r="D41" i="11" s="1"/>
  <c r="C23" i="11"/>
  <c r="F65" i="40"/>
  <c r="G63" i="40"/>
  <c r="R39" i="35"/>
  <c r="E38" i="35"/>
  <c r="C42" i="37"/>
  <c r="C43" i="37"/>
  <c r="C36" i="36"/>
  <c r="C37" i="36"/>
  <c r="B2" i="36" s="1"/>
  <c r="B3" i="36" s="1"/>
  <c r="F70" i="39"/>
  <c r="G68" i="39"/>
  <c r="C48" i="21"/>
  <c r="C49" i="21"/>
  <c r="C50" i="34"/>
  <c r="C49" i="34"/>
  <c r="E47" i="37"/>
  <c r="F47" i="37" s="1"/>
  <c r="E46" i="37"/>
  <c r="F46" i="37" s="1"/>
  <c r="G42" i="35"/>
  <c r="H42" i="35" s="1"/>
  <c r="G43" i="35"/>
  <c r="H43" i="35" s="1"/>
  <c r="E40" i="36"/>
  <c r="F40" i="36" s="1"/>
  <c r="E41" i="36"/>
  <c r="F41" i="36" s="1"/>
  <c r="I41" i="36"/>
  <c r="J41" i="36" s="1"/>
  <c r="E52" i="21"/>
  <c r="F52" i="21" s="1"/>
  <c r="E53" i="21"/>
  <c r="F53" i="21" s="1"/>
  <c r="I47" i="37"/>
  <c r="J47" i="37" s="1"/>
  <c r="E54" i="34"/>
  <c r="F54" i="34" s="1"/>
  <c r="E53" i="34"/>
  <c r="F53" i="34" s="1"/>
  <c r="F69" i="77"/>
  <c r="F69" i="15"/>
  <c r="C20" i="67"/>
  <c r="C23" i="67" s="1"/>
  <c r="C60" i="67"/>
  <c r="C66" i="67"/>
  <c r="C38" i="67"/>
  <c r="C32" i="67"/>
  <c r="C26" i="67" l="1"/>
  <c r="C29" i="67" s="1"/>
  <c r="C33" i="67" s="1"/>
  <c r="C31" i="67" s="1"/>
  <c r="H63" i="40"/>
  <c r="G65" i="40"/>
  <c r="G70" i="39"/>
  <c r="H68" i="39"/>
  <c r="E43" i="35"/>
  <c r="F43" i="35" s="1"/>
  <c r="E42" i="35"/>
  <c r="F42" i="35" s="1"/>
  <c r="I43" i="35"/>
  <c r="J43" i="35" s="1"/>
  <c r="C38" i="35"/>
  <c r="C39" i="35"/>
  <c r="B2" i="35" s="1"/>
  <c r="B3" i="35" s="1"/>
  <c r="H38" i="39" l="1"/>
  <c r="J38" i="39"/>
  <c r="F38" i="39"/>
  <c r="I63" i="40"/>
  <c r="H65" i="40"/>
  <c r="H70" i="39"/>
  <c r="I68" i="39"/>
  <c r="C36" i="67"/>
  <c r="J59" i="67"/>
  <c r="J60" i="67" s="1"/>
  <c r="Q48" i="67" s="1"/>
  <c r="J14" i="67"/>
  <c r="C13" i="67"/>
  <c r="C57" i="67"/>
  <c r="J19" i="67"/>
  <c r="J17" i="67" s="1"/>
  <c r="Q49" i="67"/>
  <c r="W38" i="39" l="1"/>
  <c r="AC38" i="39"/>
  <c r="AA38" i="39"/>
  <c r="S38" i="39"/>
  <c r="U38" i="39"/>
  <c r="AB38" i="39"/>
  <c r="L46" i="67"/>
  <c r="J63" i="40"/>
  <c r="I65" i="40"/>
  <c r="I70" i="39"/>
  <c r="J68" i="39"/>
  <c r="C64" i="67"/>
  <c r="C61" i="67"/>
  <c r="C59" i="67" s="1"/>
  <c r="J22" i="67"/>
  <c r="J13" i="67"/>
  <c r="J23" i="67" s="1"/>
  <c r="Q70" i="67"/>
  <c r="C56" i="67"/>
  <c r="C65" i="67" s="1"/>
  <c r="C75" i="67"/>
  <c r="C37" i="67"/>
  <c r="C30" i="67" s="1"/>
  <c r="C39" i="67" s="1"/>
  <c r="L51" i="67"/>
  <c r="K63" i="40" l="1"/>
  <c r="J65" i="40"/>
  <c r="J70" i="39"/>
  <c r="K68" i="39"/>
  <c r="C80" i="67"/>
  <c r="C79" i="67" s="1"/>
  <c r="J16" i="67"/>
  <c r="J25" i="67" s="1"/>
  <c r="Q67" i="67"/>
  <c r="L57" i="67"/>
  <c r="L60" i="67" s="1"/>
  <c r="Q57" i="67" s="1"/>
  <c r="C40" i="67"/>
  <c r="Q69" i="67"/>
  <c r="Q68" i="67" s="1"/>
  <c r="C58" i="67"/>
  <c r="C67" i="67" s="1"/>
  <c r="C68" i="67" s="1"/>
  <c r="L63" i="40" l="1"/>
  <c r="K65" i="40"/>
  <c r="K70" i="39"/>
  <c r="L68" i="39"/>
  <c r="Q66" i="67"/>
  <c r="C71" i="67"/>
  <c r="C45" i="67"/>
  <c r="C46" i="67" s="1"/>
  <c r="C43" i="67"/>
  <c r="Q47" i="67"/>
  <c r="Q53" i="67" s="1"/>
  <c r="D2" i="67"/>
  <c r="Q65" i="67"/>
  <c r="Q75" i="67" s="1"/>
  <c r="Q56" i="67"/>
  <c r="Q62" i="67" s="1"/>
  <c r="C83" i="67"/>
  <c r="C82" i="67" s="1"/>
  <c r="M63" i="40" l="1"/>
  <c r="L65" i="40"/>
  <c r="L70" i="39"/>
  <c r="M68" i="39"/>
  <c r="B3" i="67"/>
  <c r="B2" i="67"/>
  <c r="M65" i="40" l="1"/>
  <c r="N63" i="40"/>
  <c r="M70" i="39"/>
  <c r="N68" i="39"/>
  <c r="O63" i="40" l="1"/>
  <c r="O65" i="40" s="1"/>
  <c r="N65" i="40"/>
  <c r="N70" i="39"/>
  <c r="O68" i="39"/>
  <c r="O70" i="39" s="1"/>
  <c r="J7" i="40" l="1"/>
  <c r="H7" i="40"/>
  <c r="F7" i="40"/>
  <c r="H7" i="39"/>
  <c r="F7" i="39"/>
  <c r="J7" i="39"/>
  <c r="S7" i="40" l="1"/>
  <c r="AA7" i="40"/>
  <c r="R42" i="40" s="1"/>
  <c r="AC7" i="40"/>
  <c r="V42" i="40" s="1"/>
  <c r="I42" i="40" s="1"/>
  <c r="W7" i="40"/>
  <c r="U7" i="40"/>
  <c r="AB7" i="40"/>
  <c r="T42" i="40" s="1"/>
  <c r="G42" i="40" s="1"/>
  <c r="AC7" i="39"/>
  <c r="W7" i="39"/>
  <c r="AA7" i="39"/>
  <c r="S7" i="39"/>
  <c r="AB7" i="39"/>
  <c r="U7" i="39"/>
  <c r="I46" i="40" l="1"/>
  <c r="J46" i="40" s="1"/>
  <c r="G47" i="40"/>
  <c r="H47" i="40" s="1"/>
  <c r="G46" i="40"/>
  <c r="H46" i="40" s="1"/>
  <c r="R43" i="40"/>
  <c r="E42" i="40"/>
  <c r="C43" i="40" l="1"/>
  <c r="C42" i="40"/>
  <c r="E46" i="40"/>
  <c r="F46" i="40" s="1"/>
  <c r="E47" i="40"/>
  <c r="F47" i="40" s="1"/>
  <c r="I47" i="40"/>
  <c r="J47" i="40" s="1"/>
  <c r="B57" i="40" l="1"/>
  <c r="B59" i="40"/>
  <c r="B56" i="40"/>
  <c r="B54" i="40"/>
  <c r="F54" i="40" s="1"/>
  <c r="B53" i="40"/>
  <c r="F53" i="40" s="1"/>
  <c r="B58" i="40"/>
  <c r="B52" i="40"/>
  <c r="F52" i="40" s="1"/>
  <c r="B51" i="40"/>
  <c r="B55" i="40"/>
  <c r="F55" i="40" s="1"/>
  <c r="B60" i="40"/>
  <c r="BC13" i="3"/>
  <c r="BC5" i="3" s="1"/>
  <c r="K5" i="3"/>
  <c r="G19" i="6" s="1"/>
  <c r="B2" i="79"/>
  <c r="B10" i="79"/>
  <c r="I13" i="3" s="1"/>
  <c r="H13" i="3" l="1"/>
  <c r="M13" i="3"/>
  <c r="BB13" i="3"/>
  <c r="I5" i="3"/>
  <c r="H2" i="79"/>
  <c r="H10" i="79" s="1"/>
  <c r="G10" i="79" s="1"/>
  <c r="E2" i="79"/>
  <c r="E10" i="79" s="1"/>
  <c r="C10" i="79" s="1"/>
  <c r="U6" i="1" s="1"/>
  <c r="F6" i="15"/>
  <c r="I4" i="6" l="1"/>
  <c r="F19" i="6"/>
  <c r="BD13" i="3"/>
  <c r="BD5" i="3" s="1"/>
  <c r="M5" i="3"/>
  <c r="BB5" i="3"/>
  <c r="BA13" i="3"/>
  <c r="H5" i="3"/>
  <c r="G13" i="3"/>
  <c r="F7" i="77"/>
  <c r="M7" i="77" l="1"/>
  <c r="J6" i="77" s="1"/>
  <c r="F50" i="77"/>
  <c r="C49" i="77" s="1"/>
  <c r="C48" i="77" s="1"/>
  <c r="C6" i="77"/>
  <c r="C5" i="77" s="1"/>
  <c r="E10" i="6"/>
  <c r="E8" i="6"/>
  <c r="E14" i="6"/>
  <c r="E15" i="6"/>
  <c r="E13" i="6"/>
  <c r="E11" i="6"/>
  <c r="E12" i="6"/>
  <c r="G20" i="6"/>
  <c r="F27" i="6"/>
  <c r="F31" i="6" s="1"/>
  <c r="E19" i="6"/>
  <c r="G5" i="3"/>
  <c r="B3" i="3" s="1"/>
  <c r="BA5" i="3"/>
  <c r="AZ13" i="3"/>
  <c r="AZ5" i="3" s="1"/>
  <c r="C11" i="39"/>
  <c r="G3" i="43"/>
  <c r="E3" i="6" l="1"/>
  <c r="AY6" i="3"/>
  <c r="E322" i="3"/>
  <c r="E336" i="3"/>
  <c r="E568" i="3"/>
  <c r="AK6" i="3"/>
  <c r="E306" i="3"/>
  <c r="E282" i="3"/>
  <c r="E399" i="3"/>
  <c r="E385" i="3"/>
  <c r="AI6" i="3"/>
  <c r="E423" i="3"/>
  <c r="E263" i="3"/>
  <c r="E191" i="3"/>
  <c r="E181" i="3"/>
  <c r="E212" i="3"/>
  <c r="E539" i="3"/>
  <c r="AR6" i="3"/>
  <c r="E380" i="3"/>
  <c r="E135" i="3"/>
  <c r="E177" i="3"/>
  <c r="E379" i="3"/>
  <c r="U6" i="3"/>
  <c r="E411" i="3"/>
  <c r="E548" i="3"/>
  <c r="X6" i="3"/>
  <c r="E314" i="3"/>
  <c r="E536" i="3"/>
  <c r="E453" i="3"/>
  <c r="E244" i="3"/>
  <c r="AA6" i="3"/>
  <c r="E397" i="3"/>
  <c r="AN6" i="3"/>
  <c r="E402" i="3"/>
  <c r="E303" i="3"/>
  <c r="E159" i="3"/>
  <c r="E228" i="3"/>
  <c r="E77" i="3"/>
  <c r="E426" i="3"/>
  <c r="E533" i="3"/>
  <c r="E439" i="3"/>
  <c r="E185" i="3"/>
  <c r="E277" i="3"/>
  <c r="E327" i="3"/>
  <c r="Z6" i="3"/>
  <c r="AO6" i="3"/>
  <c r="E485" i="3"/>
  <c r="E400" i="3"/>
  <c r="E345" i="3"/>
  <c r="E352" i="3"/>
  <c r="E136" i="3"/>
  <c r="E252" i="3"/>
  <c r="S6" i="3"/>
  <c r="E61" i="3"/>
  <c r="E312" i="3"/>
  <c r="E464" i="3"/>
  <c r="E459" i="3"/>
  <c r="E551" i="3"/>
  <c r="E221" i="3"/>
  <c r="E519" i="3"/>
  <c r="E458" i="3"/>
  <c r="E457" i="3"/>
  <c r="AP6" i="3"/>
  <c r="E517" i="3"/>
  <c r="E491" i="3"/>
  <c r="E479" i="3"/>
  <c r="E414" i="3"/>
  <c r="E545" i="3"/>
  <c r="E89" i="3"/>
  <c r="E298" i="3"/>
  <c r="E421" i="3"/>
  <c r="E205" i="3"/>
  <c r="E313" i="3"/>
  <c r="E438" i="3"/>
  <c r="E582" i="3"/>
  <c r="E436" i="3"/>
  <c r="E57" i="3"/>
  <c r="E187" i="3"/>
  <c r="E240" i="3"/>
  <c r="E259" i="3"/>
  <c r="E378" i="3"/>
  <c r="E148" i="3"/>
  <c r="E145" i="3"/>
  <c r="E418" i="3"/>
  <c r="E45" i="3"/>
  <c r="E499" i="3"/>
  <c r="E583" i="3"/>
  <c r="E293" i="3"/>
  <c r="E16" i="3"/>
  <c r="E434" i="3"/>
  <c r="E296" i="3"/>
  <c r="E347" i="3"/>
  <c r="E124" i="3"/>
  <c r="E518" i="3"/>
  <c r="E578" i="3"/>
  <c r="E382" i="3"/>
  <c r="E245" i="3"/>
  <c r="E188" i="3"/>
  <c r="E149" i="3"/>
  <c r="E167" i="3"/>
  <c r="E165" i="3"/>
  <c r="E538" i="3"/>
  <c r="E216" i="3"/>
  <c r="E120" i="3"/>
  <c r="E107" i="3"/>
  <c r="E585" i="3"/>
  <c r="E515" i="3"/>
  <c r="E478" i="3"/>
  <c r="AJ6" i="3"/>
  <c r="E246" i="3"/>
  <c r="E511" i="3"/>
  <c r="E549" i="3"/>
  <c r="E368" i="3"/>
  <c r="N6" i="3"/>
  <c r="E280" i="3"/>
  <c r="E495" i="3"/>
  <c r="E586" i="3"/>
  <c r="E350" i="3"/>
  <c r="E301" i="3"/>
  <c r="E99" i="3"/>
  <c r="E157" i="3"/>
  <c r="E253" i="3"/>
  <c r="E461" i="3"/>
  <c r="E561" i="3"/>
  <c r="E231" i="3"/>
  <c r="E161" i="3"/>
  <c r="E164" i="3"/>
  <c r="E576" i="3"/>
  <c r="AG6" i="3"/>
  <c r="E448" i="3"/>
  <c r="P6" i="3"/>
  <c r="E443" i="3"/>
  <c r="E508" i="3"/>
  <c r="E559" i="3"/>
  <c r="E269" i="3"/>
  <c r="E328" i="3"/>
  <c r="E338" i="3"/>
  <c r="E224" i="3"/>
  <c r="E552" i="3"/>
  <c r="E398" i="3"/>
  <c r="E329" i="3"/>
  <c r="E294" i="3"/>
  <c r="E193" i="3"/>
  <c r="E573" i="3"/>
  <c r="E527" i="3"/>
  <c r="I3" i="6"/>
  <c r="E554" i="3"/>
  <c r="E435" i="3"/>
  <c r="E417" i="3"/>
  <c r="E56" i="3"/>
  <c r="E477" i="3"/>
  <c r="E262" i="3"/>
  <c r="E227" i="3"/>
  <c r="E141" i="3"/>
  <c r="E416" i="3"/>
  <c r="E130" i="3"/>
  <c r="E529" i="3"/>
  <c r="E566" i="3"/>
  <c r="E90" i="3"/>
  <c r="E155" i="3"/>
  <c r="E348" i="3"/>
  <c r="E207" i="3"/>
  <c r="E169" i="3"/>
  <c r="E502" i="3"/>
  <c r="E430" i="3"/>
  <c r="E510" i="3"/>
  <c r="E230" i="3"/>
  <c r="E133" i="3"/>
  <c r="E437" i="3"/>
  <c r="E424" i="3"/>
  <c r="E505" i="3"/>
  <c r="AS6" i="3"/>
  <c r="E476" i="3"/>
  <c r="E447" i="3"/>
  <c r="E27" i="3"/>
  <c r="E162" i="3"/>
  <c r="E186" i="3"/>
  <c r="E210" i="3"/>
  <c r="E331" i="3"/>
  <c r="E384" i="3"/>
  <c r="E44" i="3"/>
  <c r="E441" i="3"/>
  <c r="E570" i="3"/>
  <c r="E91" i="3"/>
  <c r="E393" i="3"/>
  <c r="E427" i="3"/>
  <c r="E432" i="3"/>
  <c r="E128" i="3"/>
  <c r="E204" i="3"/>
  <c r="E117" i="3"/>
  <c r="E487" i="3"/>
  <c r="E407" i="3"/>
  <c r="E532" i="3"/>
  <c r="E288" i="3"/>
  <c r="E413" i="3"/>
  <c r="E39" i="3"/>
  <c r="E95" i="3"/>
  <c r="E132" i="3"/>
  <c r="E258" i="3"/>
  <c r="E292" i="3"/>
  <c r="E349" i="3"/>
  <c r="E122" i="3"/>
  <c r="E567" i="3"/>
  <c r="E321" i="3"/>
  <c r="E199" i="3"/>
  <c r="R6" i="3"/>
  <c r="E541" i="3"/>
  <c r="E305" i="3"/>
  <c r="E320" i="3"/>
  <c r="E197" i="3"/>
  <c r="E560" i="3"/>
  <c r="E406" i="3"/>
  <c r="E558" i="3"/>
  <c r="E581" i="3"/>
  <c r="E444" i="3"/>
  <c r="E404" i="3"/>
  <c r="E88" i="3"/>
  <c r="E121" i="3"/>
  <c r="E166" i="3"/>
  <c r="E295" i="3"/>
  <c r="E316" i="3"/>
  <c r="E334" i="3"/>
  <c r="E30" i="3"/>
  <c r="E480" i="3"/>
  <c r="E467" i="3"/>
  <c r="E189" i="3"/>
  <c r="E105" i="3"/>
  <c r="E543" i="3"/>
  <c r="E422" i="3"/>
  <c r="E556" i="3"/>
  <c r="E577" i="3"/>
  <c r="E468" i="3"/>
  <c r="E454" i="3"/>
  <c r="E106" i="3"/>
  <c r="E146" i="3"/>
  <c r="E171" i="3"/>
  <c r="E214" i="3"/>
  <c r="E315" i="3"/>
  <c r="E362" i="3"/>
  <c r="E74" i="3"/>
  <c r="E409" i="3"/>
  <c r="E79" i="3"/>
  <c r="E137" i="3"/>
  <c r="E299" i="3"/>
  <c r="AQ6" i="3"/>
  <c r="E440" i="3"/>
  <c r="E537" i="3"/>
  <c r="E475" i="3"/>
  <c r="E168" i="3"/>
  <c r="E257" i="3"/>
  <c r="E14" i="3"/>
  <c r="E460" i="3"/>
  <c r="E131" i="3"/>
  <c r="E297" i="3"/>
  <c r="E196" i="3"/>
  <c r="E353" i="3"/>
  <c r="E286" i="3"/>
  <c r="E466" i="3"/>
  <c r="E255" i="3"/>
  <c r="V6" i="3"/>
  <c r="E140" i="3"/>
  <c r="Q6" i="3"/>
  <c r="E481" i="3"/>
  <c r="E344" i="3"/>
  <c r="E547" i="3"/>
  <c r="E403" i="3"/>
  <c r="E546" i="3"/>
  <c r="E71" i="3"/>
  <c r="E92" i="3"/>
  <c r="E126" i="3"/>
  <c r="E272" i="3"/>
  <c r="E291" i="3"/>
  <c r="E317" i="3"/>
  <c r="AM6" i="3"/>
  <c r="E29" i="3"/>
  <c r="E425" i="3"/>
  <c r="E335" i="3"/>
  <c r="E116" i="3"/>
  <c r="E564" i="3"/>
  <c r="E507" i="3"/>
  <c r="E367" i="3"/>
  <c r="E236" i="3"/>
  <c r="E506" i="3"/>
  <c r="E542" i="3"/>
  <c r="E374" i="3"/>
  <c r="E223" i="3"/>
  <c r="E474" i="3"/>
  <c r="E500" i="3"/>
  <c r="E520" i="3"/>
  <c r="E37" i="3"/>
  <c r="E152" i="3"/>
  <c r="E192" i="3"/>
  <c r="E241" i="3"/>
  <c r="E363" i="3"/>
  <c r="E156" i="3"/>
  <c r="E271" i="3"/>
  <c r="E523" i="3"/>
  <c r="E290" i="3"/>
  <c r="E575" i="3"/>
  <c r="E442" i="3"/>
  <c r="E449" i="3"/>
  <c r="E358" i="3"/>
  <c r="E254" i="3"/>
  <c r="E330" i="3"/>
  <c r="E472" i="3"/>
  <c r="E465" i="3"/>
  <c r="E557" i="3"/>
  <c r="E531" i="3"/>
  <c r="E489" i="3"/>
  <c r="E28" i="3"/>
  <c r="E70" i="3"/>
  <c r="E182" i="3"/>
  <c r="E211" i="3"/>
  <c r="E273" i="3"/>
  <c r="E377" i="3"/>
  <c r="E572" i="3"/>
  <c r="E109" i="3"/>
  <c r="E484" i="3"/>
  <c r="AB6" i="3"/>
  <c r="E85" i="3"/>
  <c r="E493" i="3"/>
  <c r="E486" i="3"/>
  <c r="E490" i="3"/>
  <c r="E497" i="3"/>
  <c r="E429" i="3"/>
  <c r="E496" i="3"/>
  <c r="E55" i="3"/>
  <c r="E73" i="3"/>
  <c r="E203" i="3"/>
  <c r="E256" i="3"/>
  <c r="E274" i="3"/>
  <c r="E394" i="3"/>
  <c r="E580" i="3"/>
  <c r="E32" i="3"/>
  <c r="E15" i="3"/>
  <c r="E100" i="3"/>
  <c r="E234" i="3"/>
  <c r="E36" i="3"/>
  <c r="E471" i="3"/>
  <c r="E208" i="3"/>
  <c r="E93" i="3"/>
  <c r="E38" i="3"/>
  <c r="E339" i="3"/>
  <c r="E123" i="3"/>
  <c r="E248" i="3"/>
  <c r="E24" i="3"/>
  <c r="E355" i="3"/>
  <c r="E264" i="3"/>
  <c r="E142" i="3"/>
  <c r="E23" i="3"/>
  <c r="E251" i="3"/>
  <c r="E80" i="3"/>
  <c r="E308" i="3"/>
  <c r="E19" i="3"/>
  <c r="E125" i="3"/>
  <c r="E528" i="3"/>
  <c r="E388" i="3"/>
  <c r="E143" i="3"/>
  <c r="E501" i="3"/>
  <c r="E395" i="3"/>
  <c r="E516" i="3"/>
  <c r="E151" i="3"/>
  <c r="E544" i="3"/>
  <c r="E59" i="3"/>
  <c r="E446" i="3"/>
  <c r="E134" i="3"/>
  <c r="E369" i="3"/>
  <c r="E405" i="3"/>
  <c r="E408" i="3"/>
  <c r="E587" i="3"/>
  <c r="E498" i="3"/>
  <c r="E483" i="3"/>
  <c r="E463" i="3"/>
  <c r="E25" i="3"/>
  <c r="E178" i="3"/>
  <c r="E202" i="3"/>
  <c r="E226" i="3"/>
  <c r="E346" i="3"/>
  <c r="E372" i="3"/>
  <c r="E60" i="3"/>
  <c r="E428" i="3"/>
  <c r="E96" i="3"/>
  <c r="E174" i="3"/>
  <c r="E324" i="3"/>
  <c r="E35" i="3"/>
  <c r="E206" i="3"/>
  <c r="E209" i="3"/>
  <c r="E48" i="3"/>
  <c r="E341" i="3"/>
  <c r="E323" i="3"/>
  <c r="E200" i="3"/>
  <c r="E84" i="3"/>
  <c r="E340" i="3"/>
  <c r="E62" i="3"/>
  <c r="E365" i="3"/>
  <c r="E154" i="3"/>
  <c r="E217" i="3"/>
  <c r="E304" i="3"/>
  <c r="E302" i="3"/>
  <c r="E285" i="3"/>
  <c r="E530" i="3"/>
  <c r="E563" i="3"/>
  <c r="E509" i="3"/>
  <c r="E201" i="3"/>
  <c r="J6" i="3"/>
  <c r="E433" i="3"/>
  <c r="E111" i="3"/>
  <c r="E279" i="3"/>
  <c r="E318" i="3"/>
  <c r="E75" i="3"/>
  <c r="E170" i="3"/>
  <c r="E392" i="3"/>
  <c r="E47" i="3"/>
  <c r="E266" i="3"/>
  <c r="E87" i="3"/>
  <c r="Y6" i="3"/>
  <c r="E373" i="3"/>
  <c r="E267" i="3"/>
  <c r="E67" i="3"/>
  <c r="E370" i="3"/>
  <c r="E113" i="3"/>
  <c r="E326" i="3"/>
  <c r="E179" i="3"/>
  <c r="E366" i="3"/>
  <c r="E183" i="3"/>
  <c r="E555" i="3"/>
  <c r="E270" i="3"/>
  <c r="E153" i="3"/>
  <c r="E260" i="3"/>
  <c r="E569" i="3"/>
  <c r="E375" i="3"/>
  <c r="E58" i="3"/>
  <c r="E540" i="3"/>
  <c r="E514" i="3"/>
  <c r="E180" i="3"/>
  <c r="E525" i="3"/>
  <c r="E456" i="3"/>
  <c r="E451" i="3"/>
  <c r="W6" i="3"/>
  <c r="E494" i="3"/>
  <c r="E470" i="3"/>
  <c r="E26" i="3"/>
  <c r="E41" i="3"/>
  <c r="E198" i="3"/>
  <c r="E225" i="3"/>
  <c r="E243" i="3"/>
  <c r="E391" i="3"/>
  <c r="AL6" i="3"/>
  <c r="E94" i="3"/>
  <c r="E482" i="3"/>
  <c r="E78" i="3"/>
  <c r="E220" i="3"/>
  <c r="E383" i="3"/>
  <c r="E86" i="3"/>
  <c r="E98" i="3"/>
  <c r="E307" i="3"/>
  <c r="E127" i="3"/>
  <c r="E68" i="3"/>
  <c r="E21" i="3"/>
  <c r="E249" i="3"/>
  <c r="E33" i="3"/>
  <c r="E364" i="3"/>
  <c r="E176" i="3"/>
  <c r="E524" i="3"/>
  <c r="E222" i="3"/>
  <c r="E526" i="3"/>
  <c r="E565" i="3"/>
  <c r="O6" i="3"/>
  <c r="E97" i="3"/>
  <c r="E343" i="3"/>
  <c r="E172" i="3"/>
  <c r="E579" i="3"/>
  <c r="E311" i="3"/>
  <c r="E325" i="3"/>
  <c r="AH6" i="3"/>
  <c r="E54" i="3"/>
  <c r="E357" i="3"/>
  <c r="E473" i="3"/>
  <c r="E194" i="3"/>
  <c r="E52" i="3"/>
  <c r="E65" i="3"/>
  <c r="E386" i="3"/>
  <c r="E184" i="3"/>
  <c r="E51" i="3"/>
  <c r="E64" i="3"/>
  <c r="E300" i="3"/>
  <c r="E144" i="3"/>
  <c r="AF6" i="3"/>
  <c r="E158" i="3"/>
  <c r="E22" i="3"/>
  <c r="E283" i="3"/>
  <c r="E553" i="3"/>
  <c r="E361" i="3"/>
  <c r="E410" i="3"/>
  <c r="E53" i="3"/>
  <c r="E114" i="3"/>
  <c r="E550" i="3"/>
  <c r="E396" i="3"/>
  <c r="E389" i="3"/>
  <c r="E76" i="3"/>
  <c r="E462" i="3"/>
  <c r="E387" i="3"/>
  <c r="E238" i="3"/>
  <c r="E534" i="3"/>
  <c r="E469" i="3"/>
  <c r="E360" i="3"/>
  <c r="AE6" i="3"/>
  <c r="E419" i="3"/>
  <c r="E401" i="3"/>
  <c r="E40" i="3"/>
  <c r="E108" i="3"/>
  <c r="E119" i="3"/>
  <c r="E242" i="3"/>
  <c r="E276" i="3"/>
  <c r="E333" i="3"/>
  <c r="L6" i="3"/>
  <c r="E43" i="3"/>
  <c r="E412" i="3"/>
  <c r="E129" i="3"/>
  <c r="E275" i="3"/>
  <c r="E342" i="3"/>
  <c r="E34" i="3"/>
  <c r="E138" i="3"/>
  <c r="E354" i="3"/>
  <c r="E250" i="3"/>
  <c r="E63" i="3"/>
  <c r="E46" i="3"/>
  <c r="E371" i="3"/>
  <c r="E147" i="3"/>
  <c r="E50" i="3"/>
  <c r="E218" i="3"/>
  <c r="E101" i="3"/>
  <c r="E309" i="3"/>
  <c r="E268" i="3"/>
  <c r="E213" i="3"/>
  <c r="E574" i="3"/>
  <c r="E390" i="3"/>
  <c r="E69" i="3"/>
  <c r="E445" i="3"/>
  <c r="E431" i="3"/>
  <c r="E376" i="3"/>
  <c r="E450" i="3"/>
  <c r="E72" i="3"/>
  <c r="E150" i="3"/>
  <c r="E351" i="3"/>
  <c r="E31" i="3"/>
  <c r="E455" i="3"/>
  <c r="E219" i="3"/>
  <c r="E112" i="3"/>
  <c r="E195" i="3"/>
  <c r="E584" i="3"/>
  <c r="E233" i="3"/>
  <c r="E81" i="3"/>
  <c r="E103" i="3"/>
  <c r="E310" i="3"/>
  <c r="E232" i="3"/>
  <c r="E102" i="3"/>
  <c r="E287" i="3"/>
  <c r="E83" i="3"/>
  <c r="E513" i="3"/>
  <c r="E261" i="3"/>
  <c r="E503" i="3"/>
  <c r="E337" i="3"/>
  <c r="E319" i="3"/>
  <c r="E415" i="3"/>
  <c r="E239" i="3"/>
  <c r="E229" i="3"/>
  <c r="E504" i="3"/>
  <c r="E110" i="3"/>
  <c r="E521" i="3"/>
  <c r="E215" i="3"/>
  <c r="E173" i="3"/>
  <c r="T6" i="3"/>
  <c r="E512" i="3"/>
  <c r="E562" i="3"/>
  <c r="E571" i="3"/>
  <c r="E452" i="3"/>
  <c r="E420" i="3"/>
  <c r="E104" i="3"/>
  <c r="E115" i="3"/>
  <c r="E139" i="3"/>
  <c r="E281" i="3"/>
  <c r="E332" i="3"/>
  <c r="E356" i="3"/>
  <c r="E42" i="3"/>
  <c r="E488" i="3"/>
  <c r="E18" i="3"/>
  <c r="E190" i="3"/>
  <c r="E235" i="3"/>
  <c r="E522" i="3"/>
  <c r="E49" i="3"/>
  <c r="E163" i="3"/>
  <c r="E66" i="3"/>
  <c r="E284" i="3"/>
  <c r="E118" i="3"/>
  <c r="E160" i="3"/>
  <c r="E492" i="3"/>
  <c r="E289" i="3"/>
  <c r="E20" i="3"/>
  <c r="E265" i="3"/>
  <c r="E381" i="3"/>
  <c r="E82" i="3"/>
  <c r="E237" i="3"/>
  <c r="E17" i="3"/>
  <c r="E359" i="3"/>
  <c r="E175" i="3"/>
  <c r="E278" i="3"/>
  <c r="E535" i="3"/>
  <c r="E247" i="3"/>
  <c r="K6" i="3"/>
  <c r="AD6" i="3"/>
  <c r="AC6" i="3" s="1"/>
  <c r="I6" i="3"/>
  <c r="C7" i="12"/>
  <c r="K6" i="1"/>
  <c r="G27" i="6"/>
  <c r="G31" i="6" s="1"/>
  <c r="E20" i="6"/>
  <c r="E27" i="6" s="1"/>
  <c r="E62" i="39"/>
  <c r="E57" i="40"/>
  <c r="F57" i="40" s="1"/>
  <c r="E63" i="39"/>
  <c r="E58" i="40"/>
  <c r="F58" i="40" s="1"/>
  <c r="E64" i="39"/>
  <c r="E59" i="40"/>
  <c r="F59" i="40" s="1"/>
  <c r="C66" i="77"/>
  <c r="C60" i="77"/>
  <c r="Z7" i="43"/>
  <c r="J22" i="43"/>
  <c r="AJ11" i="43"/>
  <c r="AJ13" i="43" s="1"/>
  <c r="AB11" i="43"/>
  <c r="AB13" i="43" s="1"/>
  <c r="G22" i="43"/>
  <c r="H22" i="43"/>
  <c r="AF11" i="43"/>
  <c r="AF13" i="43" s="1"/>
  <c r="F22" i="43"/>
  <c r="AD11" i="43"/>
  <c r="AD13" i="43" s="1"/>
  <c r="Z11" i="43"/>
  <c r="Z13" i="43" s="1"/>
  <c r="AE11" i="43"/>
  <c r="AE13" i="43" s="1"/>
  <c r="N104" i="46"/>
  <c r="S5" i="43"/>
  <c r="T5" i="43" s="1"/>
  <c r="V5" i="43" s="1"/>
  <c r="AH11" i="43"/>
  <c r="AH13" i="43" s="1"/>
  <c r="AI11" i="43"/>
  <c r="AI13" i="43" s="1"/>
  <c r="AA11" i="43"/>
  <c r="AA13" i="43" s="1"/>
  <c r="S3" i="43"/>
  <c r="T3" i="43" s="1"/>
  <c r="V3" i="43" s="1"/>
  <c r="S2" i="43"/>
  <c r="T2" i="43" s="1"/>
  <c r="V2" i="43" s="1"/>
  <c r="S7" i="43"/>
  <c r="T7" i="43" s="1"/>
  <c r="V7" i="43" s="1"/>
  <c r="S4" i="43"/>
  <c r="T4" i="43" s="1"/>
  <c r="V4" i="43" s="1"/>
  <c r="AG11" i="43"/>
  <c r="AG13" i="43" s="1"/>
  <c r="AC11" i="43"/>
  <c r="AC13" i="43" s="1"/>
  <c r="Y11" i="43"/>
  <c r="Y13" i="43" s="1"/>
  <c r="S6" i="43"/>
  <c r="T6" i="43" s="1"/>
  <c r="V6" i="43" s="1"/>
  <c r="G101" i="43"/>
  <c r="F101" i="43"/>
  <c r="E101" i="43"/>
  <c r="M101" i="43"/>
  <c r="L101" i="43"/>
  <c r="I101" i="43"/>
  <c r="D101" i="43"/>
  <c r="C101" i="43"/>
  <c r="H101" i="43"/>
  <c r="J101" i="43"/>
  <c r="N101" i="43"/>
  <c r="K101" i="43"/>
  <c r="E22" i="43"/>
  <c r="B113" i="43"/>
  <c r="C23" i="43"/>
  <c r="C21" i="43" s="1"/>
  <c r="H11" i="39"/>
  <c r="F11" i="39"/>
  <c r="J11" i="39"/>
  <c r="E13" i="3"/>
  <c r="M6" i="3"/>
  <c r="E61" i="39"/>
  <c r="E56" i="40"/>
  <c r="F56" i="40" s="1"/>
  <c r="E65" i="39"/>
  <c r="E60" i="40"/>
  <c r="F60" i="40" s="1"/>
  <c r="E16" i="6"/>
  <c r="E56" i="39"/>
  <c r="E51" i="40"/>
  <c r="F51" i="40" s="1"/>
  <c r="C38" i="77"/>
  <c r="C33" i="77"/>
  <c r="C32" i="77"/>
  <c r="J10" i="77"/>
  <c r="J5" i="77" s="1"/>
  <c r="F7" i="15"/>
  <c r="M29" i="15"/>
  <c r="F43" i="15"/>
  <c r="F71" i="15" l="1"/>
  <c r="M7" i="15"/>
  <c r="J6" i="15" s="1"/>
  <c r="F50" i="15"/>
  <c r="C49" i="15" s="1"/>
  <c r="C48" i="15" s="1"/>
  <c r="C6" i="15"/>
  <c r="K22" i="6"/>
  <c r="M22" i="6" s="1"/>
  <c r="I22" i="6" s="1"/>
  <c r="S22" i="6" s="1"/>
  <c r="K23" i="6"/>
  <c r="M23" i="6" s="1"/>
  <c r="I23" i="6" s="1"/>
  <c r="S23" i="6" s="1"/>
  <c r="K26" i="6"/>
  <c r="M26" i="6" s="1"/>
  <c r="I26" i="6" s="1"/>
  <c r="S26" i="6" s="1"/>
  <c r="K21" i="6"/>
  <c r="M21" i="6" s="1"/>
  <c r="I21" i="6" s="1"/>
  <c r="S21" i="6" s="1"/>
  <c r="K25" i="6"/>
  <c r="M25" i="6" s="1"/>
  <c r="I25" i="6" s="1"/>
  <c r="S25" i="6" s="1"/>
  <c r="K24" i="6"/>
  <c r="M24" i="6" s="1"/>
  <c r="I24" i="6" s="1"/>
  <c r="S24" i="6" s="1"/>
  <c r="E31" i="6"/>
  <c r="K19" i="6"/>
  <c r="J24" i="77"/>
  <c r="J26" i="77"/>
  <c r="J29" i="77" s="1"/>
  <c r="J18" i="77"/>
  <c r="AC11" i="39"/>
  <c r="W11" i="39"/>
  <c r="U11" i="39"/>
  <c r="AB11" i="39"/>
  <c r="G118" i="43"/>
  <c r="H118" i="43" s="1"/>
  <c r="B116" i="43"/>
  <c r="C116" i="43" s="1"/>
  <c r="B118" i="43"/>
  <c r="C118" i="43" s="1"/>
  <c r="D117" i="43"/>
  <c r="E117" i="43" s="1"/>
  <c r="F117" i="43" s="1"/>
  <c r="G117" i="43" s="1"/>
  <c r="H117" i="43" s="1"/>
  <c r="I115" i="43"/>
  <c r="J115" i="43" s="1"/>
  <c r="K115" i="43" s="1"/>
  <c r="L115" i="43" s="1"/>
  <c r="M115" i="43" s="1"/>
  <c r="D116" i="43"/>
  <c r="E116" i="43" s="1"/>
  <c r="F116" i="43" s="1"/>
  <c r="G116" i="43" s="1"/>
  <c r="H116" i="43" s="1"/>
  <c r="D118" i="43"/>
  <c r="E118" i="43" s="1"/>
  <c r="F118" i="43" s="1"/>
  <c r="I116" i="43"/>
  <c r="J116" i="43" s="1"/>
  <c r="K116" i="43" s="1"/>
  <c r="L116" i="43" s="1"/>
  <c r="M116" i="43" s="1"/>
  <c r="B117" i="43"/>
  <c r="C117" i="43" s="1"/>
  <c r="D115" i="43"/>
  <c r="E115" i="43" s="1"/>
  <c r="F115" i="43" s="1"/>
  <c r="G115" i="43" s="1"/>
  <c r="H115" i="43" s="1"/>
  <c r="I117" i="43"/>
  <c r="J117" i="43" s="1"/>
  <c r="K117" i="43" s="1"/>
  <c r="L117" i="43" s="1"/>
  <c r="M117" i="43" s="1"/>
  <c r="I118" i="43"/>
  <c r="J118" i="43" s="1"/>
  <c r="K118" i="43" s="1"/>
  <c r="L118" i="43" s="1"/>
  <c r="M118" i="43" s="1"/>
  <c r="B115" i="43"/>
  <c r="K105" i="43"/>
  <c r="K109" i="43"/>
  <c r="K102" i="43"/>
  <c r="K107" i="43"/>
  <c r="K104" i="43"/>
  <c r="K106" i="43"/>
  <c r="K103" i="43"/>
  <c r="J106" i="43"/>
  <c r="J103" i="43"/>
  <c r="J109" i="43"/>
  <c r="J105" i="43"/>
  <c r="J107" i="43"/>
  <c r="J102" i="43"/>
  <c r="J104" i="43"/>
  <c r="C109" i="43"/>
  <c r="C106" i="43"/>
  <c r="C104" i="43"/>
  <c r="C105" i="43"/>
  <c r="C102" i="43"/>
  <c r="C107" i="43"/>
  <c r="C103" i="43"/>
  <c r="I105" i="43"/>
  <c r="I107" i="43"/>
  <c r="I104" i="43"/>
  <c r="I102" i="43"/>
  <c r="I106" i="43"/>
  <c r="I103" i="43"/>
  <c r="I109" i="43"/>
  <c r="M102" i="43"/>
  <c r="M103" i="43"/>
  <c r="M109" i="43"/>
  <c r="M105" i="43"/>
  <c r="M106" i="43"/>
  <c r="M104" i="43"/>
  <c r="M107" i="43"/>
  <c r="F104" i="43"/>
  <c r="F105" i="43"/>
  <c r="F102" i="43"/>
  <c r="F107" i="43"/>
  <c r="F106" i="43"/>
  <c r="F109" i="43"/>
  <c r="F103" i="43"/>
  <c r="H6" i="3"/>
  <c r="E6" i="3" s="1"/>
  <c r="AY83" i="3"/>
  <c r="AY28" i="3"/>
  <c r="AY141" i="3"/>
  <c r="AY454" i="3"/>
  <c r="AY205" i="3"/>
  <c r="AY41" i="3"/>
  <c r="AY414" i="3"/>
  <c r="AY245" i="3"/>
  <c r="AY478" i="3"/>
  <c r="AY181" i="3"/>
  <c r="AY518" i="3"/>
  <c r="AY352" i="3"/>
  <c r="AY377" i="3"/>
  <c r="AY16" i="3"/>
  <c r="AY328" i="3"/>
  <c r="AY538" i="3"/>
  <c r="AY46" i="3"/>
  <c r="AY59" i="3"/>
  <c r="AY554" i="3"/>
  <c r="AY384" i="3"/>
  <c r="AY525" i="3"/>
  <c r="AY235" i="3"/>
  <c r="AY114" i="3"/>
  <c r="AY561" i="3"/>
  <c r="AY223" i="3"/>
  <c r="AY415" i="3"/>
  <c r="AY99" i="3"/>
  <c r="AY232" i="3"/>
  <c r="AY456" i="3"/>
  <c r="BL6" i="3"/>
  <c r="AY184" i="3"/>
  <c r="AY241" i="3"/>
  <c r="AY338" i="3"/>
  <c r="BD6" i="3"/>
  <c r="AY434" i="3"/>
  <c r="AY285" i="3"/>
  <c r="AY69" i="3"/>
  <c r="AY577" i="3"/>
  <c r="AY491" i="3"/>
  <c r="AY476" i="3"/>
  <c r="AY156" i="3"/>
  <c r="AY558" i="3"/>
  <c r="AY128" i="3"/>
  <c r="AY448" i="3"/>
  <c r="AY73" i="3"/>
  <c r="AY388" i="3"/>
  <c r="AY430" i="3"/>
  <c r="BG6" i="3"/>
  <c r="AY158" i="3"/>
  <c r="AY344" i="3"/>
  <c r="AY442" i="3"/>
  <c r="AY499" i="3"/>
  <c r="AY545" i="3"/>
  <c r="AY62" i="3"/>
  <c r="AY301" i="3"/>
  <c r="AY359" i="3"/>
  <c r="AY408" i="3"/>
  <c r="AY107" i="3"/>
  <c r="AY164" i="3"/>
  <c r="AY240" i="3"/>
  <c r="AY477" i="3"/>
  <c r="AY566" i="3"/>
  <c r="BK6" i="3"/>
  <c r="AY469" i="3"/>
  <c r="AY560" i="3"/>
  <c r="AY38" i="3"/>
  <c r="AY277" i="3"/>
  <c r="AY354" i="3"/>
  <c r="AY429" i="3"/>
  <c r="BH6" i="3"/>
  <c r="AY259" i="3"/>
  <c r="AY472" i="3"/>
  <c r="AY571" i="3"/>
  <c r="AY48" i="3"/>
  <c r="AY364" i="3"/>
  <c r="AY453" i="3"/>
  <c r="AY579" i="3"/>
  <c r="AY551" i="3"/>
  <c r="AY79" i="3"/>
  <c r="AY151" i="3"/>
  <c r="AY394" i="3"/>
  <c r="AY451" i="3"/>
  <c r="AY568" i="3"/>
  <c r="AY200" i="3"/>
  <c r="AY257" i="3"/>
  <c r="AY307" i="3"/>
  <c r="AY521" i="3"/>
  <c r="AY82" i="3"/>
  <c r="AY540" i="3"/>
  <c r="AY258" i="3"/>
  <c r="AY508" i="3"/>
  <c r="AY321" i="3"/>
  <c r="AY317" i="3"/>
  <c r="AY514" i="3"/>
  <c r="AY479" i="3"/>
  <c r="AY524" i="3"/>
  <c r="AY192" i="3"/>
  <c r="AY346" i="3"/>
  <c r="AY517" i="3"/>
  <c r="AY70" i="3"/>
  <c r="AY119" i="3"/>
  <c r="AY367" i="3"/>
  <c r="AY416" i="3"/>
  <c r="AY498" i="3"/>
  <c r="AY295" i="3"/>
  <c r="AY475" i="3"/>
  <c r="AY534" i="3"/>
  <c r="AY65" i="3"/>
  <c r="AY380" i="3"/>
  <c r="AY468" i="3"/>
  <c r="AY407" i="3"/>
  <c r="AY537" i="3"/>
  <c r="AY110" i="3"/>
  <c r="AY140" i="3"/>
  <c r="AY216" i="3"/>
  <c r="AY482" i="3"/>
  <c r="AY528" i="3"/>
  <c r="AY22" i="3"/>
  <c r="AY288" i="3"/>
  <c r="AY339" i="3"/>
  <c r="AY413" i="3"/>
  <c r="AY331" i="3"/>
  <c r="AY35" i="3"/>
  <c r="AY564" i="3"/>
  <c r="AY304" i="3"/>
  <c r="AY584" i="3"/>
  <c r="AY349" i="3"/>
  <c r="AY337" i="3"/>
  <c r="AY559" i="3"/>
  <c r="AY121" i="3"/>
  <c r="AY557" i="3"/>
  <c r="AY342" i="3"/>
  <c r="AY153" i="3"/>
  <c r="AY543" i="3"/>
  <c r="AY406" i="3"/>
  <c r="AY275" i="3"/>
  <c r="AY286" i="3"/>
  <c r="AY573" i="3"/>
  <c r="AY118" i="3"/>
  <c r="AY452" i="3"/>
  <c r="AY66" i="3"/>
  <c r="AY470" i="3"/>
  <c r="AY31" i="3"/>
  <c r="AY553" i="3"/>
  <c r="AY246" i="3"/>
  <c r="AY43" i="3"/>
  <c r="AY555" i="3"/>
  <c r="AY178" i="3"/>
  <c r="AY198" i="3"/>
  <c r="AY49" i="3"/>
  <c r="AY457" i="3"/>
  <c r="AY445" i="3"/>
  <c r="AY135" i="3"/>
  <c r="AY512" i="3"/>
  <c r="AY273" i="3"/>
  <c r="AY550" i="3"/>
  <c r="AY242" i="3"/>
  <c r="AY495" i="3"/>
  <c r="AY329" i="3"/>
  <c r="AY506" i="3"/>
  <c r="AY47" i="3"/>
  <c r="AY383" i="3"/>
  <c r="AY576" i="3"/>
  <c r="AY272" i="3"/>
  <c r="AY15" i="3"/>
  <c r="AY94" i="3"/>
  <c r="AY369" i="3"/>
  <c r="AY290" i="3"/>
  <c r="AY516" i="3"/>
  <c r="AY74" i="3"/>
  <c r="AY21" i="3"/>
  <c r="AY449" i="3"/>
  <c r="AY173" i="3"/>
  <c r="AY45" i="3"/>
  <c r="AY115" i="3"/>
  <c r="AY350" i="3"/>
  <c r="AY357" i="3"/>
  <c r="AY85" i="3"/>
  <c r="AY254" i="3"/>
  <c r="AY57" i="3"/>
  <c r="AY393" i="3"/>
  <c r="AY144" i="3"/>
  <c r="AY253" i="3"/>
  <c r="AY529" i="3"/>
  <c r="AY463" i="3"/>
  <c r="AY237" i="3"/>
  <c r="AY447" i="3"/>
  <c r="AY61" i="3"/>
  <c r="AY133" i="3"/>
  <c r="AY397" i="3"/>
  <c r="AY261" i="3"/>
  <c r="AY314" i="3"/>
  <c r="AY187" i="3"/>
  <c r="AY502" i="3"/>
  <c r="AY492" i="3"/>
  <c r="AY519" i="3"/>
  <c r="AY332" i="3"/>
  <c r="AY305" i="3"/>
  <c r="AY556" i="3"/>
  <c r="AY370" i="3"/>
  <c r="AY105" i="3"/>
  <c r="AY292" i="3"/>
  <c r="AY113" i="3"/>
  <c r="AY169" i="3"/>
  <c r="AY570" i="3"/>
  <c r="AY486" i="3"/>
  <c r="AY309" i="3"/>
  <c r="AY336" i="3"/>
  <c r="AY96" i="3"/>
  <c r="AY565" i="3"/>
  <c r="AY362" i="3"/>
  <c r="AY55" i="3"/>
  <c r="AY391" i="3"/>
  <c r="AY586" i="3"/>
  <c r="AY145" i="3"/>
  <c r="AY316" i="3"/>
  <c r="AY585" i="3"/>
  <c r="AY101" i="3"/>
  <c r="AY234" i="3"/>
  <c r="AY484" i="3"/>
  <c r="AY423" i="3"/>
  <c r="AY515" i="3"/>
  <c r="AY493" i="3"/>
  <c r="AY172" i="3"/>
  <c r="AY248" i="3"/>
  <c r="AY485" i="3"/>
  <c r="AY547" i="3"/>
  <c r="AY54" i="3"/>
  <c r="AY293" i="3"/>
  <c r="AY351" i="3"/>
  <c r="AY400" i="3"/>
  <c r="AY371" i="3"/>
  <c r="AY363" i="3"/>
  <c r="AY437" i="3"/>
  <c r="AY91" i="3"/>
  <c r="AY148" i="3"/>
  <c r="AY224" i="3"/>
  <c r="AY490" i="3"/>
  <c r="AY511" i="3"/>
  <c r="AY202" i="3"/>
  <c r="AY333" i="3"/>
  <c r="AY411" i="3"/>
  <c r="AY494" i="3"/>
  <c r="AY287" i="3"/>
  <c r="AY487" i="3"/>
  <c r="AY410" i="3"/>
  <c r="AY522" i="3"/>
  <c r="BP6" i="3"/>
  <c r="AY19" i="3"/>
  <c r="AY265" i="3"/>
  <c r="AY315" i="3"/>
  <c r="AY500" i="3"/>
  <c r="AY71" i="3"/>
  <c r="AY143" i="3"/>
  <c r="AY386" i="3"/>
  <c r="AY443" i="3"/>
  <c r="BT6" i="3"/>
  <c r="AY294" i="3"/>
  <c r="AY255" i="3"/>
  <c r="AY435" i="3"/>
  <c r="AY122" i="3"/>
  <c r="AY197" i="3"/>
  <c r="AY581" i="3"/>
  <c r="AY282" i="3"/>
  <c r="AY402" i="3"/>
  <c r="AY578" i="3"/>
  <c r="AY249" i="3"/>
  <c r="AY424" i="3"/>
  <c r="AY587" i="3"/>
  <c r="AY179" i="3"/>
  <c r="AY256" i="3"/>
  <c r="AY306" i="3"/>
  <c r="BC6" i="3"/>
  <c r="AY56" i="3"/>
  <c r="AY353" i="3"/>
  <c r="AY398" i="3"/>
  <c r="AY501" i="3"/>
  <c r="AY137" i="3"/>
  <c r="AY312" i="3"/>
  <c r="AY426" i="3"/>
  <c r="AY14" i="3"/>
  <c r="AY548" i="3"/>
  <c r="AY30" i="3"/>
  <c r="AY296" i="3"/>
  <c r="AY347" i="3"/>
  <c r="AY421" i="3"/>
  <c r="AY102" i="3"/>
  <c r="AY175" i="3"/>
  <c r="AY208" i="3"/>
  <c r="AY474" i="3"/>
  <c r="AY583" i="3"/>
  <c r="AY280" i="3"/>
  <c r="AY531" i="3"/>
  <c r="AY418" i="3"/>
  <c r="AY129" i="3"/>
  <c r="AY427" i="3"/>
  <c r="AY24" i="3"/>
  <c r="AY142" i="3"/>
  <c r="AY422" i="3"/>
  <c r="AY291" i="3"/>
  <c r="AY138" i="3"/>
  <c r="AY396" i="3"/>
  <c r="AY81" i="3"/>
  <c r="AY572" i="3"/>
  <c r="AY483" i="3"/>
  <c r="AY507" i="3"/>
  <c r="AY20" i="3"/>
  <c r="AY204" i="3"/>
  <c r="AY404" i="3"/>
  <c r="AY268" i="3"/>
  <c r="AY276" i="3"/>
  <c r="AY358" i="3"/>
  <c r="AY244" i="3"/>
  <c r="AY170" i="3"/>
  <c r="AY139" i="3"/>
  <c r="AY535" i="3"/>
  <c r="AY68" i="3"/>
  <c r="AY117" i="3"/>
  <c r="AY467" i="3"/>
  <c r="BJ6" i="3"/>
  <c r="AY37" i="3"/>
  <c r="AY542" i="3"/>
  <c r="AY466" i="3"/>
  <c r="AY27" i="3"/>
  <c r="AY323" i="3"/>
  <c r="AY109" i="3"/>
  <c r="AY462" i="3"/>
  <c r="AY194" i="3"/>
  <c r="AY458" i="3"/>
  <c r="AY530" i="3"/>
  <c r="AY120" i="3"/>
  <c r="AY440" i="3"/>
  <c r="AY195" i="3"/>
  <c r="AY322" i="3"/>
  <c r="AY221" i="3"/>
  <c r="AY399" i="3"/>
  <c r="BF6" i="3"/>
  <c r="AY218" i="3"/>
  <c r="AY368" i="3"/>
  <c r="AY58" i="3"/>
  <c r="AY520" i="3"/>
  <c r="AY29" i="3"/>
  <c r="AY343" i="3"/>
  <c r="AY106" i="3"/>
  <c r="AY180" i="3"/>
  <c r="AY60" i="3"/>
  <c r="AY326" i="3"/>
  <c r="AY157" i="3"/>
  <c r="AY365" i="3"/>
  <c r="AY130" i="3"/>
  <c r="AY87" i="3"/>
  <c r="AY152" i="3"/>
  <c r="AY303" i="3"/>
  <c r="AY217" i="3"/>
  <c r="AY171" i="3"/>
  <c r="AY526" i="3"/>
  <c r="AY533" i="3"/>
  <c r="AY190" i="3"/>
  <c r="AY247" i="3"/>
  <c r="AY50" i="3"/>
  <c r="AY455" i="3"/>
  <c r="AY264" i="3"/>
  <c r="BA6" i="3"/>
  <c r="AY431" i="3"/>
  <c r="AY266" i="3"/>
  <c r="BM6" i="3"/>
  <c r="AY177" i="3"/>
  <c r="AY298" i="3"/>
  <c r="AY403" i="3"/>
  <c r="AY238" i="3"/>
  <c r="AY214" i="3"/>
  <c r="AY23" i="3"/>
  <c r="AY64" i="3"/>
  <c r="AY536" i="3"/>
  <c r="AY480" i="3"/>
  <c r="AY88" i="3"/>
  <c r="AY193" i="3"/>
  <c r="AY412" i="3"/>
  <c r="AY541" i="3"/>
  <c r="AY318" i="3"/>
  <c r="AY297" i="3"/>
  <c r="AY465" i="3"/>
  <c r="AY481" i="3"/>
  <c r="AY149" i="3"/>
  <c r="AY123" i="3"/>
  <c r="AY562" i="3"/>
  <c r="AY36" i="3"/>
  <c r="AY302" i="3"/>
  <c r="BS6" i="3"/>
  <c r="AY279" i="3"/>
  <c r="AY51" i="3"/>
  <c r="AY281" i="3"/>
  <c r="AY473" i="3"/>
  <c r="AY372" i="3"/>
  <c r="AY90" i="3"/>
  <c r="AY269" i="3"/>
  <c r="BE6" i="3"/>
  <c r="AY125" i="3"/>
  <c r="AY374" i="3"/>
  <c r="BB6" i="3"/>
  <c r="AY385" i="3"/>
  <c r="AY546" i="3"/>
  <c r="AY505" i="3"/>
  <c r="AY378" i="3"/>
  <c r="AY86" i="3"/>
  <c r="AY213" i="3"/>
  <c r="AY504" i="3"/>
  <c r="AY348" i="3"/>
  <c r="AY582" i="3"/>
  <c r="AY471" i="3"/>
  <c r="AY575" i="3"/>
  <c r="AY203" i="3"/>
  <c r="AY330" i="3"/>
  <c r="AY39" i="3"/>
  <c r="AY375" i="3"/>
  <c r="AY567" i="3"/>
  <c r="AY509" i="3"/>
  <c r="AY80" i="3"/>
  <c r="AY320" i="3"/>
  <c r="AY308" i="3"/>
  <c r="AY355" i="3"/>
  <c r="AY496" i="3"/>
  <c r="AY341" i="3"/>
  <c r="AY100" i="3"/>
  <c r="AY220" i="3"/>
  <c r="AY225" i="3"/>
  <c r="AY513" i="3"/>
  <c r="AY252" i="3"/>
  <c r="AY25" i="3"/>
  <c r="AY211" i="3"/>
  <c r="AY186" i="3"/>
  <c r="AY325" i="3"/>
  <c r="AY95" i="3"/>
  <c r="AY382" i="3"/>
  <c r="AY300" i="3"/>
  <c r="AY98" i="3"/>
  <c r="AY334" i="3"/>
  <c r="AY549" i="3"/>
  <c r="AY44" i="3"/>
  <c r="AY283" i="3"/>
  <c r="AY360" i="3"/>
  <c r="AY209" i="3"/>
  <c r="AY376" i="3"/>
  <c r="AY78" i="3"/>
  <c r="AY17" i="3"/>
  <c r="AY313" i="3"/>
  <c r="AY510" i="3"/>
  <c r="AY210" i="3"/>
  <c r="AY361" i="3"/>
  <c r="AY527" i="3"/>
  <c r="AY72" i="3"/>
  <c r="AY229" i="3"/>
  <c r="AY428" i="3"/>
  <c r="AY174" i="3"/>
  <c r="AY552" i="3"/>
  <c r="AY438" i="3"/>
  <c r="AY161" i="3"/>
  <c r="AY134" i="3"/>
  <c r="AY417" i="3"/>
  <c r="AY201" i="3"/>
  <c r="AY395" i="3"/>
  <c r="AY188" i="3"/>
  <c r="AY228" i="3"/>
  <c r="AY425" i="3"/>
  <c r="AY206" i="3"/>
  <c r="AY67" i="3"/>
  <c r="AY436" i="3"/>
  <c r="AY53" i="3"/>
  <c r="AY126" i="3"/>
  <c r="AY389" i="3"/>
  <c r="AY150" i="3"/>
  <c r="AY340" i="3"/>
  <c r="AY42" i="3"/>
  <c r="AY366" i="3"/>
  <c r="AY260" i="3"/>
  <c r="AY18" i="3"/>
  <c r="AY444" i="3"/>
  <c r="AY544" i="3"/>
  <c r="AY33" i="3"/>
  <c r="AY278" i="3"/>
  <c r="AY103" i="3"/>
  <c r="AY319" i="3"/>
  <c r="AY185" i="3"/>
  <c r="AY497" i="3"/>
  <c r="AY532" i="3"/>
  <c r="AY419" i="3"/>
  <c r="AY215" i="3"/>
  <c r="AY270" i="3"/>
  <c r="AY539" i="3"/>
  <c r="AY231" i="3"/>
  <c r="AY132" i="3"/>
  <c r="AY176" i="3"/>
  <c r="AY409" i="3"/>
  <c r="AY147" i="3"/>
  <c r="AY77" i="3"/>
  <c r="AY392" i="3"/>
  <c r="AY379" i="3"/>
  <c r="AY89" i="3"/>
  <c r="AY146" i="3"/>
  <c r="AY222" i="3"/>
  <c r="AY40" i="3"/>
  <c r="AY356" i="3"/>
  <c r="AY124" i="3"/>
  <c r="AY236" i="3"/>
  <c r="AY26" i="3"/>
  <c r="AY420" i="3"/>
  <c r="AY387" i="3"/>
  <c r="AY401" i="3"/>
  <c r="AY76" i="3"/>
  <c r="AY262" i="3"/>
  <c r="AY284" i="3"/>
  <c r="BN6" i="3"/>
  <c r="AY274" i="3"/>
  <c r="AY345" i="3"/>
  <c r="AY63" i="3"/>
  <c r="AY405" i="3"/>
  <c r="AY159" i="3"/>
  <c r="AY459" i="3"/>
  <c r="AY166" i="3"/>
  <c r="BQ6" i="3"/>
  <c r="AY251" i="3"/>
  <c r="AY439" i="3"/>
  <c r="AY563" i="3"/>
  <c r="AY233" i="3"/>
  <c r="AY13" i="3"/>
  <c r="AY136" i="3"/>
  <c r="AY432" i="3"/>
  <c r="AY167" i="3"/>
  <c r="AY461" i="3"/>
  <c r="AY488" i="3"/>
  <c r="AY112" i="3"/>
  <c r="AY52" i="3"/>
  <c r="AY267" i="3"/>
  <c r="AY503" i="3"/>
  <c r="AY227" i="3"/>
  <c r="AY381" i="3"/>
  <c r="AY155" i="3"/>
  <c r="AY433" i="3"/>
  <c r="AY299" i="3"/>
  <c r="AY574" i="3"/>
  <c r="AY271" i="3"/>
  <c r="BI6" i="3"/>
  <c r="AY243" i="3"/>
  <c r="AY34" i="3"/>
  <c r="AY111" i="3"/>
  <c r="AY460" i="3"/>
  <c r="AY327" i="3"/>
  <c r="AY163" i="3"/>
  <c r="AY390" i="3"/>
  <c r="AY97" i="3"/>
  <c r="AY154" i="3"/>
  <c r="AY230" i="3"/>
  <c r="AY289" i="3"/>
  <c r="AY116" i="3"/>
  <c r="AY127" i="3"/>
  <c r="BR6" i="3"/>
  <c r="AY450" i="3"/>
  <c r="AY189" i="3"/>
  <c r="AY446" i="3"/>
  <c r="AY104" i="3"/>
  <c r="AY32" i="3"/>
  <c r="AY464" i="3"/>
  <c r="AY162" i="3"/>
  <c r="AY108" i="3"/>
  <c r="AY250" i="3"/>
  <c r="AY523" i="3"/>
  <c r="AY580" i="3"/>
  <c r="AY324" i="3"/>
  <c r="AY373" i="3"/>
  <c r="AY84" i="3"/>
  <c r="AY196" i="3"/>
  <c r="AY199" i="3"/>
  <c r="AY131" i="3"/>
  <c r="AY335" i="3"/>
  <c r="AY191" i="3"/>
  <c r="AY569" i="3"/>
  <c r="AY263" i="3"/>
  <c r="AY489" i="3"/>
  <c r="BO6" i="3"/>
  <c r="AY182" i="3"/>
  <c r="AY239" i="3"/>
  <c r="AY93" i="3"/>
  <c r="AY226" i="3"/>
  <c r="AY207" i="3"/>
  <c r="AY168" i="3"/>
  <c r="AY441" i="3"/>
  <c r="AY310" i="3"/>
  <c r="AY75" i="3"/>
  <c r="AY311" i="3"/>
  <c r="AY92" i="3"/>
  <c r="AY165" i="3"/>
  <c r="AY219" i="3"/>
  <c r="AY183" i="3"/>
  <c r="AY212" i="3"/>
  <c r="AY160" i="3"/>
  <c r="D3" i="6"/>
  <c r="E66" i="39"/>
  <c r="AA11" i="39"/>
  <c r="S11" i="39"/>
  <c r="C29" i="43"/>
  <c r="D22" i="43"/>
  <c r="N102" i="43"/>
  <c r="N103" i="43"/>
  <c r="N109" i="43"/>
  <c r="N104" i="43"/>
  <c r="N106" i="43"/>
  <c r="N107" i="43"/>
  <c r="N105" i="43"/>
  <c r="H107" i="43"/>
  <c r="H109" i="43"/>
  <c r="H104" i="43"/>
  <c r="H105" i="43"/>
  <c r="H102" i="43"/>
  <c r="H103" i="43"/>
  <c r="H106" i="43"/>
  <c r="D103" i="43"/>
  <c r="D109" i="43"/>
  <c r="D106" i="43"/>
  <c r="D107" i="43"/>
  <c r="D102" i="43"/>
  <c r="D104" i="43"/>
  <c r="D105" i="43"/>
  <c r="L102" i="43"/>
  <c r="L105" i="43"/>
  <c r="L104" i="43"/>
  <c r="L109" i="43"/>
  <c r="L103" i="43"/>
  <c r="L107" i="43"/>
  <c r="L106" i="43"/>
  <c r="E106" i="43"/>
  <c r="E104" i="43"/>
  <c r="E103" i="43"/>
  <c r="E109" i="43"/>
  <c r="E105" i="43"/>
  <c r="E107" i="43"/>
  <c r="E102" i="43"/>
  <c r="G102" i="43"/>
  <c r="G105" i="43"/>
  <c r="G106" i="43"/>
  <c r="G104" i="43"/>
  <c r="G107" i="43"/>
  <c r="G103" i="43"/>
  <c r="G109" i="43"/>
  <c r="D7" i="12"/>
  <c r="K20" i="6"/>
  <c r="K7" i="1"/>
  <c r="H16" i="1"/>
  <c r="K16" i="1"/>
  <c r="Q16" i="1"/>
  <c r="C34" i="69"/>
  <c r="M6" i="1"/>
  <c r="G16" i="1"/>
  <c r="L18" i="9"/>
  <c r="D14" i="12"/>
  <c r="D3" i="33"/>
  <c r="B2" i="33" s="1"/>
  <c r="B3" i="33" s="1"/>
  <c r="C17" i="4"/>
  <c r="B4" i="52" s="1"/>
  <c r="B43" i="72" s="1"/>
  <c r="D3" i="21"/>
  <c r="B2" i="21" s="1"/>
  <c r="B3" i="21" s="1"/>
  <c r="M18" i="9"/>
  <c r="B118" i="9" s="1"/>
  <c r="B14" i="74" s="1"/>
  <c r="B1" i="74" s="1"/>
  <c r="D3" i="37"/>
  <c r="B2" i="37" s="1"/>
  <c r="B3" i="37" s="1"/>
  <c r="D3" i="34"/>
  <c r="B2" i="34" s="1"/>
  <c r="B3" i="34" s="1"/>
  <c r="D37" i="11"/>
  <c r="E6" i="6"/>
  <c r="D19" i="11"/>
  <c r="C19" i="11" s="1"/>
  <c r="F43" i="77"/>
  <c r="C16" i="15"/>
  <c r="M29" i="77"/>
  <c r="F71" i="77" l="1"/>
  <c r="C8" i="74"/>
  <c r="C7" i="74"/>
  <c r="D17" i="12"/>
  <c r="C17" i="12" s="1"/>
  <c r="C35" i="69"/>
  <c r="C38" i="69"/>
  <c r="F28" i="12"/>
  <c r="C29" i="12" s="1"/>
  <c r="D28" i="12" s="1"/>
  <c r="F27" i="11"/>
  <c r="F27" i="69"/>
  <c r="F27" i="68"/>
  <c r="M20" i="6"/>
  <c r="I20" i="6" s="1"/>
  <c r="S20" i="6" s="1"/>
  <c r="S7" i="1"/>
  <c r="D13" i="6"/>
  <c r="D29" i="6"/>
  <c r="D15" i="6"/>
  <c r="D14" i="6"/>
  <c r="H21" i="6"/>
  <c r="H26" i="6"/>
  <c r="H22" i="6"/>
  <c r="D5" i="6"/>
  <c r="D9" i="6"/>
  <c r="D6" i="6"/>
  <c r="H24" i="6"/>
  <c r="D11" i="6"/>
  <c r="L19" i="9"/>
  <c r="D12" i="6"/>
  <c r="D10" i="6"/>
  <c r="H20" i="6"/>
  <c r="H23" i="6"/>
  <c r="H25" i="6"/>
  <c r="M19" i="9"/>
  <c r="C118" i="9" s="1"/>
  <c r="C14" i="74" s="1"/>
  <c r="B2" i="74" s="1"/>
  <c r="C18" i="4"/>
  <c r="D28" i="6"/>
  <c r="D30" i="6" s="1"/>
  <c r="D23" i="6"/>
  <c r="R23" i="6" s="1"/>
  <c r="D26" i="6"/>
  <c r="R26" i="6" s="1"/>
  <c r="D22" i="6"/>
  <c r="R22" i="6" s="1"/>
  <c r="D8" i="6"/>
  <c r="D16" i="6" s="1"/>
  <c r="D21" i="6"/>
  <c r="R21" i="6" s="1"/>
  <c r="D24" i="6"/>
  <c r="R24" i="6" s="1"/>
  <c r="D25" i="6"/>
  <c r="D20" i="6"/>
  <c r="R20" i="6" s="1"/>
  <c r="R7" i="1" s="1"/>
  <c r="D19" i="6"/>
  <c r="E61" i="40"/>
  <c r="F61" i="40" s="1"/>
  <c r="B2" i="40" s="1"/>
  <c r="B3" i="40" s="1"/>
  <c r="K27" i="6"/>
  <c r="S6" i="1"/>
  <c r="M19" i="6"/>
  <c r="C10" i="15"/>
  <c r="C5" i="15" s="1"/>
  <c r="J10" i="15"/>
  <c r="J5" i="15" s="1"/>
  <c r="D10" i="11"/>
  <c r="C10" i="11" s="1"/>
  <c r="D10" i="68"/>
  <c r="D20" i="12"/>
  <c r="C20" i="12" s="1"/>
  <c r="D10" i="69"/>
  <c r="J10" i="40"/>
  <c r="H10" i="40"/>
  <c r="F10" i="40"/>
  <c r="H10" i="39"/>
  <c r="J10" i="39"/>
  <c r="F10" i="39"/>
  <c r="C24" i="11"/>
  <c r="C20" i="11"/>
  <c r="C25" i="11" s="1"/>
  <c r="O6" i="1"/>
  <c r="P6" i="1"/>
  <c r="E7" i="70"/>
  <c r="M7" i="1"/>
  <c r="M16" i="1" s="1"/>
  <c r="L16" i="1" s="1"/>
  <c r="C30" i="43"/>
  <c r="E30" i="43" s="1"/>
  <c r="C27" i="43" s="1"/>
  <c r="E29" i="43"/>
  <c r="C26" i="43" s="1"/>
  <c r="D113" i="43"/>
  <c r="C115" i="43"/>
  <c r="C66" i="15"/>
  <c r="C60" i="15"/>
  <c r="C16" i="77"/>
  <c r="C17" i="77"/>
  <c r="F35" i="77"/>
  <c r="C17" i="15"/>
  <c r="E6" i="76"/>
  <c r="M21" i="77"/>
  <c r="C34" i="77" l="1"/>
  <c r="C31" i="77" s="1"/>
  <c r="F63" i="77"/>
  <c r="C62" i="77" s="1"/>
  <c r="J20" i="77"/>
  <c r="E2" i="76"/>
  <c r="U10" i="40"/>
  <c r="AB10" i="40"/>
  <c r="C10" i="68"/>
  <c r="B29" i="1" s="1"/>
  <c r="C8" i="68" s="1"/>
  <c r="D19" i="68"/>
  <c r="D37" i="68" s="1"/>
  <c r="D7" i="74"/>
  <c r="D8" i="74"/>
  <c r="AR7" i="1"/>
  <c r="T7" i="1"/>
  <c r="AQ7" i="1"/>
  <c r="C47" i="68"/>
  <c r="D45" i="68" s="1"/>
  <c r="C29" i="68"/>
  <c r="D27" i="68" s="1"/>
  <c r="C47" i="11"/>
  <c r="D45" i="11" s="1"/>
  <c r="C29" i="11"/>
  <c r="D27" i="11" s="1"/>
  <c r="S10" i="39"/>
  <c r="AA10" i="39"/>
  <c r="R47" i="39" s="1"/>
  <c r="U10" i="39"/>
  <c r="AB10" i="39"/>
  <c r="T47" i="39" s="1"/>
  <c r="G47" i="39" s="1"/>
  <c r="D19" i="69"/>
  <c r="C10" i="69"/>
  <c r="C8" i="69" s="1"/>
  <c r="C5" i="69" s="1"/>
  <c r="J24" i="15"/>
  <c r="J26" i="15"/>
  <c r="J29" i="15" s="1"/>
  <c r="J18" i="15"/>
  <c r="C33" i="15"/>
  <c r="C38" i="15"/>
  <c r="C32" i="15"/>
  <c r="M27" i="6"/>
  <c r="I19" i="6"/>
  <c r="B2" i="43"/>
  <c r="O7" i="1"/>
  <c r="P7" i="1" s="1"/>
  <c r="P16" i="1" s="1"/>
  <c r="C11" i="12" s="1"/>
  <c r="N16" i="1"/>
  <c r="O16" i="1"/>
  <c r="C28" i="11"/>
  <c r="C27" i="11" s="1"/>
  <c r="C22" i="11"/>
  <c r="W10" i="39"/>
  <c r="AC10" i="39"/>
  <c r="V47" i="39" s="1"/>
  <c r="I47" i="39" s="1"/>
  <c r="S10" i="40"/>
  <c r="AA10" i="40"/>
  <c r="AC10" i="40"/>
  <c r="W10" i="40"/>
  <c r="AR6" i="1"/>
  <c r="AQ6" i="1"/>
  <c r="S16" i="1"/>
  <c r="T6" i="1"/>
  <c r="E6" i="70"/>
  <c r="E2" i="70" s="1"/>
  <c r="D27" i="6"/>
  <c r="D31" i="6" s="1"/>
  <c r="R25" i="6"/>
  <c r="A7" i="51"/>
  <c r="B7" i="72" s="1"/>
  <c r="A10" i="51"/>
  <c r="B9" i="72" s="1"/>
  <c r="C4" i="52"/>
  <c r="B45" i="72" s="1"/>
  <c r="C47" i="69"/>
  <c r="D45" i="69" s="1"/>
  <c r="C29" i="69"/>
  <c r="D27" i="69" s="1"/>
  <c r="B6" i="76"/>
  <c r="C14" i="77"/>
  <c r="C14" i="15"/>
  <c r="C18" i="12" l="1"/>
  <c r="C31" i="11"/>
  <c r="C15" i="15"/>
  <c r="C18" i="15"/>
  <c r="B2" i="76"/>
  <c r="B3" i="76" s="1"/>
  <c r="C18" i="77"/>
  <c r="C15" i="77"/>
  <c r="C12" i="12"/>
  <c r="C15" i="12"/>
  <c r="T16" i="1"/>
  <c r="F11" i="12"/>
  <c r="C14" i="12" s="1"/>
  <c r="F34" i="11"/>
  <c r="F34" i="68"/>
  <c r="I27" i="6"/>
  <c r="S19" i="6"/>
  <c r="S27" i="6" s="1"/>
  <c r="H19" i="6"/>
  <c r="C23" i="69"/>
  <c r="G51" i="39"/>
  <c r="H51" i="39" s="1"/>
  <c r="G52" i="39"/>
  <c r="H52" i="39" s="1"/>
  <c r="E47" i="39"/>
  <c r="R48" i="39"/>
  <c r="I6" i="6"/>
  <c r="I5" i="6"/>
  <c r="I52" i="39"/>
  <c r="J52" i="39" s="1"/>
  <c r="I51" i="39"/>
  <c r="J51" i="39" s="1"/>
  <c r="B3" i="43"/>
  <c r="C19" i="69"/>
  <c r="C24" i="69" s="1"/>
  <c r="D37" i="69"/>
  <c r="C37" i="69" s="1"/>
  <c r="C33" i="69" s="1"/>
  <c r="C37" i="68"/>
  <c r="C16" i="12" l="1"/>
  <c r="C21" i="12" s="1"/>
  <c r="C22" i="12" s="1"/>
  <c r="C19" i="77"/>
  <c r="C20" i="77" s="1"/>
  <c r="C23" i="77" s="1"/>
  <c r="C19" i="15"/>
  <c r="C20" i="15" s="1"/>
  <c r="C26" i="15" s="1"/>
  <c r="C20" i="69"/>
  <c r="C25" i="69" s="1"/>
  <c r="C22" i="69" s="1"/>
  <c r="C36" i="11"/>
  <c r="C34" i="11"/>
  <c r="C37" i="11"/>
  <c r="E52" i="39"/>
  <c r="F52" i="39" s="1"/>
  <c r="E51" i="39"/>
  <c r="F51" i="39" s="1"/>
  <c r="H27" i="6"/>
  <c r="R19" i="6"/>
  <c r="C39" i="69"/>
  <c r="C43" i="69" s="1"/>
  <c r="C42" i="69"/>
  <c r="C47" i="39"/>
  <c r="C48" i="39"/>
  <c r="C36" i="68"/>
  <c r="C34" i="68"/>
  <c r="C41" i="69" l="1"/>
  <c r="C23" i="15"/>
  <c r="C29" i="15" s="1"/>
  <c r="Q49" i="15" s="1"/>
  <c r="C46" i="69"/>
  <c r="C45" i="69" s="1"/>
  <c r="C49" i="69" s="1"/>
  <c r="C51" i="69" s="1"/>
  <c r="C28" i="69"/>
  <c r="C27" i="69" s="1"/>
  <c r="C31" i="69" s="1"/>
  <c r="C38" i="68"/>
  <c r="C35" i="68"/>
  <c r="B60" i="39"/>
  <c r="F60" i="39" s="1"/>
  <c r="B63" i="39"/>
  <c r="F63" i="39" s="1"/>
  <c r="B58" i="39"/>
  <c r="F58" i="39" s="1"/>
  <c r="B62" i="39"/>
  <c r="F62" i="39" s="1"/>
  <c r="B57" i="39"/>
  <c r="F57" i="39" s="1"/>
  <c r="B61" i="39"/>
  <c r="F61" i="39" s="1"/>
  <c r="B65" i="39"/>
  <c r="F65" i="39" s="1"/>
  <c r="B64" i="39"/>
  <c r="F64" i="39" s="1"/>
  <c r="B59" i="39"/>
  <c r="F59" i="39" s="1"/>
  <c r="B56" i="39"/>
  <c r="F56" i="39" s="1"/>
  <c r="R27" i="6"/>
  <c r="R6" i="1"/>
  <c r="C35" i="11"/>
  <c r="C38" i="11"/>
  <c r="C33" i="11" s="1"/>
  <c r="C26" i="77"/>
  <c r="C29" i="77" s="1"/>
  <c r="F35" i="15"/>
  <c r="M21" i="15"/>
  <c r="C52" i="69" l="1"/>
  <c r="B2" i="69" s="1"/>
  <c r="B3" i="69" s="1"/>
  <c r="C57" i="15"/>
  <c r="C64" i="15" s="1"/>
  <c r="J14" i="15"/>
  <c r="J22" i="15" s="1"/>
  <c r="C33" i="68"/>
  <c r="C39" i="68" s="1"/>
  <c r="C43" i="68" s="1"/>
  <c r="C13" i="15"/>
  <c r="C37" i="15" s="1"/>
  <c r="J19" i="15"/>
  <c r="C36" i="15"/>
  <c r="C34" i="15"/>
  <c r="C31" i="15" s="1"/>
  <c r="F63" i="15"/>
  <c r="C62" i="15" s="1"/>
  <c r="J20" i="15"/>
  <c r="J17" i="15" s="1"/>
  <c r="J19" i="77"/>
  <c r="J17" i="77" s="1"/>
  <c r="Q49" i="77"/>
  <c r="C36" i="77"/>
  <c r="J14" i="77"/>
  <c r="C57" i="77"/>
  <c r="C13" i="77"/>
  <c r="C39" i="11"/>
  <c r="C43" i="11" s="1"/>
  <c r="C42" i="11"/>
  <c r="R16" i="1"/>
  <c r="F66" i="39"/>
  <c r="B2" i="39" s="1"/>
  <c r="C61" i="15"/>
  <c r="Q70" i="15" l="1"/>
  <c r="J13" i="15"/>
  <c r="J23" i="15" s="1"/>
  <c r="C56" i="15"/>
  <c r="C65" i="15" s="1"/>
  <c r="C57" i="69"/>
  <c r="C56" i="69" s="1"/>
  <c r="C59" i="15"/>
  <c r="C58" i="15" s="1"/>
  <c r="C67" i="15" s="1"/>
  <c r="C68" i="15" s="1"/>
  <c r="C75" i="15"/>
  <c r="C42" i="68"/>
  <c r="C41" i="68" s="1"/>
  <c r="C46" i="11"/>
  <c r="C45" i="11" s="1"/>
  <c r="C41" i="11"/>
  <c r="J16" i="15"/>
  <c r="J25" i="15" s="1"/>
  <c r="C61" i="77"/>
  <c r="C59" i="77" s="1"/>
  <c r="C64" i="77"/>
  <c r="B3" i="39"/>
  <c r="C6" i="68"/>
  <c r="C46" i="68"/>
  <c r="C45" i="68" s="1"/>
  <c r="C37" i="77"/>
  <c r="C30" i="77" s="1"/>
  <c r="C39" i="77" s="1"/>
  <c r="C56" i="77"/>
  <c r="C65" i="77" s="1"/>
  <c r="Q70" i="77"/>
  <c r="C75" i="77"/>
  <c r="J13" i="77"/>
  <c r="J23" i="77" s="1"/>
  <c r="J22" i="77"/>
  <c r="C30" i="15"/>
  <c r="C39" i="15" s="1"/>
  <c r="L51" i="77"/>
  <c r="L51" i="15"/>
  <c r="C49" i="11" l="1"/>
  <c r="C51" i="11" s="1"/>
  <c r="C52" i="11" s="1"/>
  <c r="B2" i="11" s="1"/>
  <c r="B3" i="11" s="1"/>
  <c r="C49" i="68"/>
  <c r="C51" i="68" s="1"/>
  <c r="J16" i="77"/>
  <c r="J25" i="77" s="1"/>
  <c r="Q67" i="77"/>
  <c r="Q67" i="15"/>
  <c r="Q69" i="77"/>
  <c r="Q68" i="77" s="1"/>
  <c r="C40" i="77"/>
  <c r="Q69" i="15"/>
  <c r="Q68" i="15" s="1"/>
  <c r="C40" i="15"/>
  <c r="C46" i="15" s="1"/>
  <c r="C80" i="15"/>
  <c r="C79" i="15" s="1"/>
  <c r="C80" i="77"/>
  <c r="C79" i="77" s="1"/>
  <c r="C7" i="68"/>
  <c r="C5" i="68" s="1"/>
  <c r="C71" i="15"/>
  <c r="C58" i="77"/>
  <c r="C67" i="77" s="1"/>
  <c r="C68" i="77" s="1"/>
  <c r="C56" i="11"/>
  <c r="C57" i="11" s="1"/>
  <c r="C23" i="68" l="1"/>
  <c r="C20" i="68"/>
  <c r="C25" i="68" s="1"/>
  <c r="C43" i="77"/>
  <c r="Q47" i="77"/>
  <c r="Q53" i="77" s="1"/>
  <c r="Q56" i="77"/>
  <c r="Q62" i="77" s="1"/>
  <c r="Q65" i="77"/>
  <c r="Q75" i="77" s="1"/>
  <c r="B2" i="77"/>
  <c r="C83" i="77"/>
  <c r="C82" i="77" s="1"/>
  <c r="C71" i="77"/>
  <c r="C46" i="77"/>
  <c r="C43" i="15"/>
  <c r="Q47" i="15"/>
  <c r="Q53" i="15" s="1"/>
  <c r="Q65" i="15"/>
  <c r="Q75" i="15" s="1"/>
  <c r="Q56" i="15"/>
  <c r="Q62" i="15" s="1"/>
  <c r="B2" i="15"/>
  <c r="C83" i="15"/>
  <c r="C82" i="15" s="1"/>
  <c r="AO7" i="1"/>
  <c r="AO6" i="1"/>
  <c r="C22" i="68" l="1"/>
  <c r="B6" i="70"/>
  <c r="B7" i="70"/>
  <c r="B3" i="15"/>
  <c r="C6" i="12" s="1"/>
  <c r="C8" i="12"/>
  <c r="D8" i="12"/>
  <c r="B3" i="77"/>
  <c r="D6" i="12" s="1"/>
  <c r="C28" i="68"/>
  <c r="C27" i="68" s="1"/>
  <c r="C31" i="68" l="1"/>
  <c r="C52" i="68" s="1"/>
  <c r="C57" i="68" s="1"/>
  <c r="C56" i="68" s="1"/>
  <c r="C4" i="12"/>
  <c r="B2" i="68"/>
  <c r="B2" i="70"/>
  <c r="B3" i="70" s="1"/>
  <c r="C19" i="9"/>
  <c r="C102" i="9" l="1"/>
  <c r="C21" i="9"/>
  <c r="B3" i="68"/>
  <c r="C23" i="12"/>
  <c r="C31" i="12"/>
  <c r="D34" i="9"/>
  <c r="C20" i="9"/>
  <c r="D35" i="9"/>
  <c r="C103" i="9" l="1"/>
  <c r="C27" i="12"/>
  <c r="C25" i="12" s="1"/>
  <c r="C30" i="12"/>
  <c r="C28" i="12" s="1"/>
  <c r="C32" i="12" l="1"/>
  <c r="B2" i="12" s="1"/>
  <c r="B3" i="12" s="1"/>
  <c r="D20" i="9"/>
  <c r="D19" i="9"/>
  <c r="D102" i="9" l="1"/>
  <c r="G19" i="9"/>
  <c r="D27" i="9" s="1"/>
  <c r="D21" i="9"/>
  <c r="D22" i="9"/>
  <c r="D103" i="9"/>
  <c r="G20" i="9"/>
  <c r="G21" i="9" l="1"/>
  <c r="C32" i="9"/>
  <c r="C35" i="9" s="1"/>
  <c r="F118" i="9" s="1"/>
  <c r="H118" i="9" l="1"/>
  <c r="C104" i="9" s="1"/>
  <c r="C34" i="9"/>
  <c r="D118" i="9" s="1"/>
  <c r="D4" i="52" s="1"/>
  <c r="B47" i="72" s="1"/>
  <c r="H4" i="52"/>
  <c r="D14" i="74"/>
  <c r="I118" i="9"/>
  <c r="F4" i="52"/>
  <c r="B51" i="72" s="1"/>
  <c r="G118" i="9"/>
  <c r="G4" i="52" s="1"/>
  <c r="B52" i="72" s="1"/>
  <c r="F119" i="9"/>
  <c r="F5" i="52" s="1"/>
  <c r="B53" i="72" s="1"/>
  <c r="H101" i="9" l="1"/>
  <c r="D45" i="9" s="1"/>
  <c r="H119" i="9"/>
  <c r="H5" i="52" s="1"/>
  <c r="D119" i="9"/>
  <c r="D5" i="52" s="1"/>
  <c r="B49" i="72" s="1"/>
  <c r="M48" i="9"/>
  <c r="H107" i="9"/>
  <c r="I4" i="52"/>
  <c r="H102" i="9"/>
  <c r="D7" i="53" s="1"/>
  <c r="B21" i="72" s="1"/>
  <c r="C105" i="9"/>
  <c r="E118" i="9"/>
  <c r="E4" i="52" s="1"/>
  <c r="B48" i="72" s="1"/>
  <c r="F14" i="74"/>
  <c r="B5" i="74"/>
  <c r="E14" i="74"/>
  <c r="D5" i="53" l="1"/>
  <c r="B20" i="72" s="1"/>
  <c r="C5" i="74"/>
  <c r="D5" i="74"/>
  <c r="H108" i="9"/>
  <c r="D15" i="53" s="1"/>
  <c r="B31" i="72" s="1"/>
  <c r="D13" i="53"/>
  <c r="D122" i="9"/>
  <c r="M49" i="9"/>
  <c r="D6" i="53"/>
  <c r="B22" i="72" s="1"/>
  <c r="D53" i="9"/>
  <c r="D52" i="9"/>
  <c r="C72" i="9"/>
  <c r="C93" i="9"/>
  <c r="C86" i="9" s="1"/>
  <c r="C78" i="9"/>
  <c r="C73" i="9" s="1"/>
  <c r="C64" i="9"/>
  <c r="C63" i="9" s="1"/>
  <c r="C67" i="9" s="1"/>
  <c r="C68" i="9" s="1"/>
  <c r="D54" i="9" s="1"/>
  <c r="C85" i="9"/>
  <c r="D55" i="9"/>
  <c r="M53" i="9" s="1"/>
  <c r="L67" i="9" l="1"/>
  <c r="M67" i="9" s="1"/>
  <c r="L64" i="9"/>
  <c r="M64" i="9" s="1"/>
  <c r="L68" i="9"/>
  <c r="M68" i="9" s="1"/>
  <c r="L63" i="9"/>
  <c r="M63" i="9" s="1"/>
  <c r="L66" i="9"/>
  <c r="M66" i="9" s="1"/>
  <c r="L65" i="9"/>
  <c r="M65" i="9" s="1"/>
  <c r="B30" i="72"/>
  <c r="D14" i="53"/>
  <c r="B32" i="72" s="1"/>
  <c r="C95" i="9"/>
  <c r="C79" i="9"/>
  <c r="D123" i="9"/>
  <c r="D9" i="52" s="1"/>
  <c r="G14" i="74"/>
  <c r="B6" i="74" s="1"/>
  <c r="D8" i="52"/>
  <c r="C96" i="9" l="1"/>
  <c r="E96" i="9" s="1"/>
  <c r="E97" i="9" s="1"/>
  <c r="C6" i="74"/>
  <c r="D6" i="74"/>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<sst xmlns="http://schemas.openxmlformats.org/spreadsheetml/2006/main" count="8005" uniqueCount="3282">
  <si>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</si>
  <si>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</si>
  <si>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</si>
  <si>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</si>
  <si>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</si>
  <si>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</si>
  <si>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</si>
  <si>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</si>
  <si>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</si>
  <si>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</si>
  <si>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</si>
  <si>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</si>
  <si>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</si>
  <si>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</si>
  <si>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</si>
  <si>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</si>
  <si>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</si>
  <si>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</si>
  <si>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</si>
  <si>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</si>
  <si>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</si>
  <si>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</si>
  <si>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</si>
  <si>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</si>
  <si>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</si>
  <si>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</si>
  <si>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</si>
  <si>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</si>
  <si>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</si>
  <si>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</si>
  <si>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</si>
  <si>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</si>
  <si>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</si>
  <si>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</si>
  <si>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</si>
  <si>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</si>
  <si>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</si>
  <si>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</si>
  <si>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</si>
  <si>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</si>
  <si>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</si>
  <si>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</si>
  <si>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</si>
  <si>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</si>
  <si>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</si>
  <si>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</si>
  <si>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</si>
  <si>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</si>
  <si>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</si>
  <si>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</si>
  <si>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</si>
  <si>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</si>
  <si>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</si>
  <si>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</si>
  <si>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</si>
  <si>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</si>
  <si>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</si>
  <si>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</si>
  <si>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</si>
  <si>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</si>
  <si>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</si>
  <si>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</si>
  <si>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</si>
  <si>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</si>
  <si>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</si>
  <si>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</si>
  <si>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</si>
  <si>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</si>
  <si>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</si>
  <si>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</si>
  <si>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</si>
  <si>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</si>
  <si>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</si>
  <si>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</si>
  <si>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</si>
  <si>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</si>
  <si>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</si>
  <si>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</si>
  <si>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</si>
  <si>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</si>
  <si>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</si>
  <si>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</si>
  <si>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</si>
  <si>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</si>
  <si>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</si>
  <si>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</si>
  <si>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</si>
  <si>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</si>
  <si>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</si>
  <si>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</si>
  <si>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</si>
  <si>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</si>
  <si>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</si>
  <si>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</si>
  <si>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</si>
  <si>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</si>
  <si>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</si>
  <si>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</si>
  <si>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</si>
  <si>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</si>
  <si>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</si>
  <si>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</si>
  <si>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</si>
  <si>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</si>
  <si>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</si>
  <si>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</si>
  <si>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</si>
  <si>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</si>
  <si>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</si>
  <si>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</si>
  <si>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</si>
  <si>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</si>
  <si>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</si>
  <si>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</si>
  <si>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</si>
  <si>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</si>
  <si>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</si>
  <si>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</si>
  <si>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</si>
  <si>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</si>
  <si>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</si>
  <si>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</si>
  <si>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</si>
  <si>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</si>
  <si>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</si>
  <si>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</si>
  <si>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</si>
  <si>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</si>
  <si>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</si>
  <si>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</si>
  <si>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</si>
  <si>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</si>
  <si>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</si>
  <si>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</si>
  <si>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</si>
  <si>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</si>
  <si>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</si>
  <si>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</si>
  <si>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</si>
  <si>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</si>
  <si>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</si>
  <si>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</si>
  <si>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</si>
  <si>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</si>
  <si>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</si>
  <si>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</si>
  <si>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</si>
  <si>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</si>
  <si>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</si>
  <si>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</si>
  <si>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</si>
  <si>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</si>
  <si>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</si>
  <si>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</si>
  <si>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</si>
  <si>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</si>
  <si>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</si>
  <si>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</si>
  <si>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</si>
  <si>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</si>
  <si>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</si>
  <si>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</si>
  <si>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</si>
  <si>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</si>
  <si>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</si>
  <si>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</si>
  <si>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</si>
  <si>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</si>
  <si>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</si>
  <si>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</si>
  <si>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</si>
  <si>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</si>
  <si>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</si>
  <si>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</si>
  <si>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</si>
  <si>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</si>
  <si>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</si>
  <si>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</si>
  <si>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</si>
  <si>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</si>
  <si>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</si>
  <si>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</si>
  <si>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</si>
  <si>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</si>
  <si>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</si>
  <si>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</si>
  <si>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</si>
  <si>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</si>
  <si>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</si>
  <si>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</si>
  <si>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</si>
  <si>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</si>
  <si>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</si>
  <si>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</si>
  <si>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</si>
  <si>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</si>
  <si>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</si>
  <si>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</si>
  <si>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</si>
  <si>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</si>
  <si>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</si>
  <si>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</si>
  <si>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</si>
  <si>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</si>
  <si>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</si>
  <si>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</si>
  <si>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</si>
  <si>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</si>
  <si>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</si>
  <si>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</si>
  <si>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</si>
  <si>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</si>
  <si>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</si>
  <si>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</si>
  <si>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</si>
  <si>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</si>
  <si>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</si>
  <si>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</si>
  <si>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</si>
  <si>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</si>
  <si>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</si>
  <si>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</si>
  <si>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</si>
  <si>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</si>
  <si>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</si>
  <si>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</si>
  <si>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</si>
  <si>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</si>
  <si>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</si>
  <si>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</si>
  <si>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</si>
  <si>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</si>
  <si>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</si>
  <si>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</si>
  <si>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</si>
  <si>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</si>
  <si>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</si>
  <si>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</si>
  <si>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</si>
  <si>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</si>
  <si>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</si>
  <si>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</si>
  <si>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</si>
  <si>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</si>
  <si>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</si>
  <si>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</si>
  <si>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</si>
  <si>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</si>
  <si>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</si>
  <si>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</si>
  <si>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</si>
  <si>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</si>
  <si>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</si>
  <si>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</si>
  <si>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</si>
  <si>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</si>
  <si>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</si>
  <si>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</si>
  <si>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</si>
  <si>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</si>
  <si>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</si>
  <si>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</si>
  <si>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</si>
  <si>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</si>
  <si>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</si>
  <si>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</si>
  <si>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</si>
  <si>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</si>
  <si>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</si>
  <si>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</si>
  <si>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</si>
  <si>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</si>
  <si>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</si>
  <si>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</si>
  <si>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</si>
  <si>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</si>
  <si>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</si>
  <si>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</si>
  <si>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</si>
  <si>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</si>
  <si>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</si>
  <si>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</si>
  <si>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</si>
  <si>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</si>
  <si>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</si>
  <si>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</si>
  <si>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</si>
  <si>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</si>
  <si>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</si>
  <si>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</si>
  <si>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</si>
  <si>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</si>
  <si>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</si>
  <si>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</si>
  <si>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</si>
  <si>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</si>
  <si>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</si>
  <si>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</si>
  <si>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</si>
  <si>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</si>
  <si>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</si>
  <si>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</si>
  <si>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</si>
  <si>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</si>
  <si>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</si>
  <si>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</si>
  <si>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</si>
  <si>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</si>
  <si>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</si>
  <si>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</si>
  <si>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</si>
  <si>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</si>
  <si>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</si>
  <si>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</si>
  <si>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</si>
  <si>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</si>
  <si>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</si>
  <si>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</si>
  <si>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</si>
  <si>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</si>
  <si>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</si>
  <si>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</si>
  <si>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</si>
  <si>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</si>
  <si>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</si>
  <si>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</si>
  <si>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</si>
  <si>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</si>
  <si>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</si>
  <si>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</si>
  <si>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</si>
  <si>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</si>
  <si>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</si>
  <si>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</si>
  <si>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</si>
  <si>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</si>
  <si>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</si>
  <si>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</si>
  <si>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</si>
  <si>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</si>
  <si>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</si>
  <si>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</si>
  <si>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</si>
  <si>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</si>
  <si>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</si>
  <si>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</si>
  <si>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</si>
  <si>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</si>
  <si>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</si>
  <si>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</si>
  <si>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</si>
  <si>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</si>
  <si>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</si>
  <si>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</si>
  <si>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</si>
  <si>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</si>
  <si>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</si>
  <si>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</si>
  <si>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</si>
  <si>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</si>
  <si>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</si>
  <si>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</si>
  <si>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</si>
  <si>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</si>
  <si>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</si>
  <si>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</si>
  <si>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</si>
  <si>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</si>
  <si>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</si>
  <si>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</si>
  <si>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</si>
  <si>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</si>
  <si>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</si>
  <si>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</si>
  <si>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</si>
  <si>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</si>
  <si>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</si>
  <si>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</si>
  <si>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</si>
  <si>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</si>
  <si>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</si>
  <si>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</si>
  <si>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</si>
  <si>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</si>
  <si>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</si>
  <si>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</si>
  <si>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</si>
  <si>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</si>
  <si>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</si>
  <si>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</si>
  <si>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</si>
  <si>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</si>
  <si>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</si>
  <si>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</si>
  <si>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</si>
  <si>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</si>
  <si>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</si>
  <si>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</si>
  <si>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</si>
  <si>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</si>
  <si>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</si>
  <si>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</si>
  <si>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</si>
  <si>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</si>
  <si>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</si>
  <si>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</si>
  <si>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</si>
  <si>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</si>
  <si>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</si>
  <si>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</si>
  <si>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</si>
  <si>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</si>
  <si>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</si>
  <si>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</si>
  <si>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</si>
  <si>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</si>
  <si>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</si>
  <si>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</si>
  <si>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</si>
  <si>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</si>
  <si>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</si>
  <si>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</si>
  <si>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</si>
  <si>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</si>
  <si>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</si>
  <si>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</si>
  <si>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</si>
  <si>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</si>
  <si>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</si>
  <si>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</si>
  <si>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</si>
  <si>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</si>
  <si>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</si>
  <si>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</si>
  <si>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</si>
  <si>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</si>
  <si>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</si>
  <si>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</si>
  <si>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</si>
  <si>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</si>
  <si>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</si>
  <si>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</si>
  <si>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</si>
  <si>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</si>
  <si>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</si>
  <si>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</si>
  <si>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</si>
  <si>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</si>
  <si>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</si>
  <si>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</si>
  <si>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</si>
  <si>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</si>
  <si>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</si>
  <si>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</si>
  <si>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</si>
  <si>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</si>
  <si>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</si>
  <si>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</si>
  <si>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</si>
  <si>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</si>
  <si>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</si>
  <si>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</si>
  <si>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</si>
  <si>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</si>
  <si>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</si>
  <si>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</si>
  <si>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</si>
  <si>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</si>
  <si>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</si>
  <si>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</si>
  <si>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</si>
  <si>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</si>
  <si>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</si>
  <si>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</si>
  <si>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</si>
  <si>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</si>
  <si>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</si>
  <si>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</si>
  <si>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</si>
  <si>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</si>
  <si>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</si>
  <si>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</si>
  <si>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</si>
  <si>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</si>
  <si>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</si>
  <si>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</si>
  <si>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</si>
  <si>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</si>
  <si>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</si>
  <si>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</si>
  <si>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</si>
  <si>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</si>
  <si>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</si>
  <si>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</si>
  <si>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</si>
  <si>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</si>
  <si>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</si>
  <si>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</si>
  <si>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</si>
  <si>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</si>
  <si>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</si>
  <si>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</si>
  <si>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</si>
  <si>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</si>
  <si>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</si>
  <si>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</si>
  <si>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</si>
  <si>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</si>
  <si>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</si>
  <si>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</si>
  <si>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</si>
  <si>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</si>
  <si>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</si>
  <si>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</si>
  <si>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</si>
  <si>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</si>
  <si>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</si>
  <si>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</si>
  <si>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</si>
  <si>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</si>
  <si>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</si>
  <si>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</si>
  <si>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</si>
  <si>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</si>
  <si>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</si>
  <si>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</si>
  <si>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</si>
  <si>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</si>
  <si>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</si>
  <si>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</si>
  <si>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</si>
  <si>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</si>
  <si>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</si>
  <si>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</si>
  <si>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</si>
  <si>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</si>
  <si>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</si>
  <si>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</si>
  <si>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</si>
  <si>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</si>
  <si>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</si>
  <si>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</si>
  <si>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</si>
  <si>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</si>
  <si>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</si>
  <si>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</si>
  <si>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</si>
  <si>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</si>
  <si>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</si>
  <si>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</si>
  <si>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</si>
  <si>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</si>
  <si>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</si>
  <si>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</si>
  <si>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</si>
  <si>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</si>
  <si>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</si>
  <si>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</si>
  <si>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</si>
  <si>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</si>
  <si>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</si>
  <si>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</si>
  <si>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</si>
  <si>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</si>
  <si>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</si>
  <si>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</si>
  <si>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</si>
  <si>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</si>
  <si>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</si>
  <si>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</si>
  <si>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</si>
  <si>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</si>
  <si>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</si>
  <si>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</si>
  <si>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</si>
  <si>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</si>
  <si>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</si>
  <si>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</si>
  <si>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</si>
  <si>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</si>
  <si>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</si>
  <si>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</si>
  <si>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</si>
  <si>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</si>
  <si>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</si>
  <si>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</si>
  <si>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</si>
  <si>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</si>
  <si>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</si>
  <si>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</si>
  <si>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</si>
  <si>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</si>
  <si>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</si>
  <si>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</si>
  <si>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</si>
  <si>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</si>
  <si>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</si>
  <si>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</si>
  <si>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</si>
  <si>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</si>
  <si>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</si>
  <si>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</si>
  <si>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</si>
  <si>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</si>
  <si>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</si>
  <si>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</si>
  <si>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</si>
  <si>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</si>
  <si>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</si>
  <si>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</si>
  <si>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</si>
  <si>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</si>
  <si>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</si>
  <si>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</si>
  <si>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</si>
  <si>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</si>
  <si>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</si>
  <si>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</si>
  <si>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</si>
  <si>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</si>
  <si>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</si>
  <si>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</si>
  <si>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</si>
  <si>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</si>
  <si>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</si>
  <si>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</si>
  <si>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</si>
  <si>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</si>
  <si>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</si>
  <si>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</si>
  <si>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</si>
  <si>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</si>
  <si>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</si>
  <si>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</si>
  <si>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</si>
  <si>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</si>
  <si>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</si>
  <si>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</si>
  <si>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</si>
  <si>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</si>
  <si>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</si>
  <si>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</si>
  <si>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</si>
  <si>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</si>
  <si>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</si>
  <si>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</si>
  <si>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</si>
  <si>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</si>
  <si>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</si>
  <si>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</si>
  <si>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</si>
  <si>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</si>
  <si>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</si>
  <si>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</si>
  <si>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</si>
  <si>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</si>
  <si>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</si>
  <si>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</si>
  <si>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</si>
  <si>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</si>
  <si>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</si>
  <si>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</si>
  <si>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</si>
  <si>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</si>
  <si>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</si>
  <si>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</si>
  <si>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</si>
  <si>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</si>
  <si>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</si>
  <si>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</si>
  <si>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</si>
  <si>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</si>
  <si>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</si>
  <si>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</si>
  <si>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</si>
  <si>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</si>
  <si>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</si>
  <si>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</si>
  <si>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</si>
  <si>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</si>
  <si>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</si>
  <si>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</si>
  <si>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</si>
  <si>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</si>
  <si>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</si>
  <si>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</si>
  <si>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</si>
  <si>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</si>
  <si>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</si>
  <si>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</si>
  <si>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</si>
  <si>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</si>
  <si>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</si>
  <si>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</si>
  <si>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</si>
  <si>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</si>
  <si>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</si>
  <si>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</si>
  <si>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</si>
  <si>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</si>
  <si>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</si>
  <si>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</si>
  <si>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</si>
  <si>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</si>
  <si>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</si>
  <si>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</si>
  <si>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</si>
  <si>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</si>
  <si>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</si>
  <si>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</si>
  <si>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</si>
  <si>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</si>
  <si>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</si>
  <si>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</si>
  <si>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</si>
  <si>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</si>
  <si>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</si>
  <si>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</si>
  <si>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</si>
  <si>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</si>
  <si>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</si>
  <si>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</si>
  <si>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</si>
  <si>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</si>
  <si>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</si>
  <si>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</si>
  <si>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</si>
  <si>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</si>
  <si>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</si>
  <si>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</si>
  <si>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</si>
  <si>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</si>
  <si>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</si>
  <si>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</si>
  <si>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</si>
  <si>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</si>
  <si>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</si>
  <si>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</si>
  <si>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</si>
  <si>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</si>
  <si>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</si>
  <si>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</si>
  <si>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</si>
  <si>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</si>
  <si>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</si>
  <si>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</si>
  <si>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</si>
  <si>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</si>
  <si>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</si>
  <si>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</si>
  <si>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</si>
  <si>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</si>
  <si>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</si>
  <si>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</si>
  <si>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</si>
  <si>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</si>
  <si>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</si>
  <si>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</si>
  <si>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</si>
  <si>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</si>
  <si>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</si>
  <si>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</si>
  <si>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</si>
  <si>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</si>
  <si>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</si>
  <si>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</si>
  <si>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</si>
  <si>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</si>
  <si>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</si>
  <si>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</si>
  <si>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</si>
  <si>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</si>
  <si>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</si>
  <si>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</si>
  <si>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</si>
  <si>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</si>
  <si>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</si>
  <si>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</si>
  <si>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</si>
  <si>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</si>
  <si>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</si>
  <si>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</si>
  <si>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</si>
  <si>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</si>
  <si>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</si>
  <si>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</si>
  <si>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</si>
  <si>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</si>
  <si>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</si>
  <si>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</si>
  <si>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</si>
  <si>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</si>
  <si>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</si>
  <si>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</si>
  <si>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</si>
  <si>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</si>
  <si>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</si>
  <si>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</si>
  <si>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</si>
  <si>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</si>
  <si>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</si>
  <si>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</si>
  <si>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</si>
  <si>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</si>
  <si>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</si>
  <si>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</si>
  <si>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</si>
  <si>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</si>
  <si>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</si>
  <si>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</si>
  <si>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</si>
  <si>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</si>
  <si>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</si>
  <si>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</si>
  <si>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</si>
  <si>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</si>
  <si>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</si>
  <si>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</si>
  <si>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</si>
  <si>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</si>
  <si>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</si>
  <si>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</si>
  <si>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</si>
  <si>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</si>
  <si>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</si>
  <si>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</si>
  <si>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</si>
  <si>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</si>
  <si>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</si>
  <si>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</si>
  <si>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</si>
  <si>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</si>
  <si>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</si>
  <si>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</si>
  <si>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</si>
  <si>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</si>
  <si>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</si>
  <si>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</si>
  <si>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</si>
  <si>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</si>
  <si>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</si>
  <si>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</si>
  <si>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</si>
  <si>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</si>
  <si>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</si>
  <si>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</si>
  <si>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</si>
  <si>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</si>
  <si>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</si>
  <si>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</si>
  <si>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</si>
  <si>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</si>
  <si>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</si>
  <si>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</si>
  <si>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</si>
  <si>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</si>
  <si>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</si>
  <si>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</si>
  <si>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</si>
  <si>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</si>
  <si>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</si>
  <si>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</si>
  <si>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</si>
  <si>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</si>
  <si>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</si>
  <si>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</si>
  <si>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</si>
  <si>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</si>
  <si>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</si>
  <si>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</si>
  <si>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</si>
  <si>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</si>
  <si>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</si>
  <si>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</si>
  <si>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</si>
  <si>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</si>
  <si>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</si>
  <si>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</si>
  <si>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</si>
  <si>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</si>
  <si>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</si>
  <si>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</si>
  <si>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</si>
  <si>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</si>
  <si>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</si>
  <si>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</si>
  <si>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</si>
  <si>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</si>
  <si>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</si>
  <si>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</si>
  <si>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</si>
  <si>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</si>
  <si>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</si>
  <si>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</si>
  <si>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</si>
  <si>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</si>
  <si>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</si>
  <si>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</si>
  <si>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</si>
  <si>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</si>
  <si>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</si>
  <si>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</si>
  <si>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</si>
  <si>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</si>
  <si>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</si>
  <si>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</si>
  <si>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</si>
  <si>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</si>
  <si>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</si>
  <si>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</si>
  <si>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</si>
  <si>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</si>
  <si>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</si>
  <si>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</si>
  <si>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</si>
  <si>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</si>
  <si>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</si>
  <si>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</si>
  <si>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</si>
  <si>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</si>
  <si>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</si>
  <si>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</si>
  <si>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</si>
  <si>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</si>
  <si>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</si>
  <si>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</si>
  <si>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</si>
  <si>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</si>
  <si>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</si>
  <si>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</si>
  <si>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</si>
  <si>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</si>
  <si>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</si>
  <si>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</si>
  <si>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</si>
  <si>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</si>
  <si>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</si>
  <si>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</si>
  <si>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</si>
  <si>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</si>
  <si>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</si>
  <si>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</si>
  <si>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</si>
  <si>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</si>
  <si>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</si>
  <si>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</si>
  <si>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</si>
  <si>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</si>
  <si>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</si>
  <si>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</si>
  <si>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</si>
  <si>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</si>
  <si>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</si>
  <si>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</si>
  <si>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</si>
  <si>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</si>
  <si>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</si>
  <si>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</si>
  <si>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</si>
  <si>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</si>
  <si>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</si>
  <si>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</si>
  <si>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</si>
  <si>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</si>
  <si>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</si>
  <si>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</si>
  <si>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</si>
  <si>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</si>
  <si>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</si>
  <si>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</si>
  <si>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</si>
  <si>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</si>
  <si>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</si>
  <si>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</si>
  <si>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</si>
  <si>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</si>
  <si>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</si>
  <si>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</si>
  <si>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</si>
  <si>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</si>
  <si>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</si>
  <si>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</si>
  <si>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</si>
  <si>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</si>
  <si>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</si>
  <si>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</si>
  <si>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</si>
  <si>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</si>
  <si>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</si>
  <si>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</si>
  <si>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</si>
  <si>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</si>
  <si>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</si>
  <si>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</si>
  <si>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</si>
  <si>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</si>
  <si>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</si>
  <si>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</si>
  <si>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</si>
  <si>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</si>
  <si>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</si>
  <si>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</si>
  <si>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</si>
  <si>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</si>
  <si>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</si>
  <si>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</si>
  <si>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</si>
  <si>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</si>
  <si>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</si>
  <si>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</si>
  <si>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</si>
  <si>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</si>
  <si>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</si>
  <si>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</si>
  <si>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</si>
  <si>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</si>
  <si>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</si>
  <si>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</si>
  <si>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</si>
  <si>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</si>
  <si>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</si>
  <si>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</si>
  <si>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</si>
  <si>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</si>
  <si>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</si>
  <si>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</si>
  <si>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</si>
  <si>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</si>
  <si>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</si>
  <si>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</si>
  <si>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</si>
  <si>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</si>
  <si>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</si>
  <si>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</si>
  <si>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</si>
  <si>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</si>
  <si>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</si>
  <si>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</si>
  <si>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</si>
  <si>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</si>
  <si>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</si>
  <si>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</si>
  <si>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</si>
  <si>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</si>
  <si>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</si>
  <si>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</si>
  <si>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</si>
  <si>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</si>
  <si>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</si>
  <si>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</si>
  <si>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</si>
  <si>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</si>
  <si>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</si>
  <si>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</si>
  <si>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</si>
  <si>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</si>
  <si>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</si>
  <si>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</si>
  <si>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</si>
  <si>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</si>
  <si>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</si>
  <si>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</si>
  <si>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</si>
  <si>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</si>
  <si>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</si>
  <si>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</si>
  <si>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</si>
  <si>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</si>
  <si>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</si>
  <si>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</si>
  <si>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</si>
  <si>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</si>
  <si>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</si>
  <si>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</si>
  <si>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</si>
  <si>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</si>
  <si>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</si>
  <si>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</si>
  <si>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</si>
  <si>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</si>
  <si>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</si>
  <si>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</si>
  <si>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</si>
  <si>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</si>
  <si>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</si>
  <si>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</si>
  <si>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</si>
  <si>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</si>
  <si>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</si>
  <si>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</si>
  <si>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</si>
  <si>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</si>
  <si>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</si>
  <si>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</si>
  <si>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</si>
  <si>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</si>
  <si>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</si>
  <si>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</si>
  <si>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</si>
  <si>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</si>
  <si>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</si>
  <si>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</si>
  <si>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</si>
  <si>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</si>
  <si>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</si>
  <si>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</si>
  <si>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</si>
  <si>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</si>
  <si>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</si>
  <si>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</si>
  <si>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</si>
  <si>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</si>
  <si>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</si>
  <si>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</si>
  <si>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</si>
  <si>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</si>
  <si>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</si>
  <si>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</si>
  <si>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</si>
  <si>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</si>
  <si>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</si>
  <si>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</si>
  <si>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</si>
  <si>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</si>
  <si>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</si>
  <si>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</si>
  <si>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</si>
  <si>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</si>
  <si>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</si>
  <si>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</si>
  <si>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</si>
  <si>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</si>
  <si>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</si>
  <si>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</si>
  <si>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</si>
  <si>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</si>
  <si>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</si>
  <si>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</si>
  <si>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</si>
  <si>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</si>
  <si>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</si>
  <si>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</si>
  <si>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</si>
  <si>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</si>
  <si>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</si>
  <si>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</si>
  <si>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</si>
  <si>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</si>
  <si>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</si>
  <si>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</si>
  <si>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</si>
  <si>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</si>
  <si>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</si>
  <si>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</si>
  <si>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</si>
  <si>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</si>
  <si>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</si>
  <si>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</si>
  <si>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</si>
  <si>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</si>
  <si>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</si>
  <si>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</si>
  <si>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</si>
  <si>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</si>
  <si>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</si>
  <si>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</si>
  <si>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</si>
  <si>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</si>
  <si>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</si>
  <si>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</si>
  <si>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</si>
  <si>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</si>
  <si>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</si>
  <si>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</si>
  <si>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</si>
  <si>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</si>
  <si>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</si>
  <si>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</si>
  <si>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</si>
  <si>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</si>
  <si>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</si>
  <si>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</si>
  <si>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</si>
  <si>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</si>
  <si>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</si>
  <si>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</si>
  <si>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</si>
  <si>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</si>
  <si>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</si>
  <si>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</si>
  <si>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</si>
  <si>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</si>
  <si>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</si>
  <si>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</si>
  <si>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</si>
  <si>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</si>
  <si>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</si>
  <si>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</si>
  <si>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</si>
  <si>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</si>
  <si>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</si>
  <si>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</si>
  <si>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</si>
  <si>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</si>
  <si>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</si>
  <si>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</si>
  <si>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</si>
  <si>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</si>
  <si>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</si>
  <si>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</si>
  <si>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</si>
  <si>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</si>
  <si>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</si>
  <si>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</si>
  <si>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</si>
  <si>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</si>
  <si>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</si>
  <si>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</si>
  <si>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</si>
  <si>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</si>
  <si>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</si>
  <si>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</si>
  <si>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</si>
  <si>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</si>
  <si>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</si>
  <si>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</si>
  <si>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</si>
  <si>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</si>
  <si>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</si>
  <si>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</si>
  <si>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</si>
  <si>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</si>
  <si>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</si>
  <si>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</si>
  <si>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</si>
  <si>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</si>
  <si>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</si>
  <si>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</si>
  <si>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</si>
  <si>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</si>
  <si>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</si>
  <si>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</si>
  <si>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</si>
  <si>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</si>
  <si>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</si>
  <si>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</si>
  <si>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</si>
  <si>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</si>
  <si>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</si>
  <si>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</si>
  <si>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</si>
  <si>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</si>
  <si>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</si>
  <si>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</si>
  <si>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</si>
  <si>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</si>
  <si>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</si>
  <si>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</si>
  <si>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</si>
  <si>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</si>
  <si>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</si>
  <si>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</si>
  <si>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</si>
  <si>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</si>
  <si>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</si>
  <si>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</si>
  <si>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</si>
  <si>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</si>
  <si>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</si>
  <si>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</si>
  <si>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</si>
  <si>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</si>
  <si>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</si>
  <si>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</si>
  <si>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</si>
  <si>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</si>
  <si>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</si>
  <si>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</si>
  <si>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</si>
  <si>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</si>
  <si>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</si>
  <si>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</si>
  <si>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</si>
  <si>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</si>
  <si>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</si>
  <si>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</si>
  <si>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</si>
  <si>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</si>
  <si>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</si>
  <si>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</si>
  <si>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</si>
  <si>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</si>
  <si>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</si>
  <si>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</si>
  <si>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</si>
  <si>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</si>
  <si>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</si>
  <si>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</si>
  <si>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</si>
  <si>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</si>
  <si>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</si>
  <si>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</si>
  <si>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</si>
  <si>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</si>
  <si>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</si>
  <si>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</si>
  <si>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</si>
  <si>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</si>
  <si>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</si>
  <si>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</si>
  <si>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</si>
  <si>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</si>
  <si>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</si>
  <si>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</si>
  <si>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</si>
  <si>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</si>
  <si>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</si>
  <si>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</si>
  <si>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</si>
  <si>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</si>
  <si>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</si>
  <si>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</si>
  <si>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</si>
  <si>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</si>
  <si>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</si>
  <si>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</si>
  <si>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</si>
  <si>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</si>
  <si>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</si>
  <si>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</si>
  <si>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</si>
  <si>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</si>
  <si>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</si>
  <si>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</si>
  <si>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</si>
  <si>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</si>
  <si>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</si>
  <si>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</si>
  <si>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</si>
  <si>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</si>
  <si>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</si>
  <si>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</si>
  <si>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</si>
  <si>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</si>
  <si>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</si>
  <si>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</si>
  <si>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</si>
  <si>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</si>
  <si>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</si>
  <si>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</si>
  <si>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</si>
  <si>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</si>
  <si>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</si>
  <si>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</si>
  <si>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</si>
  <si>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</si>
  <si>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</si>
  <si>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</si>
  <si>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</si>
  <si>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</si>
  <si>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</si>
  <si>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</si>
  <si>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</si>
  <si>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</si>
  <si>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</si>
  <si>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</si>
  <si>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</si>
  <si>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</si>
  <si>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</si>
  <si>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</si>
  <si>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</si>
  <si>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</si>
  <si>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</si>
  <si>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</si>
  <si>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</si>
  <si>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</si>
  <si>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</si>
  <si>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</si>
  <si>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</si>
  <si>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</si>
  <si>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</si>
  <si>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</si>
  <si>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</si>
  <si>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</si>
  <si>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</si>
  <si>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</si>
  <si>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</si>
  <si>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</si>
  <si>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</si>
  <si>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</si>
  <si>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</si>
  <si>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</si>
  <si>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</si>
  <si>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</si>
  <si>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</si>
  <si>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</si>
  <si>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</si>
  <si>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</si>
  <si>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</si>
  <si>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</si>
  <si>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</si>
  <si>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</si>
  <si>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</si>
  <si>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</si>
  <si>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</si>
  <si>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</si>
  <si>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</si>
  <si>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</si>
  <si>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</si>
  <si>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</si>
  <si>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</si>
  <si>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</si>
  <si>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</si>
  <si>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</si>
  <si>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</si>
  <si>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</si>
  <si>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</si>
  <si>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</si>
  <si>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</si>
  <si>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</si>
  <si>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</si>
  <si>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</si>
  <si>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</si>
  <si>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</si>
  <si>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</si>
  <si>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</si>
  <si>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</si>
  <si>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</si>
  <si>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</si>
  <si>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</si>
  <si>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</si>
  <si>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</si>
  <si>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</si>
  <si>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</si>
  <si>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</si>
  <si>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</si>
  <si>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</si>
  <si>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</si>
  <si>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</si>
  <si>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</si>
  <si>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</si>
  <si>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</si>
  <si>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</si>
  <si>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</si>
  <si>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</si>
  <si>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</si>
  <si>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</si>
  <si>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</si>
  <si>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</si>
  <si>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</si>
  <si>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</si>
  <si>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</si>
  <si>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</si>
  <si>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</si>
  <si>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</si>
  <si>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</si>
  <si>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</si>
  <si>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</si>
  <si>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</si>
  <si>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</si>
  <si>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</si>
  <si>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</si>
  <si>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</si>
  <si>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</si>
  <si>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</si>
  <si>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</si>
  <si>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</si>
  <si>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</si>
  <si>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</si>
  <si>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</si>
  <si>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</si>
  <si>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</si>
  <si>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</si>
  <si>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</si>
  <si>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</si>
  <si>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</si>
  <si>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</si>
  <si>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</si>
  <si>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</si>
  <si>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</si>
  <si>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</si>
  <si>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</si>
  <si>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</si>
  <si>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</si>
  <si>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</si>
  <si>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</si>
  <si>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</si>
  <si>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</si>
  <si>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</si>
  <si>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</si>
  <si>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</si>
  <si>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</si>
  <si>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</si>
  <si>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</si>
  <si>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</si>
  <si>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</si>
  <si>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</si>
  <si>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</si>
  <si>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</si>
  <si>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</si>
  <si>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</si>
  <si>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</si>
  <si>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</si>
  <si>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</si>
  <si>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</si>
  <si>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</si>
  <si>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</si>
  <si>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</si>
  <si>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</si>
  <si>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</si>
  <si>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</si>
  <si>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</si>
  <si>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</si>
  <si>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</si>
  <si>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</si>
  <si>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</si>
  <si>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</si>
  <si>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</si>
  <si>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</si>
  <si>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</si>
  <si>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</si>
  <si>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</si>
  <si>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</si>
  <si>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</si>
  <si>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</si>
  <si>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</si>
  <si>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</si>
  <si>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</si>
  <si>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</si>
  <si>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</si>
  <si>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</si>
  <si>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</si>
  <si>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</si>
  <si>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</si>
  <si>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</si>
  <si>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</si>
  <si>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</si>
  <si>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</si>
  <si>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</si>
  <si>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</si>
  <si>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</si>
  <si>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</si>
  <si>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</si>
  <si>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</si>
  <si>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</si>
  <si>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</si>
  <si>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</si>
  <si>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</si>
  <si>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</si>
  <si>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</si>
  <si>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</si>
  <si>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</si>
  <si>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</si>
  <si>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</si>
  <si>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</si>
  <si>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</si>
  <si>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</si>
  <si>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</si>
  <si>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</si>
  <si>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</si>
  <si>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</si>
  <si>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</si>
  <si>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</si>
  <si>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</si>
  <si>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</si>
  <si>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</si>
  <si>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</si>
  <si>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</si>
  <si>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</si>
  <si>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</si>
  <si>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</si>
  <si>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</si>
  <si>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</si>
  <si>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</si>
  <si>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</si>
  <si>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</si>
  <si>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</si>
  <si>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</si>
  <si>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</si>
  <si>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</si>
  <si>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</si>
  <si>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</si>
  <si>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</si>
  <si>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</si>
  <si>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</si>
  <si>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</si>
  <si>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</si>
  <si>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</si>
  <si>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</si>
  <si>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</si>
  <si>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</si>
  <si>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</si>
  <si>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</si>
  <si>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</si>
  <si>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</si>
  <si>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</si>
  <si>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</si>
  <si>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</si>
  <si>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</si>
  <si>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</si>
  <si>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</si>
  <si>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</si>
  <si>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</si>
  <si>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</si>
  <si>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</si>
  <si>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</si>
  <si>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</si>
  <si>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</si>
  <si>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</si>
  <si>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</si>
  <si>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</si>
  <si>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</si>
  <si>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</si>
  <si>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</si>
  <si>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</si>
  <si>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</si>
  <si>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</si>
  <si>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</si>
  <si>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</si>
  <si>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</si>
  <si>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</si>
  <si>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</si>
  <si>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</si>
  <si>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</si>
  <si>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</si>
  <si>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</si>
  <si>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</si>
  <si>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</si>
  <si>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</si>
  <si>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</si>
  <si>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</si>
  <si>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</si>
  <si>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</si>
  <si>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</si>
  <si>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</si>
  <si>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</si>
  <si>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</si>
  <si>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</si>
  <si>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</si>
  <si>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</si>
  <si>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</si>
  <si>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</si>
  <si>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</si>
  <si>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</si>
  <si>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</si>
  <si>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</si>
  <si>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</si>
  <si>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</si>
  <si>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</si>
  <si>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</si>
  <si>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</si>
  <si>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</si>
  <si>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</si>
  <si>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</si>
  <si>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</si>
  <si>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</si>
  <si>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</si>
  <si>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</si>
  <si>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</si>
  <si>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</si>
  <si>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</si>
  <si>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</si>
  <si>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</si>
  <si>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</si>
  <si>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</si>
  <si>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</si>
  <si>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</si>
  <si>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</si>
  <si>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</si>
  <si>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</si>
  <si>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</si>
  <si>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</si>
  <si>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</si>
  <si>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</si>
  <si>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</si>
  <si>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</si>
  <si>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</si>
  <si>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</si>
  <si>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</si>
  <si>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</si>
  <si>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</si>
  <si>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</si>
  <si>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</si>
  <si>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</si>
  <si>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</si>
  <si>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</si>
  <si>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</si>
  <si>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</si>
  <si>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</si>
  <si>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</si>
  <si>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</si>
  <si>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</si>
  <si>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</si>
  <si>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</si>
  <si>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</si>
  <si>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</si>
  <si>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</si>
  <si>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</si>
  <si>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</si>
  <si>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</si>
  <si>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</si>
  <si>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</si>
  <si>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</si>
  <si>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</si>
  <si>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</si>
  <si>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</si>
  <si>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</si>
  <si>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</si>
  <si>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</si>
  <si>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</si>
  <si>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</si>
  <si>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</si>
  <si>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</si>
  <si>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</si>
  <si>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</si>
  <si>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</si>
  <si>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</si>
  <si>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</si>
  <si>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</si>
  <si>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</si>
  <si>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</si>
  <si>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</si>
  <si>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</si>
  <si>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</si>
  <si>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</si>
  <si>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</si>
  <si>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</si>
  <si>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</si>
  <si>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</si>
  <si>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</si>
  <si>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</si>
  <si>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</si>
  <si>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</si>
  <si>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</si>
  <si>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</si>
  <si>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</si>
  <si>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</si>
  <si>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</si>
  <si>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</si>
  <si>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</si>
  <si>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</si>
  <si>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</si>
  <si>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</si>
  <si>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</si>
  <si>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</si>
  <si>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</si>
  <si>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</si>
  <si>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</si>
  <si>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</si>
  <si>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</si>
  <si>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</si>
  <si>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</si>
  <si>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</si>
  <si>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</si>
  <si>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</si>
  <si>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</si>
  <si>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</si>
  <si>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</si>
  <si>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</si>
  <si>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</si>
  <si>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</si>
  <si>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</si>
  <si>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</si>
  <si>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</si>
  <si>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</si>
  <si>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</si>
  <si>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</si>
  <si>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</si>
  <si>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</si>
  <si>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</si>
  <si>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</si>
  <si>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</si>
  <si>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</si>
  <si>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</si>
  <si>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</si>
  <si>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</si>
  <si>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</si>
  <si>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</si>
  <si>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</si>
  <si>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</si>
  <si>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</si>
  <si>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</si>
  <si>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</si>
  <si>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</si>
  <si>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</si>
  <si>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</si>
  <si>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</si>
  <si>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</si>
  <si>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</si>
  <si>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</si>
  <si>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</si>
  <si>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</si>
  <si>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</si>
  <si>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</si>
  <si>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</si>
  <si>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</si>
  <si>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</si>
  <si>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</si>
  <si>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</si>
  <si>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</si>
  <si>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</si>
  <si>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</si>
  <si>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</si>
  <si>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</si>
  <si>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</si>
  <si>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</si>
  <si>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</si>
  <si>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</si>
  <si>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</si>
  <si>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</si>
  <si>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</si>
  <si>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</si>
  <si>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</si>
  <si>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</si>
  <si>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</si>
  <si>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</si>
  <si>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</si>
  <si>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</si>
  <si>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</si>
  <si>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</si>
  <si>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</si>
  <si>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</si>
  <si>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</si>
  <si>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</si>
  <si>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</si>
  <si>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</si>
  <si>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</si>
  <si>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</si>
  <si>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</si>
  <si>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</si>
  <si>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</si>
  <si>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</si>
  <si>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</si>
  <si>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</si>
  <si>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</si>
  <si>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</si>
  <si>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</si>
  <si>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</si>
  <si>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</si>
  <si>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</si>
  <si>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</si>
  <si>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</si>
  <si>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</si>
  <si>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</si>
  <si>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</si>
  <si>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</si>
  <si>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</si>
  <si>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</si>
  <si>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</si>
  <si>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</si>
  <si>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</si>
  <si>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</si>
  <si>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</si>
  <si>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</si>
  <si>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</si>
  <si>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</si>
  <si>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</si>
  <si>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</si>
  <si>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</si>
  <si>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</si>
  <si>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</si>
  <si>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</si>
  <si>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</si>
  <si>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</si>
  <si>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</si>
  <si>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</si>
  <si>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</si>
  <si>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</si>
  <si>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</si>
  <si>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</si>
  <si>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</si>
  <si>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</si>
  <si>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</si>
  <si>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</si>
  <si>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</si>
  <si>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</si>
  <si>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</si>
  <si>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</si>
  <si>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</si>
  <si>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</si>
  <si>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</si>
  <si>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</si>
  <si>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</si>
  <si>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</si>
  <si>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</si>
  <si>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</si>
  <si>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</si>
  <si>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</si>
  <si>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</si>
  <si>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</si>
  <si>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</si>
  <si>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</si>
  <si>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</si>
  <si>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</si>
  <si>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</si>
  <si>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</si>
  <si>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</si>
  <si>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</si>
  <si>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</si>
  <si>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</si>
  <si>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</si>
  <si>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</si>
  <si>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</si>
  <si>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</si>
  <si>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</si>
  <si>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</si>
  <si>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</si>
  <si>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</si>
  <si>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</si>
  <si>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</si>
  <si>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</si>
  <si>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</si>
  <si>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</si>
  <si>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</si>
  <si>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</si>
  <si>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</si>
  <si>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</si>
  <si>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</si>
  <si>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</si>
  <si>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</si>
  <si>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</si>
  <si>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</si>
  <si>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</si>
  <si>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</si>
  <si>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</si>
  <si>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</si>
  <si>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</si>
  <si>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</si>
  <si>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</si>
  <si>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</si>
  <si>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</si>
  <si>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</si>
  <si>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</si>
  <si>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</si>
  <si>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</si>
  <si>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</si>
  <si>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</si>
  <si>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</si>
  <si>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</si>
  <si>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</si>
  <si>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</si>
  <si>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</si>
  <si>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</si>
  <si>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</si>
  <si>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</si>
  <si>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</si>
  <si>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</si>
  <si>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</si>
  <si>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</si>
  <si>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</si>
  <si>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</si>
  <si>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</si>
  <si>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</si>
  <si>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</si>
  <si>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</si>
  <si>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</si>
  <si>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</si>
  <si>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</si>
  <si>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</si>
  <si>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</si>
  <si>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</si>
  <si>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</si>
  <si>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</si>
  <si>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</si>
  <si>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</si>
  <si>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</si>
  <si>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</si>
  <si>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</si>
  <si>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</si>
  <si>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</si>
  <si>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</si>
  <si>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</si>
  <si>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</si>
  <si>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</si>
  <si>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</si>
  <si>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</si>
  <si>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</si>
  <si>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</si>
  <si>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</si>
  <si>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</si>
  <si>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</si>
  <si>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</si>
  <si>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</si>
  <si>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</si>
  <si>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</si>
  <si>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</si>
  <si>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</si>
  <si>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</si>
  <si>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</si>
  <si>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</si>
  <si>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</si>
  <si>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</si>
  <si>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</si>
  <si>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</si>
  <si>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</si>
  <si>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</si>
  <si>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</si>
  <si>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</si>
  <si>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</si>
  <si>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</si>
  <si>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</si>
  <si>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</si>
  <si>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</si>
  <si>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</si>
  <si>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</si>
  <si>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</si>
  <si>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</si>
  <si>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</si>
  <si>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</si>
  <si>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</si>
  <si>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</si>
  <si>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</si>
  <si>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</si>
  <si>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</si>
  <si>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</si>
  <si>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</si>
  <si>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</si>
  <si>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</si>
  <si>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</si>
  <si>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</si>
  <si>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</si>
  <si>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</si>
  <si>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</si>
  <si>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</si>
  <si>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</si>
  <si>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</si>
  <si>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</si>
  <si>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</si>
  <si>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</si>
  <si>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</si>
  <si>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</si>
  <si>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</si>
  <si>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</si>
  <si>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</si>
  <si>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</si>
  <si>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</si>
  <si>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</si>
  <si>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</si>
  <si>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</si>
  <si>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</si>
  <si>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</si>
  <si>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</si>
  <si>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</si>
  <si>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</si>
  <si>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</si>
  <si>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</si>
  <si>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</si>
  <si>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</si>
  <si>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</si>
  <si>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</si>
  <si>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</si>
  <si>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</si>
  <si>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</si>
  <si>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</si>
  <si>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</si>
  <si>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</si>
  <si>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</si>
  <si>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</si>
  <si>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</si>
  <si>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</si>
  <si>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</si>
  <si>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</si>
  <si>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</si>
  <si>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</si>
  <si>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</si>
  <si>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</si>
  <si>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</si>
  <si>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</si>
  <si>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</si>
  <si>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</si>
  <si>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</si>
  <si>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</si>
  <si>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</si>
  <si>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</si>
  <si>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</si>
  <si>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</si>
  <si>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</si>
  <si>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</si>
  <si>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</si>
  <si>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</si>
  <si>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</si>
  <si>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</si>
  <si>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</si>
  <si>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</si>
  <si>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</si>
  <si>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</si>
  <si>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</si>
  <si>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</si>
  <si>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</si>
  <si>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</si>
  <si>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</si>
  <si>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</si>
  <si>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</si>
  <si>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</si>
  <si>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</si>
  <si>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</si>
  <si>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</si>
  <si>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</si>
  <si>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</si>
  <si>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</si>
  <si>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</si>
  <si>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</si>
  <si>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</si>
  <si>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</si>
  <si>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</si>
  <si>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</si>
  <si>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</si>
  <si>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</si>
  <si>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</si>
  <si>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</si>
  <si>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</si>
  <si>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</si>
  <si>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</si>
  <si>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</si>
  <si>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</si>
  <si>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</si>
  <si>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</si>
  <si>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</si>
  <si>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</si>
  <si>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</si>
  <si>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</si>
  <si>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</si>
  <si>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</si>
  <si>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</si>
  <si>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</si>
  <si>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</si>
  <si>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</si>
  <si>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</si>
  <si>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</si>
  <si>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</si>
  <si>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</si>
  <si>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</si>
  <si>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</si>
  <si>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</si>
  <si>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</si>
  <si>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</si>
  <si>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</si>
  <si>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</si>
  <si>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</si>
  <si>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</si>
  <si>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</si>
  <si>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</si>
  <si>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</si>
  <si>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</si>
  <si>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</si>
  <si>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</si>
  <si>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</si>
  <si>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</si>
  <si>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</si>
  <si>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</si>
  <si>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</si>
  <si>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</si>
  <si>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</si>
  <si>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</si>
  <si>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</si>
  <si>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</si>
  <si>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</si>
  <si>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</si>
  <si>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</si>
  <si>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</si>
  <si>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</si>
  <si>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</si>
  <si>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</si>
  <si>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</si>
  <si>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</si>
  <si>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</si>
  <si>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</si>
  <si>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</si>
  <si>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</si>
  <si>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</si>
  <si>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</si>
  <si>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</si>
  <si>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</si>
  <si>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</si>
  <si>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</si>
  <si>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</si>
  <si>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</si>
  <si>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</si>
  <si>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</si>
  <si>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</si>
  <si>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</si>
  <si>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</si>
  <si>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</si>
  <si>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</si>
  <si>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</si>
  <si>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</si>
  <si>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</si>
  <si>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</si>
  <si>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</si>
  <si>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</si>
  <si>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</si>
  <si>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</si>
  <si>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</si>
  <si>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</si>
  <si>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</si>
  <si>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</si>
  <si>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</si>
  <si>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</si>
  <si>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</si>
  <si>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</si>
  <si>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</si>
  <si>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</si>
  <si>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</si>
  <si>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</si>
  <si>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</si>
  <si>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</si>
  <si>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</si>
  <si>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</si>
  <si>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</si>
  <si>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</si>
  <si>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</si>
  <si>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</si>
  <si>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</si>
  <si>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</si>
  <si>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</si>
  <si>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</si>
  <si>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</si>
  <si>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</si>
  <si>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</si>
  <si>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</si>
  <si>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</si>
  <si>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</si>
  <si>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</si>
  <si>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</si>
  <si>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</si>
  <si>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</si>
  <si>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</si>
  <si>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</si>
  <si>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</si>
  <si>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</si>
  <si>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</si>
  <si>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</si>
  <si>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</si>
  <si>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</si>
  <si>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</si>
  <si>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</si>
  <si>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</si>
  <si>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</si>
  <si>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</si>
  <si>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</si>
  <si>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</si>
  <si>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</si>
  <si>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</si>
  <si>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</si>
  <si>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</si>
  <si>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</si>
  <si>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</si>
  <si>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</si>
  <si>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</si>
  <si>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</si>
  <si>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</si>
  <si>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</si>
  <si>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</si>
  <si>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</si>
  <si>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</si>
  <si>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</si>
  <si>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</si>
  <si>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</si>
  <si>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</si>
  <si>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</si>
  <si>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</si>
  <si>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</si>
  <si>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</si>
  <si>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</si>
  <si>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</si>
  <si>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</si>
  <si>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</si>
  <si>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</si>
  <si>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</si>
  <si>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</si>
  <si>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</si>
  <si>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</si>
  <si>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</si>
  <si>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</si>
  <si>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</si>
  <si>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</si>
  <si>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</si>
  <si>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</si>
  <si>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</si>
  <si>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</si>
  <si>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</si>
  <si>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</si>
  <si>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</si>
  <si>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</si>
  <si>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</si>
  <si>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</si>
  <si>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</si>
  <si>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</si>
  <si>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</si>
  <si>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</si>
  <si>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</si>
  <si>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</si>
  <si>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</si>
  <si>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</si>
  <si>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</si>
  <si>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</si>
  <si>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</si>
  <si>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</si>
  <si>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</si>
  <si>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</si>
  <si>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</si>
  <si>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</si>
  <si>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</si>
  <si>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</si>
  <si>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</si>
  <si>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</si>
  <si>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</si>
  <si>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</si>
  <si>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</si>
  <si>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</si>
  <si>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</si>
  <si>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</si>
  <si>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</si>
  <si>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</si>
  <si>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</si>
  <si>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</si>
  <si>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</si>
  <si>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</si>
  <si>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</si>
  <si>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</si>
  <si>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</si>
  <si>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</si>
  <si>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</si>
  <si>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</si>
  <si>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</si>
  <si>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</si>
  <si>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</si>
  <si>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</si>
  <si>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</si>
  <si>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</si>
  <si>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</si>
  <si>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</si>
  <si>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</si>
  <si>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</si>
  <si>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</si>
  <si>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</si>
  <si>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</si>
  <si>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</si>
  <si>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</si>
  <si>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</si>
  <si>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</si>
  <si>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</si>
  <si>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</si>
  <si>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</si>
  <si>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</si>
  <si>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</si>
  <si>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</si>
  <si>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</si>
  <si>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</si>
  <si>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</si>
  <si>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</si>
  <si>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</si>
  <si>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</si>
  <si>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</si>
  <si>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</si>
  <si>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</si>
  <si>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</si>
  <si>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</si>
  <si>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</si>
  <si>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</si>
  <si>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</si>
  <si>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</si>
  <si>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</si>
  <si>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</si>
  <si>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</si>
  <si>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</si>
  <si>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</si>
  <si>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</si>
  <si>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</si>
  <si>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</si>
  <si>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</si>
  <si>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</si>
  <si>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</si>
  <si>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</si>
  <si>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</si>
  <si>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</si>
  <si>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</si>
  <si>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</si>
  <si>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</si>
  <si>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</si>
  <si>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</si>
  <si>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</si>
  <si>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</si>
  <si>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</si>
  <si>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</si>
  <si>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</si>
  <si>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</si>
  <si>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</si>
  <si>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</si>
  <si>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</si>
  <si>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</si>
  <si>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</si>
  <si>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</si>
  <si>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</si>
  <si>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</si>
  <si>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</si>
  <si>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</si>
  <si>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</si>
  <si>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</si>
  <si>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</si>
  <si>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</si>
  <si>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</si>
  <si>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</si>
  <si>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</si>
  <si>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</si>
  <si>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</si>
  <si>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</si>
  <si>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</si>
  <si>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</si>
  <si>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</si>
  <si>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</si>
  <si>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</si>
  <si>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</si>
  <si>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</si>
  <si>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</si>
  <si>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</si>
  <si>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</si>
  <si>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</si>
  <si>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</si>
  <si>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</si>
  <si>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</si>
  <si>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</si>
  <si>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</si>
  <si>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</si>
  <si>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</si>
  <si>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</si>
  <si>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</si>
  <si>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</si>
  <si>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</si>
  <si>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</si>
  <si>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</si>
  <si>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</si>
  <si>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</si>
  <si>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</si>
  <si>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</si>
  <si>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</si>
  <si>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</si>
  <si>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</si>
  <si>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</si>
  <si>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</si>
  <si>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</si>
  <si>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</si>
  <si>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</si>
  <si>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</si>
  <si>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</si>
  <si>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</si>
  <si>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</si>
  <si>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</si>
  <si>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</si>
  <si>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</si>
  <si>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</si>
  <si>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</si>
  <si>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</si>
  <si>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</si>
  <si>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</si>
  <si>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</si>
  <si>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</si>
  <si>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</si>
  <si>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</si>
  <si>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</si>
  <si>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</si>
  <si>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</si>
  <si>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</si>
  <si>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</si>
  <si>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</si>
  <si>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</si>
  <si>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</si>
  <si>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</si>
  <si>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</si>
  <si>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</si>
  <si>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</si>
  <si>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</si>
  <si>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</si>
  <si>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</si>
  <si>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</si>
  <si>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</si>
  <si>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</si>
  <si>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</si>
  <si>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</si>
  <si>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</si>
  <si>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</si>
  <si>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</si>
  <si>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</si>
  <si>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</si>
  <si>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</si>
  <si>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</si>
  <si>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</si>
  <si>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</si>
  <si>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</si>
  <si>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</si>
  <si>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</si>
  <si>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</si>
  <si>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</si>
  <si>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</si>
  <si>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</si>
  <si>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</si>
  <si>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</si>
  <si>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</si>
  <si>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</si>
  <si>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</si>
  <si>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</si>
  <si>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</si>
  <si>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</si>
  <si>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</si>
  <si>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</si>
  <si>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</si>
  <si>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</si>
  <si>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</si>
  <si>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</si>
  <si>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</si>
  <si>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</si>
  <si>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</si>
  <si>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</si>
  <si>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</si>
  <si>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</si>
  <si>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</si>
  <si>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</si>
  <si>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</si>
  <si>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</si>
  <si>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</si>
  <si>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</si>
  <si>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</si>
  <si>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</si>
  <si>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</si>
  <si>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</si>
  <si>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</si>
  <si>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</si>
  <si>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</si>
  <si>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</si>
  <si>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</si>
  <si>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</si>
  <si>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</si>
  <si>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</si>
  <si>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</si>
  <si>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</si>
  <si>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</si>
  <si>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</si>
  <si>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</si>
  <si>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</si>
  <si>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</si>
  <si>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</si>
  <si>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</si>
  <si>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</si>
  <si>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</si>
  <si>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</si>
  <si>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</si>
  <si>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</si>
  <si>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</si>
  <si>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</si>
  <si>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</si>
  <si>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</si>
  <si>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</si>
  <si>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</si>
  <si>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</si>
  <si>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</si>
  <si>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</si>
  <si>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</si>
  <si>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</si>
  <si>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</si>
  <si>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</si>
  <si>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</si>
  <si>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</si>
  <si>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</si>
  <si>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</si>
  <si>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</si>
  <si>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</si>
  <si>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</si>
  <si>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</si>
  <si>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</si>
  <si>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</si>
  <si>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</si>
  <si>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</si>
  <si>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</si>
  <si>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</si>
  <si>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</si>
  <si>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</si>
  <si>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</si>
  <si>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</si>
  <si>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</si>
  <si>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</si>
  <si>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</si>
  <si>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</si>
  <si>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</si>
  <si>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</si>
  <si>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</si>
  <si>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</si>
  <si>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</si>
  <si>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</si>
  <si>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</si>
  <si>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</si>
  <si>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</si>
  <si>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</si>
  <si>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</si>
  <si>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</si>
  <si>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</si>
  <si>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</si>
  <si>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</si>
  <si>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</si>
  <si>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</si>
  <si>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</si>
  <si>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</si>
  <si>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</si>
  <si>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</si>
  <si>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</si>
  <si>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</si>
  <si>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</si>
  <si>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</si>
  <si>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</si>
  <si>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</si>
  <si>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</si>
  <si>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</si>
  <si>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</si>
  <si>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</si>
  <si>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</si>
  <si>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</si>
  <si>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</si>
  <si>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</si>
  <si>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</si>
  <si>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</si>
  <si>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</si>
  <si>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</si>
  <si>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</si>
  <si>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</si>
  <si>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</si>
  <si>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</si>
  <si>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</si>
  <si>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</si>
  <si>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</si>
  <si>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</si>
  <si>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</si>
  <si>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</si>
  <si>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</si>
  <si>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</si>
  <si>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</si>
  <si>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</si>
  <si>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</si>
  <si>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</si>
  <si>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</si>
  <si>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</si>
  <si>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</si>
  <si>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</si>
  <si>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</si>
  <si>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</si>
  <si>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</si>
  <si>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</si>
  <si>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</si>
  <si>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</si>
  <si>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</si>
  <si>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</si>
  <si>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</si>
  <si>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</si>
  <si>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</si>
  <si>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</si>
  <si>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</si>
  <si>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</si>
  <si>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</si>
  <si>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</si>
  <si>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</si>
  <si>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</si>
  <si>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</si>
  <si>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</si>
  <si>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</si>
  <si>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</si>
  <si>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</si>
  <si>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</si>
  <si>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</si>
  <si>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</si>
  <si>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</si>
  <si>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</si>
  <si>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</si>
  <si>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</si>
  <si>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</si>
  <si>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</si>
  <si>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</si>
  <si>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</si>
  <si>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</si>
  <si>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</si>
  <si>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</si>
  <si>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</si>
  <si>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</si>
  <si>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</si>
  <si>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</si>
  <si>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</si>
  <si>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</si>
  <si>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</si>
  <si>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</si>
  <si>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</si>
  <si>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</si>
  <si>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</si>
  <si>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</si>
  <si>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</si>
  <si>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</si>
  <si>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</si>
  <si>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</si>
  <si>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</si>
  <si>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</si>
  <si>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</si>
  <si>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</si>
  <si>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</si>
  <si>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</si>
  <si>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</si>
  <si>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</si>
  <si>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</si>
  <si>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</si>
  <si>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</si>
  <si>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</si>
  <si>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</si>
  <si>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</si>
  <si>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</si>
  <si>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</si>
  <si>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</si>
  <si>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</si>
  <si>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</si>
  <si>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</si>
  <si>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</si>
  <si>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</si>
  <si>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</si>
  <si>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</si>
  <si>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</si>
  <si>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</si>
  <si>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</si>
  <si>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</si>
  <si>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</si>
  <si>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</si>
  <si>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</si>
  <si>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</si>
  <si>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</si>
  <si>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</si>
  <si>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</si>
  <si>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</si>
  <si>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</si>
  <si>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</si>
  <si>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</si>
  <si>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</si>
  <si>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</si>
  <si>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</si>
  <si>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</si>
  <si>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</si>
  <si>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</si>
  <si>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</si>
  <si>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</si>
  <si>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</si>
  <si>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</si>
  <si>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</si>
  <si>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</si>
  <si>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</si>
  <si>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</si>
  <si>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</si>
  <si>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</si>
  <si>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</si>
  <si>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</si>
  <si>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</si>
  <si>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</si>
  <si>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</si>
  <si>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</si>
  <si>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</si>
  <si>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</si>
  <si>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</si>
  <si>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</si>
  <si>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</si>
  <si>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</si>
  <si>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</si>
  <si>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</si>
  <si>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</si>
  <si>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</si>
  <si>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</si>
  <si>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</si>
  <si>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</si>
  <si>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</si>
  <si>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</si>
  <si>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</si>
  <si>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</si>
  <si>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</si>
  <si>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</si>
  <si>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</si>
  <si>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</si>
  <si>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</si>
  <si>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</si>
  <si>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</si>
  <si>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</si>
  <si>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</si>
  <si>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</si>
  <si>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</si>
  <si>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</si>
  <si>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</si>
  <si>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</si>
  <si>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</si>
  <si>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</si>
  <si>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</si>
  <si>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</si>
  <si>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</si>
  <si>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</si>
  <si>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</si>
  <si>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</si>
  <si>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</si>
  <si>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</si>
  <si>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</si>
  <si>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</si>
  <si>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</si>
  <si>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</si>
  <si>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</si>
  <si>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</si>
  <si>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</si>
  <si>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</si>
  <si>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</si>
  <si>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</si>
  <si>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</si>
  <si>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</si>
  <si>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</si>
  <si>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</si>
  <si>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</si>
  <si>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</si>
  <si>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</si>
  <si>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</si>
  <si>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</si>
  <si>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</si>
  <si>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</si>
  <si>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</si>
  <si>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</si>
  <si>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</si>
  <si>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</si>
  <si>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</si>
  <si>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</si>
  <si>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</si>
  <si>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</si>
  <si>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</si>
  <si>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</si>
  <si>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</si>
  <si>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</si>
  <si>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</si>
  <si>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</si>
  <si>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</si>
  <si>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</si>
  <si>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</si>
  <si>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</si>
  <si>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</si>
  <si>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</si>
  <si>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</si>
  <si>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</si>
  <si>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</si>
  <si>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</si>
  <si>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</si>
  <si>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</si>
  <si>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</si>
  <si>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</si>
  <si>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</si>
  <si>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</si>
  <si>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</si>
  <si>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</si>
  <si>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</si>
  <si>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</si>
  <si>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</si>
  <si>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</si>
  <si>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</si>
  <si>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</si>
  <si>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</si>
  <si>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</si>
  <si>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</si>
  <si>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</si>
  <si>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</si>
  <si>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</si>
  <si>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</si>
  <si>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</si>
  <si>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</si>
  <si>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</si>
  <si>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</si>
  <si>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</si>
  <si>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</si>
  <si>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</si>
  <si>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</si>
  <si>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</si>
  <si>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</si>
  <si>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</si>
  <si>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</si>
  <si>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</si>
  <si>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</si>
  <si>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</si>
  <si>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</si>
  <si>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</si>
  <si>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</si>
  <si>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</si>
  <si>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</si>
  <si>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</si>
  <si>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</si>
  <si>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</si>
  <si>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</si>
  <si>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</si>
  <si>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</si>
  <si>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</si>
  <si>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</si>
  <si>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</si>
  <si>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</si>
  <si>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</si>
  <si>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</si>
  <si>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</si>
  <si>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</si>
  <si>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</si>
  <si>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</si>
  <si>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</si>
  <si>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</si>
  <si>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</si>
  <si>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</si>
  <si>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</si>
  <si>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</si>
  <si>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</si>
  <si>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</si>
  <si>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</si>
  <si>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</si>
  <si>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</si>
  <si>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</si>
  <si>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</si>
  <si>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</si>
  <si>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</si>
  <si>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</si>
  <si>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</si>
  <si>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</si>
  <si>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</si>
  <si>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</si>
  <si>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</si>
  <si>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</si>
  <si>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</si>
  <si>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</si>
  <si>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</si>
  <si>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</si>
  <si>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</si>
  <si>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</si>
  <si>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</si>
  <si>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</si>
  <si>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</si>
  <si>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</si>
  <si>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</si>
  <si>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</si>
  <si>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</si>
  <si>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</si>
  <si>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</si>
  <si>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</si>
  <si>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</si>
  <si>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</si>
  <si>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</si>
  <si>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</si>
  <si>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</si>
  <si>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</si>
  <si>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</si>
  <si>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</si>
  <si>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</si>
  <si>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</si>
  <si>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</si>
  <si>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</si>
  <si>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</si>
  <si>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</si>
  <si>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</si>
  <si>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</si>
  <si>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</si>
  <si>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</si>
  <si>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</si>
  <si>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</si>
  <si>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</si>
  <si>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</si>
  <si>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</si>
  <si>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</si>
  <si>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</si>
  <si>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</si>
  <si>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</si>
  <si>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</si>
  <si>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</si>
  <si>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</si>
  <si>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</si>
  <si>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</si>
  <si>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</si>
  <si>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</si>
  <si>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</si>
  <si>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</si>
  <si>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</si>
  <si>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</si>
  <si>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</si>
  <si>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</si>
  <si>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</si>
  <si>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</si>
  <si>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</si>
  <si>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</si>
  <si>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</si>
  <si>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</si>
  <si>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</si>
  <si>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</si>
  <si>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</si>
  <si>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</si>
  <si>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</si>
  <si>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</si>
  <si>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</si>
  <si>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</si>
  <si>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</si>
  <si>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</si>
  <si>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</si>
  <si>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</si>
  <si>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</si>
  <si>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</si>
  <si>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</si>
  <si>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</si>
  <si>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</si>
  <si>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</si>
  <si>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</si>
  <si>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</si>
  <si>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</si>
  <si>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</si>
  <si>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</si>
  <si>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</si>
  <si>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</si>
  <si>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</si>
  <si>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</si>
  <si>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</si>
  <si>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</si>
  <si>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</si>
  <si>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</si>
  <si>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</si>
  <si>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</si>
  <si>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</si>
  <si>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</si>
  <si>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</si>
  <si>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</si>
  <si>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</si>
  <si>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</si>
  <si>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</si>
  <si>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</si>
  <si>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</si>
  <si>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</si>
  <si>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</si>
  <si>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</si>
  <si>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</si>
  <si>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</si>
  <si>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</si>
  <si>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</si>
  <si>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</si>
  <si>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</si>
  <si>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</si>
  <si>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</si>
  <si>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</si>
  <si>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</si>
  <si>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</si>
  <si>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</si>
  <si>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</si>
  <si>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</si>
  <si>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</si>
  <si>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</si>
  <si>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</si>
  <si>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</si>
  <si>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</si>
  <si>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</si>
  <si>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</si>
  <si>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</si>
  <si>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</si>
  <si>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</si>
  <si>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</si>
  <si>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</si>
  <si>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</si>
  <si>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</si>
  <si>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</si>
  <si>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</si>
  <si>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</si>
  <si>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</si>
  <si>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</si>
  <si>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</si>
  <si>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</si>
  <si>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</si>
  <si>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</si>
  <si>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</si>
  <si>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</si>
  <si>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</si>
  <si>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</si>
  <si>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</si>
  <si>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</si>
  <si>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</si>
  <si>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</si>
  <si>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</si>
  <si>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</si>
  <si>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</si>
  <si>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</si>
  <si>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</si>
  <si>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</si>
  <si>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</si>
  <si>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</si>
  <si>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</si>
  <si>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</si>
  <si>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</si>
  <si>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</si>
  <si>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</si>
  <si>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</si>
  <si>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</si>
  <si>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</si>
  <si>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</si>
  <si>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</si>
  <si>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</si>
  <si>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</si>
  <si>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</si>
  <si>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</si>
  <si>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</si>
  <si>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</si>
  <si>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</si>
  <si>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</si>
  <si>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</si>
  <si>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</si>
  <si>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</si>
  <si>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</si>
  <si>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</si>
  <si>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</si>
  <si>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</si>
  <si>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</si>
  <si>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</si>
  <si>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</si>
  <si>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</si>
  <si>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</si>
  <si>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</si>
  <si>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</si>
  <si>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</si>
  <si>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</si>
  <si>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</si>
  <si>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</si>
  <si>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</si>
  <si>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</si>
  <si>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</si>
  <si>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</si>
  <si>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</si>
  <si>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</si>
  <si>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</si>
  <si>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</si>
  <si>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</si>
  <si>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</si>
  <si>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</si>
  <si>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</si>
  <si>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</si>
  <si>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</si>
  <si>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</si>
  <si>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</si>
  <si>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</si>
  <si>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</si>
  <si>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</si>
  <si>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</si>
  <si>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</si>
  <si>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</si>
  <si>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</si>
  <si>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</si>
  <si>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</si>
  <si>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</si>
  <si>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</si>
  <si>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</si>
  <si>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</si>
  <si>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</si>
  <si>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</si>
  <si>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</si>
  <si>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</si>
  <si>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</si>
  <si>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</si>
  <si>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</si>
  <si>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</si>
  <si>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</si>
  <si>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</si>
  <si>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</si>
  <si>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</si>
  <si>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</si>
  <si>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</si>
  <si>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</si>
  <si>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</si>
  <si>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</si>
  <si>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</si>
  <si>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</si>
  <si>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</si>
  <si>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</si>
  <si>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</si>
  <si>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</si>
  <si>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</si>
  <si>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</si>
  <si>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</si>
  <si>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</si>
  <si>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</si>
  <si>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</si>
  <si>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</si>
  <si>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</si>
  <si>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</si>
  <si>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</si>
  <si>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</si>
  <si>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</si>
  <si>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</si>
  <si>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</si>
  <si>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</si>
  <si>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</si>
  <si>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</si>
  <si>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</si>
  <si>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</si>
  <si>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</si>
  <si>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</si>
  <si>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</si>
  <si>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</si>
  <si>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</si>
  <si>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</si>
  <si>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</si>
  <si>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</si>
  <si>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</si>
  <si>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</si>
  <si>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</si>
  <si>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</si>
  <si>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</si>
  <si>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</si>
  <si>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</si>
  <si>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</si>
  <si>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</si>
  <si>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</si>
  <si>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</si>
  <si>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</si>
  <si>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</si>
  <si>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</si>
  <si>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</si>
  <si>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</si>
  <si>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</si>
  <si>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</si>
  <si>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</si>
  <si>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</si>
  <si>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</si>
  <si>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</si>
  <si>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</si>
  <si>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</si>
  <si>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</si>
  <si>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</si>
  <si>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</si>
  <si>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</si>
  <si>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总额</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</si>
  <si>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</si>
  <si>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</si>
  <si>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</si>
  <si>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</si>
  <si>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</si>
  <si>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</si>
  <si>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</si>
  <si>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</si>
  <si>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</si>
  <si>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</si>
  <si>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</si>
  <si>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</si>
  <si>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封顶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</si>
  <si>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</si>
  <si>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</si>
  <si>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</si>
  <si>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</si>
  <si>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</si>
  <si>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</si>
  <si>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</si>
  <si>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</si>
  <si>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</si>
  <si>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</si>
  <si>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</si>
  <si>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</si>
  <si>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</si>
  <si>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</si>
  <si>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</si>
  <si>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</si>
  <si>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</si>
  <si>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商业项目</t>
  </si>
  <si>
    <t>商场</t>
  </si>
  <si>
    <t>否</t>
  </si>
  <si>
    <t>在建</t>
  </si>
  <si>
    <t>吴薇</t>
  </si>
  <si>
    <t>崔锴</t>
  </si>
  <si>
    <t>住宅</t>
  </si>
  <si>
    <t>有返租3年19%，5年26%，6年30%。</t>
    <phoneticPr fontId="143" type="noConversion"/>
  </si>
  <si>
    <t>规划建筑面积</t>
  </si>
  <si>
    <t>分摊土地面积</t>
  </si>
  <si>
    <t>2018-1-0631-F02DYGJ1</t>
    <phoneticPr fontId="6" type="noConversion"/>
  </si>
  <si>
    <t>屋顶层</t>
    <phoneticPr fontId="143" type="noConversion"/>
  </si>
  <si>
    <t>影院夹层</t>
    <phoneticPr fontId="143" type="noConversion"/>
  </si>
  <si>
    <t>五层</t>
    <phoneticPr fontId="143" type="noConversion"/>
  </si>
  <si>
    <t>四层</t>
    <phoneticPr fontId="143" type="noConversion"/>
  </si>
  <si>
    <t>三层</t>
    <phoneticPr fontId="143" type="noConversion"/>
  </si>
  <si>
    <t>二层</t>
    <phoneticPr fontId="143" type="noConversion"/>
  </si>
  <si>
    <t>一层</t>
    <phoneticPr fontId="143" type="noConversion"/>
  </si>
  <si>
    <t>地下一层</t>
    <phoneticPr fontId="143" type="noConversion"/>
  </si>
  <si>
    <t>地下二层</t>
    <phoneticPr fontId="143" type="noConversion"/>
  </si>
  <si>
    <t>地上面积</t>
    <phoneticPr fontId="143" type="noConversion"/>
  </si>
  <si>
    <t>地下面积</t>
    <phoneticPr fontId="143" type="noConversion"/>
  </si>
  <si>
    <t>测绘报告</t>
    <phoneticPr fontId="143" type="noConversion"/>
  </si>
  <si>
    <t>商业</t>
    <phoneticPr fontId="143" type="noConversion"/>
  </si>
  <si>
    <t>人防</t>
    <phoneticPr fontId="143" type="noConversion"/>
  </si>
  <si>
    <t>商业</t>
    <phoneticPr fontId="143" type="noConversion"/>
  </si>
  <si>
    <t>设备</t>
    <phoneticPr fontId="143" type="noConversion"/>
  </si>
  <si>
    <t>人防</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</si>
</sst>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6" fillId="6" borderId="10" xfId="0" applyFont="1" applyFill="1" applyBorder="1" applyAlignment="1">
      <alignment horizontal="center" vertical="center"/>
    </xf>
    <xf numFmtId="0" fontId="257"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6"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6"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8" fillId="6" borderId="23" xfId="0" applyNumberFormat="1" applyFont="1" applyFill="1" applyBorder="1" applyAlignment="1">
      <alignment horizontal="right" vertical="center"/>
    </xf>
    <xf numFmtId="0" fontId="258" fillId="6" borderId="1" xfId="0" applyFont="1" applyFill="1" applyBorder="1" applyAlignment="1">
      <alignment horizontal="right" vertical="center"/>
    </xf>
    <xf numFmtId="177" fontId="258" fillId="6" borderId="1" xfId="0" applyNumberFormat="1" applyFont="1" applyFill="1" applyBorder="1" applyAlignment="1">
      <alignment horizontal="center" vertical="center"/>
    </xf>
    <xf numFmtId="181" fontId="258" fillId="0" borderId="1" xfId="0" applyNumberFormat="1" applyFont="1" applyFill="1" applyBorder="1" applyAlignment="1" applyProtection="1">
      <alignment horizontal="center" vertical="center"/>
      <protection locked="0"/>
    </xf>
    <xf numFmtId="0" fontId="258" fillId="6" borderId="1" xfId="0" applyFont="1" applyFill="1" applyBorder="1" applyAlignment="1">
      <alignment horizontal="center" vertical="center"/>
    </xf>
    <xf numFmtId="0" fontId="258" fillId="0" borderId="1" xfId="0" applyFont="1" applyBorder="1">
      <alignment vertical="center"/>
    </xf>
    <xf numFmtId="10" fontId="258" fillId="0" borderId="1" xfId="0" applyNumberFormat="1" applyFont="1" applyBorder="1" applyAlignment="1" applyProtection="1">
      <alignment horizontal="center" vertical="center"/>
      <protection locked="0"/>
    </xf>
    <xf numFmtId="0" fontId="258" fillId="6" borderId="24" xfId="0" applyFont="1" applyFill="1" applyBorder="1" applyAlignment="1">
      <alignment horizontal="left" vertical="center"/>
    </xf>
    <xf numFmtId="0" fontId="258" fillId="0" borderId="0" xfId="0" applyFont="1">
      <alignment vertical="center"/>
    </xf>
    <xf numFmtId="10" fontId="258" fillId="0" borderId="1" xfId="0" applyNumberFormat="1" applyFont="1" applyFill="1" applyBorder="1" applyAlignment="1" applyProtection="1">
      <alignment horizontal="center" vertical="center"/>
    </xf>
    <xf numFmtId="181" fontId="258" fillId="6" borderId="0" xfId="0" applyNumberFormat="1" applyFont="1" applyFill="1">
      <alignment vertical="center"/>
    </xf>
    <xf numFmtId="0" fontId="259"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0"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6"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0" fillId="17" borderId="0" xfId="0" applyFill="1">
      <alignment vertical="center"/>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838200</xdr:colOff>
      <xdr:row>17</xdr:row>
      <xdr:rowOff>57150</xdr:rowOff>
    </xdr:from>
    <xdr:to>
      <xdr:col>10</xdr:col>
      <xdr:colOff>455927</xdr:colOff>
      <xdr:row>51</xdr:row>
      <xdr:rowOff>37374</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0" y="3133725"/>
          <a:ext cx="85140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康正预评字2018-1-0631-F02DYGJ1号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2019年5月10日（评估专业人员实地查勘之日）</v>
      </c>
    </row>
    <row r="13" spans="1:2" s="1596" customFormat="1">
      <c r="A13" s="1594" t="s">
        <v>1227</v>
      </c>
      <c r="B13" s="1595"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90067</v>
      </c>
    </row>
    <row r="21" spans="1:2" s="1596" customFormat="1">
      <c r="A21" s="1594" t="s">
        <v>1235</v>
      </c>
      <c r="B21" s="1595">
        <f ca="1">'预评函-2'!D7</f>
        <v>9268</v>
      </c>
    </row>
    <row r="22" spans="1:2" s="1596" customFormat="1">
      <c r="A22" s="1594" t="s">
        <v>1236</v>
      </c>
      <c r="B22" s="1595" t="str">
        <f ca="1">'预评函-2'!D6</f>
        <v>玖亿零陆拾柒万元整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90067</v>
      </c>
    </row>
    <row r="31" spans="1:2" s="1596" customFormat="1">
      <c r="A31" s="1594" t="s">
        <v>1274</v>
      </c>
      <c r="B31" s="1595">
        <f ca="1">'预评函-2'!D15</f>
        <v>9268</v>
      </c>
    </row>
    <row r="32" spans="1:2" s="1596" customFormat="1">
      <c r="A32" s="1594" t="s">
        <v>1241</v>
      </c>
      <c r="B32" s="1595" t="str">
        <f ca="1">'预评函-2'!D14</f>
        <v>玖亿零陆拾柒万元整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97185.05</v>
      </c>
    </row>
    <row r="44" spans="1:2" s="1596" customFormat="1">
      <c r="A44" s="1594" t="s">
        <v>1273</v>
      </c>
      <c r="B44" s="1595" t="str">
        <f>'预评函-3'!C2</f>
        <v>(分摊)土地面积</v>
      </c>
    </row>
    <row r="45" spans="1:2" s="1596" customFormat="1">
      <c r="A45" s="1594" t="s">
        <v>1245</v>
      </c>
      <c r="B45" s="1595">
        <f>'预评函-3'!C4</f>
        <v>31518.19</v>
      </c>
    </row>
    <row r="46" spans="1:2" s="1596" customFormat="1">
      <c r="A46" s="1594" t="s">
        <v>1271</v>
      </c>
      <c r="B46" s="1595" t="str">
        <f>'预评函-3'!D2</f>
        <v>出让国有建设用地使用权价值</v>
      </c>
    </row>
    <row r="47" spans="1:2" s="1596" customFormat="1">
      <c r="A47" s="1594" t="s">
        <v>1246</v>
      </c>
      <c r="B47" s="1595">
        <f ca="1">'预评函-3'!D4</f>
        <v>41341</v>
      </c>
    </row>
    <row r="48" spans="1:2" s="1596" customFormat="1">
      <c r="A48" s="1594" t="s">
        <v>1247</v>
      </c>
      <c r="B48" s="1595">
        <f ca="1">'预评函-3'!E4</f>
        <v>4254</v>
      </c>
    </row>
    <row r="49" spans="1:2" s="1596" customFormat="1">
      <c r="A49" s="1594" t="s">
        <v>1248</v>
      </c>
      <c r="B49" s="1595" t="str">
        <f ca="1">'预评函-3'!D5</f>
        <v>肆亿壹仟叁佰肆拾壹万元整</v>
      </c>
    </row>
    <row r="50" spans="1:2" s="1596" customFormat="1">
      <c r="A50" s="1594" t="s">
        <v>1272</v>
      </c>
      <c r="B50" s="1595" t="str">
        <f>'预评函-3'!F2</f>
        <v>在建建筑物价值</v>
      </c>
    </row>
    <row r="51" spans="1:2" s="1596" customFormat="1">
      <c r="A51" s="1594" t="s">
        <v>1249</v>
      </c>
      <c r="B51" s="1595">
        <f ca="1">'预评函-3'!F4</f>
        <v>48726</v>
      </c>
    </row>
    <row r="52" spans="1:2" s="1596" customFormat="1">
      <c r="A52" s="1594" t="s">
        <v>1250</v>
      </c>
      <c r="B52" s="1595">
        <f ca="1">'预评函-3'!G4</f>
        <v>5014</v>
      </c>
    </row>
    <row r="53" spans="1:2" s="1596" customFormat="1">
      <c r="A53" s="1594" t="s">
        <v>1278</v>
      </c>
      <c r="B53" s="1595" t="str">
        <f ca="1">'预评函-3'!F5</f>
        <v>肆亿捌仟柒佰贰拾陆万元整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0"/>
      <c r="B54" s="2025" t="s">
        <v>864</v>
      </c>
      <c r="C54" s="2022" t="s">
        <v>1281</v>
      </c>
    </row>
    <row r="55" spans="1:4">
      <c r="A55" s="3080"/>
      <c r="B55" s="2025" t="s">
        <v>865</v>
      </c>
      <c r="C55" s="2022" t="s">
        <v>1282</v>
      </c>
    </row>
    <row r="56" spans="1:4">
      <c r="A56" s="3080"/>
      <c r="B56" s="2025" t="s">
        <v>866</v>
      </c>
      <c r="C56" s="2022" t="s">
        <v>1286</v>
      </c>
    </row>
    <row r="57" spans="1:4">
      <c r="A57" s="308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81"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82"/>
      <c r="D1" s="3082"/>
      <c r="E1" s="3082"/>
      <c r="F1" s="3082"/>
      <c r="G1" s="3082"/>
      <c r="H1" s="3082"/>
      <c r="I1" s="308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t="s">
        <v>3264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43595</v>
      </c>
      <c r="C3" s="2040" t="s">
        <v>1779</v>
      </c>
      <c r="D3" s="2039">
        <f>B3</f>
        <v>43595</v>
      </c>
      <c r="E3" s="2029"/>
      <c r="F3" s="2029"/>
      <c r="G3" s="2029"/>
      <c r="H3" s="2029"/>
      <c r="I3" s="2029"/>
      <c r="J3" s="2029"/>
      <c r="K3" s="2030"/>
      <c r="L3" s="2031"/>
      <c r="M3" s="2031"/>
      <c r="N3" s="2032"/>
      <c r="O3" s="2033"/>
      <c r="P3" s="2032"/>
      <c r="Q3" s="2032"/>
      <c r="R3" s="2032"/>
      <c r="S3" s="2034"/>
    </row>
    <row r="4" spans="1:19" ht="18" customHeight="1" thickBot="1">
      <c r="A4" s="2041" t="s">
        <v>1780</v>
      </c>
      <c r="B4" s="2042" t="s">
        <v>3258</v>
      </c>
      <c r="C4" s="1040">
        <f ca="1">SUMIF(注册房地产估价师,B4,估价师及机构信息!B3:B24)</f>
        <v>1419970001</v>
      </c>
      <c r="D4" s="2042" t="s">
        <v>3259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54"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3058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3052</v>
      </c>
      <c r="C8" s="2057"/>
      <c r="D8" s="3084" t="s">
        <v>1785</v>
      </c>
      <c r="E8" s="2058" t="s">
        <v>3053</v>
      </c>
      <c r="F8" s="2059"/>
      <c r="G8" s="2029"/>
      <c r="H8" s="2029"/>
      <c r="I8" s="2029"/>
      <c r="J8" s="2045"/>
      <c r="K8" s="2046"/>
      <c r="L8" s="2031"/>
      <c r="M8" s="2031"/>
      <c r="N8" s="2032"/>
      <c r="O8" s="2033"/>
      <c r="P8" s="2032"/>
      <c r="Q8" s="2032"/>
      <c r="R8" s="2032"/>
    </row>
    <row r="9" spans="1:19" ht="18" customHeight="1" thickBot="1">
      <c r="A9" s="2043" t="s">
        <v>1786</v>
      </c>
      <c r="B9" s="2060" t="s">
        <v>3053</v>
      </c>
      <c r="C9" s="2061"/>
      <c r="D9" s="3085"/>
      <c r="E9" s="2060" t="s">
        <v>70</v>
      </c>
      <c r="F9" s="2062"/>
      <c r="G9" s="2063"/>
      <c r="H9" s="2063"/>
      <c r="I9" s="2063"/>
      <c r="J9" s="2045"/>
      <c r="K9" s="2055"/>
      <c r="L9" s="2031"/>
      <c r="M9" s="2031"/>
      <c r="N9" s="2032"/>
      <c r="O9" s="2033"/>
      <c r="P9" s="2032"/>
      <c r="Q9" s="2032"/>
      <c r="R9" s="2032"/>
    </row>
    <row r="10" spans="1:19" ht="18" customHeight="1" thickTop="1">
      <c r="A10" s="2064" t="s">
        <v>1787</v>
      </c>
      <c r="B10" s="2065" t="s">
        <v>3054</v>
      </c>
      <c r="C10" s="2956" t="s">
        <v>3056</v>
      </c>
      <c r="D10" s="2049"/>
      <c r="E10" s="2066" t="s">
        <v>1788</v>
      </c>
      <c r="F10" s="2955" t="s">
        <v>3055</v>
      </c>
      <c r="G10" s="2067"/>
      <c r="H10" s="2068"/>
      <c r="I10" s="2049"/>
      <c r="J10" s="2045"/>
      <c r="K10" s="2055"/>
      <c r="L10" s="2031"/>
      <c r="M10" s="2031"/>
      <c r="N10" s="2032"/>
      <c r="O10" s="2033"/>
      <c r="P10" s="2032"/>
      <c r="Q10" s="2032"/>
      <c r="R10" s="2032"/>
    </row>
    <row r="11" spans="1:19" ht="18" customHeight="1">
      <c r="A11" s="2069" t="s">
        <v>1789</v>
      </c>
      <c r="B11" s="2070" t="s">
        <v>3057</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3059</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f>E13</f>
        <v>55264</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31.96</v>
      </c>
      <c r="F15" s="1052" t="str">
        <f>IF(B12="出让",IF(F13="","",ROUNDDOWN(MIN((F13-$D$3)/365,F14),2)),F14)</f>
        <v/>
      </c>
      <c r="G15" s="1052">
        <f>IF(B12="出让",IF(G13="","",ROUNDDOWN(MIN((G13-$D$3)/365,G14),2)),G14)</f>
        <v>31.96</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91"/>
      <c r="C16" s="3092"/>
      <c r="D16" s="3093"/>
      <c r="E16" s="2085" t="s">
        <v>1802</v>
      </c>
      <c r="F16" s="3094"/>
      <c r="G16" s="3095"/>
      <c r="H16" s="3095"/>
      <c r="I16" s="3096"/>
      <c r="J16" s="2032"/>
      <c r="K16" s="2082"/>
      <c r="L16" s="2083"/>
      <c r="M16" s="2083"/>
      <c r="N16" s="2084"/>
      <c r="O16" s="2083"/>
      <c r="P16" s="2084"/>
      <c r="Q16" s="2032"/>
      <c r="R16" s="2032"/>
    </row>
    <row r="17" spans="1:22" ht="18" customHeight="1">
      <c r="A17" s="2086" t="s">
        <v>1803</v>
      </c>
      <c r="B17" s="2038" t="s">
        <v>1804</v>
      </c>
      <c r="C17" s="1057">
        <f>'数据-汇总表'!E3</f>
        <v>97185.05</v>
      </c>
      <c r="D17" s="2087" t="s">
        <v>1805</v>
      </c>
      <c r="E17" s="3097" t="s">
        <v>1806</v>
      </c>
      <c r="F17" s="3098"/>
      <c r="G17" s="3098"/>
      <c r="H17" s="3098"/>
      <c r="I17" s="3099"/>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31518.19</v>
      </c>
      <c r="D18" s="2090" t="s">
        <v>1805</v>
      </c>
      <c r="E18" s="3100" t="s">
        <v>1809</v>
      </c>
      <c r="F18" s="3101"/>
      <c r="G18" s="3101"/>
      <c r="H18" s="3101"/>
      <c r="I18" s="3102"/>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t="s">
        <v>3256</v>
      </c>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87" t="s">
        <v>1814</v>
      </c>
      <c r="C20" s="3088"/>
      <c r="D20" s="3089" t="s">
        <v>1815</v>
      </c>
      <c r="E20" s="3090"/>
      <c r="F20" s="2097" t="s">
        <v>1816</v>
      </c>
      <c r="G20" s="2045"/>
      <c r="H20" s="2045"/>
      <c r="I20" s="2045"/>
      <c r="J20" s="2045"/>
      <c r="K20" s="308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104" t="s">
        <v>1829</v>
      </c>
      <c r="B27" s="2064" t="s">
        <v>1830</v>
      </c>
      <c r="C27" s="2119" t="s">
        <v>3254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104"/>
      <c r="B28" s="2038" t="s">
        <v>1831</v>
      </c>
      <c r="C28" s="2121" t="s">
        <v>3255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104"/>
      <c r="B29" s="2038" t="s">
        <v>1832</v>
      </c>
      <c r="C29" s="2124" t="s">
        <v>3256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105"/>
      <c r="B30" s="2038" t="s">
        <v>1833</v>
      </c>
      <c r="C30" s="3106"/>
      <c r="D30" s="310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108" t="s">
        <v>1834</v>
      </c>
      <c r="B31" s="2126" t="s">
        <v>3257</v>
      </c>
      <c r="C31" s="2127" t="str">
        <f>IF(B31="现房","成新及维护状况正常否",IF(B31="在建","工程状态是否正常",IF(B31="土地","是否闲置","-")))</f>
        <v>工程状态是否正常</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109"/>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109"/>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3060</v>
      </c>
      <c r="C34" s="2133" t="s">
        <v>3061</v>
      </c>
      <c r="D34" s="2133" t="s">
        <v>3062</v>
      </c>
      <c r="E34" s="2133" t="s">
        <v>3063</v>
      </c>
      <c r="F34" s="2133" t="s">
        <v>3064</v>
      </c>
      <c r="G34" s="2133" t="s">
        <v>3065</v>
      </c>
      <c r="H34" s="2133" t="s">
        <v>70</v>
      </c>
      <c r="I34" s="2045"/>
      <c r="J34" s="2045"/>
      <c r="K34" s="1798">
        <f>COUNTIF(B34:H34,"——")</f>
        <v>1</v>
      </c>
      <c r="L34" s="2074" t="s">
        <v>1836</v>
      </c>
      <c r="M34" s="2074" t="s">
        <v>1837</v>
      </c>
      <c r="N34" s="2074" t="s">
        <v>1838</v>
      </c>
      <c r="O34" s="2074" t="s">
        <v>1839</v>
      </c>
      <c r="P34" s="2074" t="s">
        <v>1840</v>
      </c>
      <c r="Q34" s="2074" t="s">
        <v>1841</v>
      </c>
      <c r="R34" s="2074" t="s">
        <v>1842</v>
      </c>
      <c r="S34" s="3103" t="s">
        <v>1843</v>
      </c>
      <c r="T34" s="2134" t="str">
        <f>NUMBERSTRING(7-K34,1)&amp;"通"</f>
        <v>六通</v>
      </c>
      <c r="U34" s="2032"/>
      <c r="V34" s="2032"/>
    </row>
    <row r="35" spans="1:22" ht="18" customHeight="1">
      <c r="A35" s="2135"/>
      <c r="B35" s="3110" t="s">
        <v>1844</v>
      </c>
      <c r="C35" s="3110"/>
      <c r="D35" s="3110"/>
      <c r="E35" s="3110"/>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31518.19</v>
      </c>
      <c r="B3" s="14">
        <f>IF(C3="否",G5-AT5,G5)</f>
        <v>97185.05</v>
      </c>
      <c r="C3" s="2168" t="s">
        <v>3256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123757.97</v>
      </c>
      <c r="H5" s="16">
        <f t="shared" ref="H5:AT5" si="0">SUM(H13:H656)</f>
        <v>95794.92</v>
      </c>
      <c r="I5" s="16">
        <f t="shared" si="0"/>
        <v>78327.300000000017</v>
      </c>
      <c r="J5" s="16">
        <f t="shared" si="0"/>
        <v>0</v>
      </c>
      <c r="K5" s="16">
        <f t="shared" si="0"/>
        <v>7352.26</v>
      </c>
      <c r="L5" s="16">
        <f t="shared" si="0"/>
        <v>0</v>
      </c>
      <c r="M5" s="16">
        <f t="shared" si="0"/>
        <v>10115.359999999986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1390.13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1390.13</v>
      </c>
      <c r="AO5" s="16">
        <f t="shared" si="0"/>
        <v>0</v>
      </c>
      <c r="AP5" s="16">
        <f t="shared" si="0"/>
        <v>0</v>
      </c>
      <c r="AQ5" s="16">
        <f t="shared" si="0"/>
        <v>0</v>
      </c>
      <c r="AR5" s="16">
        <f t="shared" si="0"/>
        <v>0</v>
      </c>
      <c r="AS5" s="16">
        <f t="shared" si="0"/>
        <v>0</v>
      </c>
      <c r="AT5" s="16">
        <f t="shared" si="0"/>
        <v>26572.92</v>
      </c>
      <c r="AU5" s="1805"/>
      <c r="AV5" s="15" t="s">
        <v>1879</v>
      </c>
      <c r="AW5" s="1806"/>
      <c r="AX5" s="1806"/>
      <c r="AY5" s="17" t="s">
        <v>3</v>
      </c>
      <c r="AZ5" s="18">
        <f t="shared" ref="AZ5:BT5" si="1">SUM(AZ13:AZ656)</f>
        <v>97185.05</v>
      </c>
      <c r="BA5" s="18">
        <f t="shared" si="1"/>
        <v>95794.92</v>
      </c>
      <c r="BB5" s="18">
        <f t="shared" si="1"/>
        <v>78327.300000000017</v>
      </c>
      <c r="BC5" s="18">
        <f t="shared" si="1"/>
        <v>7352.26</v>
      </c>
      <c r="BD5" s="18">
        <f t="shared" si="1"/>
        <v>10115.359999999986</v>
      </c>
      <c r="BE5" s="18">
        <f t="shared" si="1"/>
        <v>0</v>
      </c>
      <c r="BF5" s="18">
        <f t="shared" si="1"/>
        <v>0</v>
      </c>
      <c r="BG5" s="18">
        <f t="shared" si="1"/>
        <v>0</v>
      </c>
      <c r="BH5" s="18">
        <f t="shared" si="1"/>
        <v>0</v>
      </c>
      <c r="BI5" s="18">
        <f t="shared" si="1"/>
        <v>0</v>
      </c>
      <c r="BJ5" s="18">
        <f t="shared" si="1"/>
        <v>0</v>
      </c>
      <c r="BK5" s="18">
        <f t="shared" si="1"/>
        <v>0</v>
      </c>
      <c r="BL5" s="18">
        <f t="shared" si="1"/>
        <v>1390.13</v>
      </c>
      <c r="BM5" s="18">
        <f t="shared" si="1"/>
        <v>0</v>
      </c>
      <c r="BN5" s="18">
        <f t="shared" si="1"/>
        <v>0</v>
      </c>
      <c r="BO5" s="18">
        <f t="shared" si="1"/>
        <v>0</v>
      </c>
      <c r="BP5" s="18">
        <f t="shared" si="1"/>
        <v>0</v>
      </c>
      <c r="BQ5" s="18">
        <f t="shared" si="1"/>
        <v>0</v>
      </c>
      <c r="BR5" s="18">
        <f t="shared" si="1"/>
        <v>1390.13</v>
      </c>
      <c r="BS5" s="18">
        <f t="shared" si="1"/>
        <v>0</v>
      </c>
      <c r="BT5" s="19">
        <f t="shared" si="1"/>
        <v>0</v>
      </c>
    </row>
    <row r="6" spans="1:72" s="2177" customFormat="1" ht="12.75">
      <c r="A6" s="15" t="s">
        <v>1880</v>
      </c>
      <c r="B6" s="2174"/>
      <c r="C6" s="2174"/>
      <c r="D6" s="2175"/>
      <c r="E6" s="16">
        <f>H6+AC6+AT6</f>
        <v>31518.180000000004</v>
      </c>
      <c r="F6" s="16" t="s">
        <v>1</v>
      </c>
      <c r="G6" s="16" t="s">
        <v>2</v>
      </c>
      <c r="H6" s="20">
        <f>SUMIF(I$12:AB$12,"总值",I6:AB6)</f>
        <v>31067.350000000002</v>
      </c>
      <c r="I6" s="16">
        <f t="shared" ref="I6:AB6" si="2">ROUND($A$3*I5/$B$3,2)</f>
        <v>25402.41</v>
      </c>
      <c r="J6" s="16">
        <f t="shared" si="2"/>
        <v>0</v>
      </c>
      <c r="K6" s="16">
        <f t="shared" si="2"/>
        <v>2384.42</v>
      </c>
      <c r="L6" s="16">
        <f t="shared" si="2"/>
        <v>0</v>
      </c>
      <c r="M6" s="16">
        <f t="shared" si="2"/>
        <v>3280.52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450.83</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31518.19</v>
      </c>
      <c r="AZ6" s="16" t="s">
        <v>3</v>
      </c>
      <c r="BA6" s="16">
        <f>ROUND($AY$6*BA5/$AZ$5,2)</f>
        <v>31067.360000000001</v>
      </c>
      <c r="BB6" s="16">
        <f>ROUND($AY$6*BB5/$AZ$5,2)</f>
        <v>25402.41</v>
      </c>
      <c r="BC6" s="16">
        <f t="shared" ref="BC6:BH6" si="4">ROUND($AY$6*BC5/$AZ$5,2)</f>
        <v>2384.42</v>
      </c>
      <c r="BD6" s="16">
        <f t="shared" si="4"/>
        <v>3280.52</v>
      </c>
      <c r="BE6" s="16">
        <f t="shared" si="4"/>
        <v>0</v>
      </c>
      <c r="BF6" s="16">
        <f t="shared" si="4"/>
        <v>0</v>
      </c>
      <c r="BG6" s="16">
        <f t="shared" si="4"/>
        <v>0</v>
      </c>
      <c r="BH6" s="16">
        <f t="shared" si="4"/>
        <v>0</v>
      </c>
      <c r="BI6" s="16">
        <f t="shared" ref="BI6:BT6" si="5">ROUND($AY$6*BI5/$AZ$5,2)</f>
        <v>0</v>
      </c>
      <c r="BJ6" s="16">
        <f t="shared" si="5"/>
        <v>0</v>
      </c>
      <c r="BK6" s="16">
        <f t="shared" si="5"/>
        <v>0</v>
      </c>
      <c r="BL6" s="16">
        <f t="shared" si="5"/>
        <v>450.83</v>
      </c>
      <c r="BM6" s="16">
        <f t="shared" si="5"/>
        <v>0</v>
      </c>
      <c r="BN6" s="16">
        <f t="shared" si="5"/>
        <v>0</v>
      </c>
      <c r="BO6" s="16">
        <f t="shared" si="5"/>
        <v>0</v>
      </c>
      <c r="BP6" s="16">
        <f t="shared" si="5"/>
        <v>0</v>
      </c>
      <c r="BQ6" s="16">
        <f t="shared" si="5"/>
        <v>0</v>
      </c>
      <c r="BR6" s="16">
        <f t="shared" si="5"/>
        <v>450.83</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3068</v>
      </c>
      <c r="J9" s="984"/>
      <c r="K9" s="2191" t="s">
        <v>3069</v>
      </c>
      <c r="L9" s="984"/>
      <c r="M9" s="2191" t="s">
        <v>3069</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3070</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3066</v>
      </c>
      <c r="D13" s="2213" t="s">
        <v>3067</v>
      </c>
      <c r="E13" s="16">
        <f>IF($C$3="是",ROUND($A$3*G13/$B$3,2),ROUND($A$3*(G13-AT13)/$B$3,2))</f>
        <v>31518.19</v>
      </c>
      <c r="F13" s="32"/>
      <c r="G13" s="33">
        <f>H13+AC13+AT13</f>
        <v>123757.97</v>
      </c>
      <c r="H13" s="20">
        <f>SUMIF(I$12:AB$12,"总值",I13:AB13)</f>
        <v>95794.92</v>
      </c>
      <c r="I13" s="2214">
        <f>Sheet2!B10-K13</f>
        <v>78327.300000000017</v>
      </c>
      <c r="J13" s="2214"/>
      <c r="K13" s="2214">
        <v>7352.26</v>
      </c>
      <c r="L13" s="2214"/>
      <c r="M13" s="2214">
        <f>Sheet2!M4-'数据-基础表'!AT13-'数据-基础表'!AN13-'数据-基础表'!K13-'数据-基础表'!I13</f>
        <v>10115.359999999986</v>
      </c>
      <c r="N13" s="2214"/>
      <c r="O13" s="2214"/>
      <c r="P13" s="2214"/>
      <c r="Q13" s="2214"/>
      <c r="R13" s="2214"/>
      <c r="S13" s="2214"/>
      <c r="T13" s="2214"/>
      <c r="U13" s="2214"/>
      <c r="V13" s="2214"/>
      <c r="W13" s="2214"/>
      <c r="X13" s="2214"/>
      <c r="Y13" s="2214"/>
      <c r="Z13" s="2214"/>
      <c r="AA13" s="2214"/>
      <c r="AB13" s="2214"/>
      <c r="AC13" s="16">
        <f>SUMIF(AD$12:AS$12,"总值",AD13:AS13)</f>
        <v>1390.13</v>
      </c>
      <c r="AD13" s="2215"/>
      <c r="AE13" s="2215"/>
      <c r="AF13" s="2215"/>
      <c r="AG13" s="2215"/>
      <c r="AH13" s="2215"/>
      <c r="AI13" s="2215"/>
      <c r="AJ13" s="2215"/>
      <c r="AK13" s="2215"/>
      <c r="AL13" s="2215"/>
      <c r="AM13" s="2215"/>
      <c r="AN13" s="2215">
        <f>Sheet2!K2</f>
        <v>1390.13</v>
      </c>
      <c r="AO13" s="2215"/>
      <c r="AP13" s="2215"/>
      <c r="AQ13" s="2215"/>
      <c r="AR13" s="2215"/>
      <c r="AS13" s="2215"/>
      <c r="AT13" s="2216">
        <f>Sheet2!M3</f>
        <v>26572.92</v>
      </c>
      <c r="AU13" s="2217"/>
      <c r="AV13" s="11">
        <f t="shared" ref="AV13:AX17" si="6">A13</f>
        <v>0</v>
      </c>
      <c r="AW13" s="11">
        <f t="shared" si="6"/>
        <v>0</v>
      </c>
      <c r="AX13" s="11" t="str">
        <f t="shared" si="6"/>
        <v>商业</v>
      </c>
      <c r="AY13" s="1809">
        <f>ROUND($AY$6*AZ13/$AZ$5,2)</f>
        <v>31518.19</v>
      </c>
      <c r="AZ13" s="16">
        <f>BA13+BL13</f>
        <v>97185.05</v>
      </c>
      <c r="BA13" s="16">
        <f>SUM(BB13:BK13)</f>
        <v>95794.92</v>
      </c>
      <c r="BB13" s="16">
        <f>IF($D13="是",I13-J13,0)</f>
        <v>78327.300000000017</v>
      </c>
      <c r="BC13" s="16">
        <f>IF($D13="是",K13-L13,0)</f>
        <v>7352.26</v>
      </c>
      <c r="BD13" s="16">
        <f>IF($D13="是",M13-N13,0)</f>
        <v>10115.359999999986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1390.13</v>
      </c>
      <c r="BM13" s="16">
        <f>IF($D13="是",AD13-AE13,0)</f>
        <v>0</v>
      </c>
      <c r="BN13" s="16">
        <f>IF($D13="是",AF13-AG13,0)</f>
        <v>0</v>
      </c>
      <c r="BO13" s="16">
        <f>IF($D13="是",AH13-AI13,0)</f>
        <v>0</v>
      </c>
      <c r="BP13" s="16">
        <f>IF($D13="是",AJ13-AK13,0)</f>
        <v>0</v>
      </c>
      <c r="BQ13" s="16">
        <f>IF($D13="是",AL13-AM13,0)</f>
        <v>0</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122" t="s">
        <v>1939</v>
      </c>
      <c r="B2" s="3122"/>
      <c r="C2" s="3122"/>
      <c r="D2" s="970" t="s">
        <v>1915</v>
      </c>
      <c r="E2" s="2227" t="s">
        <v>1916</v>
      </c>
      <c r="F2" s="1395"/>
      <c r="G2" s="2228"/>
      <c r="H2" s="2229"/>
      <c r="I2" s="2230" t="s">
        <v>1940</v>
      </c>
      <c r="J2" s="1395"/>
      <c r="K2" s="1395"/>
      <c r="L2" s="1395"/>
      <c r="M2" s="1395"/>
      <c r="N2" s="1430"/>
      <c r="O2" s="1395"/>
      <c r="P2" s="1395"/>
    </row>
    <row r="3" spans="1:16" ht="15.75" thickBot="1">
      <c r="A3" s="3123" t="s">
        <v>1913</v>
      </c>
      <c r="B3" s="3123"/>
      <c r="C3" s="3123"/>
      <c r="D3" s="46">
        <f>'数据-基础表'!AY6</f>
        <v>31518.19</v>
      </c>
      <c r="E3" s="46">
        <f>'数据-基础表'!AZ5</f>
        <v>97185.05</v>
      </c>
      <c r="F3" s="1395"/>
      <c r="G3" s="1402"/>
      <c r="H3" s="1250" t="s">
        <v>1914</v>
      </c>
      <c r="I3" s="55">
        <f>ROUND('数据-基础表'!B3/'数据-基础表'!A3,2)</f>
        <v>3.08</v>
      </c>
      <c r="J3" s="1395"/>
      <c r="K3" s="1395"/>
      <c r="L3" s="1395"/>
      <c r="M3" s="1395"/>
      <c r="N3" s="1430"/>
      <c r="O3" s="1395"/>
      <c r="P3" s="1395"/>
    </row>
    <row r="4" spans="1:16" ht="15">
      <c r="A4" s="3124"/>
      <c r="B4" s="3125"/>
      <c r="C4" s="3126"/>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127" t="s">
        <v>1918</v>
      </c>
      <c r="C5" s="3127"/>
      <c r="D5" s="48">
        <f>ROUND($D$3*E5/$E$3,2)</f>
        <v>0</v>
      </c>
      <c r="E5" s="49">
        <f>SUMIF('数据-基础表'!$11:$11,"住宅",'数据-基础表'!$5:$5)</f>
        <v>0</v>
      </c>
      <c r="F5" s="1395"/>
      <c r="G5" s="1402"/>
      <c r="H5" s="1250" t="s">
        <v>1914</v>
      </c>
      <c r="I5" s="55">
        <f>ROUND(E31/D31,2)</f>
        <v>3.08</v>
      </c>
      <c r="J5" s="1395"/>
      <c r="K5" s="1395"/>
      <c r="L5" s="1395"/>
      <c r="M5" s="1395"/>
      <c r="N5" s="1395"/>
      <c r="O5" s="1395"/>
      <c r="P5" s="1395"/>
    </row>
    <row r="6" spans="1:16" ht="15" thickBot="1">
      <c r="A6" s="2234"/>
      <c r="B6" s="3127" t="s">
        <v>1919</v>
      </c>
      <c r="C6" s="3127"/>
      <c r="D6" s="48">
        <f>ROUND($D$3*E6/$E$3,2)</f>
        <v>31518.19</v>
      </c>
      <c r="E6" s="49">
        <f>E3-E5</f>
        <v>97185.05</v>
      </c>
      <c r="F6" s="1395"/>
      <c r="G6" s="2235" t="s">
        <v>1920</v>
      </c>
      <c r="H6" s="1402" t="s">
        <v>1921</v>
      </c>
      <c r="I6" s="942">
        <f>ROUND(F31/D31,2)</f>
        <v>2.4900000000000002</v>
      </c>
      <c r="J6" s="1395"/>
      <c r="K6" s="1395"/>
      <c r="L6" s="1395"/>
      <c r="M6" s="1395"/>
      <c r="N6" s="1395"/>
      <c r="O6" s="1395"/>
      <c r="P6" s="1395"/>
    </row>
    <row r="7" spans="1:16" ht="15">
      <c r="A7" s="3119"/>
      <c r="B7" s="3120"/>
      <c r="C7" s="3121"/>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25402.41</v>
      </c>
      <c r="E8" s="51">
        <f>SUMIF('数据-基础表'!BB10:BK10,"地上",'数据-基础表'!BB5:BK5)</f>
        <v>78327.300000000017</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2384.42</v>
      </c>
      <c r="E10" s="51">
        <f>SUMPRODUCT(('数据-基础表'!BB10:BK10="地下")*('数据-基础表'!BB11:BK11="商业")*('数据-基础表'!BB5:BK5))</f>
        <v>7352.26</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3280.52</v>
      </c>
      <c r="E13" s="51">
        <f>SUMPRODUCT(('数据-基础表'!BB10:BK10="地下")*('数据-基础表'!BB11:BK11="车库")*('数据-基础表'!BB5:BK5))</f>
        <v>10115.359999999986</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31067.350000000002</v>
      </c>
      <c r="E16" s="53">
        <f>SUM(E8:E15)</f>
        <v>95794.92</v>
      </c>
      <c r="F16" s="1395"/>
      <c r="G16" s="2237"/>
      <c r="H16" s="2240" t="s">
        <v>1943</v>
      </c>
      <c r="I16" s="2241"/>
      <c r="J16" s="1395"/>
      <c r="K16" s="3116" t="s">
        <v>1943</v>
      </c>
      <c r="L16" s="3117"/>
      <c r="M16" s="3117"/>
      <c r="N16" s="3117"/>
      <c r="O16" s="3117"/>
      <c r="P16" s="3118"/>
    </row>
    <row r="17" spans="1:19" ht="15">
      <c r="A17" s="2242" t="s">
        <v>1944</v>
      </c>
      <c r="B17" s="2243" t="s">
        <v>1945</v>
      </c>
      <c r="C17" s="2244" t="s">
        <v>1946</v>
      </c>
      <c r="D17" s="2245" t="s">
        <v>1934</v>
      </c>
      <c r="E17" s="2246" t="s">
        <v>1935</v>
      </c>
      <c r="F17" s="2247"/>
      <c r="G17" s="2248"/>
      <c r="H17" s="2249" t="s">
        <v>1947</v>
      </c>
      <c r="I17" s="2250" t="s">
        <v>1932</v>
      </c>
      <c r="J17" s="1395"/>
      <c r="K17" s="3113" t="s">
        <v>1948</v>
      </c>
      <c r="L17" s="3114"/>
      <c r="M17" s="3115"/>
      <c r="N17" s="3113" t="s">
        <v>1949</v>
      </c>
      <c r="O17" s="3114"/>
      <c r="P17" s="3115"/>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3071</v>
      </c>
      <c r="D19" s="48">
        <f>ROUND($D$3*E19/$E$3,2)</f>
        <v>27786.83</v>
      </c>
      <c r="E19" s="56">
        <f t="shared" ref="E19:E26" si="1">SUM(F19:G19)</f>
        <v>85679.560000000012</v>
      </c>
      <c r="F19" s="57">
        <f>'数据-基础表'!I5</f>
        <v>78327.300000000017</v>
      </c>
      <c r="G19" s="58">
        <f>'数据-基础表'!K5</f>
        <v>7352.26</v>
      </c>
      <c r="H19" s="723">
        <f>ROUND($D$3*I19/$E$3,2)</f>
        <v>403.23</v>
      </c>
      <c r="I19" s="51">
        <f t="shared" ref="I19:I26" si="2">IF($I$17="自定义",P19,M19)</f>
        <v>1243.3399999999999</v>
      </c>
      <c r="J19" s="1395"/>
      <c r="K19" s="1394">
        <f t="shared" ref="K19:K26" si="3">ROUND(E$28*E19/E$27,2)</f>
        <v>1243.3399999999999</v>
      </c>
      <c r="L19" s="1250">
        <f t="shared" ref="L19:L26" si="4">ROUND(IF(COUNTIF(C19,"*住宅*")&gt;0,E$29*E19/E$32,0),2)</f>
        <v>0</v>
      </c>
      <c r="M19" s="1406">
        <f>K19+L19</f>
        <v>1243.3399999999999</v>
      </c>
      <c r="N19" s="2261"/>
      <c r="O19" s="2262"/>
      <c r="P19" s="1406">
        <f>N19+O19</f>
        <v>0</v>
      </c>
      <c r="R19" s="1250">
        <f t="shared" ref="R19:S26" si="5">D19+H19</f>
        <v>28190.06</v>
      </c>
      <c r="S19" s="1251">
        <f t="shared" si="5"/>
        <v>86922.900000000009</v>
      </c>
    </row>
    <row r="20" spans="1:19">
      <c r="A20" s="2263"/>
      <c r="B20" s="50" t="s">
        <v>1961</v>
      </c>
      <c r="C20" s="2959" t="s">
        <v>3072</v>
      </c>
      <c r="D20" s="48">
        <f t="shared" ref="D20:D26" si="6">ROUND($D$3*E20/$E$3,2)</f>
        <v>3280.52</v>
      </c>
      <c r="E20" s="56">
        <f t="shared" si="1"/>
        <v>10115.359999999986</v>
      </c>
      <c r="F20" s="57"/>
      <c r="G20" s="58">
        <f>'数据-基础表'!M5</f>
        <v>10115.359999999986</v>
      </c>
      <c r="H20" s="723">
        <f t="shared" ref="H20:H26" si="7">ROUND($D$3*I20/$E$3,2)</f>
        <v>47.61</v>
      </c>
      <c r="I20" s="51">
        <f t="shared" si="2"/>
        <v>146.79</v>
      </c>
      <c r="J20" s="1395"/>
      <c r="K20" s="1394">
        <f t="shared" si="3"/>
        <v>146.79</v>
      </c>
      <c r="L20" s="1250">
        <f t="shared" si="4"/>
        <v>0</v>
      </c>
      <c r="M20" s="1406">
        <f t="shared" ref="M20:M26" si="8">K20+L20</f>
        <v>146.79</v>
      </c>
      <c r="N20" s="2261"/>
      <c r="O20" s="2262"/>
      <c r="P20" s="1406">
        <f t="shared" ref="P20:P26" si="9">N20+O20</f>
        <v>0</v>
      </c>
      <c r="R20" s="1250">
        <f t="shared" si="5"/>
        <v>3328.13</v>
      </c>
      <c r="S20" s="1251">
        <f t="shared" si="5"/>
        <v>10262.149999999987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31067.350000000002</v>
      </c>
      <c r="E27" s="1397">
        <f>IF(SUM(E19:E26)='数据-基础表'!BA5,SUM(E19:E26),IF(F27="地上面积有误","面积有误","地下面积有误"))</f>
        <v>95794.92</v>
      </c>
      <c r="F27" s="1396">
        <f>IF(SUM(F19:F26)=E8,SUM(F19:F26),"地上面积有误")</f>
        <v>78327.300000000017</v>
      </c>
      <c r="G27" s="1398">
        <f>SUM(G19:G26)</f>
        <v>17467.619999999988</v>
      </c>
      <c r="H27" s="1399">
        <f>SUM(H19:H26)</f>
        <v>450.84000000000003</v>
      </c>
      <c r="I27" s="1400">
        <f>SUM(I19:I26)</f>
        <v>1390.1299999999999</v>
      </c>
      <c r="J27" s="1395"/>
      <c r="K27" s="1403">
        <f>SUM(K19:K26)</f>
        <v>1390.1299999999999</v>
      </c>
      <c r="L27" s="1404">
        <f>SUM(L19:L26)</f>
        <v>0</v>
      </c>
      <c r="M27" s="1407">
        <f>SUM(M19:M26)</f>
        <v>1390.1299999999999</v>
      </c>
      <c r="N27" s="1403">
        <f t="shared" ref="N27:O27" si="10">SUM(N19:N26)</f>
        <v>0</v>
      </c>
      <c r="O27" s="1404">
        <f t="shared" si="10"/>
        <v>0</v>
      </c>
      <c r="P27" s="1405">
        <f>SUM(P19:P26)</f>
        <v>0</v>
      </c>
      <c r="R27" s="1252">
        <f>IF(SUM(R19:R26)=$D$3,SUM(R19:R26),SUM(R19:R26)&amp;"误差"&amp;ROUND(SUM(R19:R26)-$D$3,2))</f>
        <v>31518.190000000002</v>
      </c>
      <c r="S27" s="1250">
        <f>IF(SUM(S19:S26)=$E$3,SUM(S19:S26),SUM(S19:S26)&amp;"误差"&amp;ROUND(SUM(S19:S26)-E3,2))</f>
        <v>97185.049999999988</v>
      </c>
    </row>
    <row r="28" spans="1:19">
      <c r="A28" s="2263"/>
      <c r="B28" s="50" t="s">
        <v>1963</v>
      </c>
      <c r="C28" s="1262" t="s">
        <v>1964</v>
      </c>
      <c r="D28" s="48">
        <f>ROUND($D$3*E28/$E$3,2)</f>
        <v>450.83</v>
      </c>
      <c r="E28" s="56">
        <f>SUM(F28:G28)</f>
        <v>1390.13</v>
      </c>
      <c r="F28" s="64">
        <f>'数据-基础表'!BQ5+'数据-基础表'!BS5</f>
        <v>0</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450.83</v>
      </c>
      <c r="E30" s="1396">
        <f>SUM(E28:E29)</f>
        <v>1390.13</v>
      </c>
      <c r="F30" s="1396">
        <f>SUM(F28:F29)</f>
        <v>0</v>
      </c>
      <c r="G30" s="1398">
        <f>SUM(G28:G29)</f>
        <v>1390.13</v>
      </c>
      <c r="H30" s="1395"/>
      <c r="I30" s="1395"/>
      <c r="J30" s="1395"/>
      <c r="K30" s="1395"/>
      <c r="L30" s="1395"/>
      <c r="M30" s="1395"/>
      <c r="N30" s="1395"/>
      <c r="O30" s="1395"/>
      <c r="P30" s="1395"/>
    </row>
    <row r="31" spans="1:19" ht="15.75" thickBot="1">
      <c r="A31" s="2269"/>
      <c r="B31" s="2270"/>
      <c r="C31" s="1010" t="s">
        <v>1966</v>
      </c>
      <c r="D31" s="729">
        <f>D27+D30</f>
        <v>31518.180000000004</v>
      </c>
      <c r="E31" s="729">
        <f>E27+E30</f>
        <v>97185.05</v>
      </c>
      <c r="F31" s="730">
        <f>F27+F30</f>
        <v>78327.300000000017</v>
      </c>
      <c r="G31" s="731">
        <f>G27+G30</f>
        <v>18857.749999999989</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S7" sqref="S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43595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31.96</v>
      </c>
      <c r="G6" s="73">
        <f>IF(ISERROR(ROUND(POWER(1+H6,D6-F6)*(POWER(1+H6,F6)-1)/(POWER(1+H6,D6)-1),3)),0,ROUND(POWER(1+H6,D6-F6)*(POWER(1+H6,F6)-1)/(POWER(1+H6,D6)-1),3))</f>
        <v>0.91200000000000003</v>
      </c>
      <c r="H6" s="802">
        <v>4.4999999999999998E-2</v>
      </c>
      <c r="I6" s="802">
        <v>0.06</v>
      </c>
      <c r="J6" s="74">
        <v>8.5000000000000006E-2</v>
      </c>
      <c r="K6" s="1254">
        <f>SUMIF('数据-汇总表'!C$19:C$33,A6,'数据-汇总表'!E$19:E$33)</f>
        <v>85679.560000000012</v>
      </c>
      <c r="L6" s="803">
        <v>3500</v>
      </c>
      <c r="M6" s="75">
        <f t="shared" ref="M6:M14" si="0">ROUND(K6*L6/10000,0)</f>
        <v>29988</v>
      </c>
      <c r="N6" s="801">
        <v>0.75</v>
      </c>
      <c r="O6" s="75">
        <f>IF($N$5="成新度","——",ROUND(M6*N6,0))</f>
        <v>22491</v>
      </c>
      <c r="P6" s="76">
        <f>IF($N$5="成新度","——",M6-O6)</f>
        <v>7497</v>
      </c>
      <c r="Q6" s="804">
        <v>0.2</v>
      </c>
      <c r="R6" s="77">
        <f ca="1">SUMIF('数据-汇总表'!C$19:C$33,A6,'数据-汇总表'!R$19:R$27)</f>
        <v>28190.06</v>
      </c>
      <c r="S6" s="54">
        <f>IF('数据-汇总表'!$I$17="按面积比例",SUMIF('数据-汇总表'!C$19:C$33,A6,'数据-汇总表'!K$19:K$33),SUMIF('数据-汇总表'!C$19:C$33,A6,'数据-汇总表'!N$19:N$33))</f>
        <v>1243.3399999999999</v>
      </c>
      <c r="T6" s="1446">
        <f>ROUND($L$14*S6/10000,0)</f>
        <v>373</v>
      </c>
      <c r="U6" s="3036">
        <f>ROUND(Sheet2!C10,2)</f>
        <v>3.03</v>
      </c>
      <c r="V6" s="79">
        <v>3.5000000000000003E-2</v>
      </c>
      <c r="W6" s="79">
        <v>0.1</v>
      </c>
      <c r="X6" s="1264"/>
      <c r="Y6" s="80">
        <v>1</v>
      </c>
      <c r="Z6" s="81"/>
      <c r="AA6" s="74"/>
      <c r="AB6" s="74"/>
      <c r="AC6" s="1264"/>
      <c r="AD6" s="82"/>
      <c r="AE6" s="1265">
        <f ca="1">IF(AN6="",0,SUMIF(INDIRECT("'"&amp;AN6&amp;"'"&amp;"!E:E"),$AE$5,INDIRECT("'"&amp;AN6&amp;"'"&amp;"!F:F")))</f>
        <v>31.66</v>
      </c>
      <c r="AF6" s="1807"/>
      <c r="AG6" s="147">
        <f>IF(AF6="",0,AE6-AF6)</f>
        <v>0</v>
      </c>
      <c r="AH6" s="83"/>
      <c r="AI6" s="85">
        <v>365</v>
      </c>
      <c r="AJ6" s="86"/>
      <c r="AK6" s="87">
        <v>1.4999999999999999E-2</v>
      </c>
      <c r="AL6" s="88">
        <v>1.5E-3</v>
      </c>
      <c r="AM6" s="89">
        <v>1.4999999999999999E-2</v>
      </c>
      <c r="AN6" s="2309" t="s">
        <v>3073</v>
      </c>
      <c r="AO6" s="55">
        <f ca="1">SUMIF(INDIRECT("'"&amp;AN6&amp;"'"&amp;"!A:A"),"总价",INDIRECT("'"&amp;AN6&amp;"'"&amp;"!B:B"))</f>
        <v>130706</v>
      </c>
      <c r="AP6" s="2310">
        <f>IF(C6="住宅",K6*L6,0)</f>
        <v>0</v>
      </c>
      <c r="AQ6" s="55">
        <f>ROUND($L$14*$N$14*S6/10000,0)</f>
        <v>280</v>
      </c>
      <c r="AR6" s="55">
        <f>ROUND($L$14*(1-$N$14)*S6/10000,0)</f>
        <v>93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55264</v>
      </c>
      <c r="F7" s="72">
        <f>SUMIF(项目基本情况!D$12:I$12,C7,项目基本情况!D$15:I$15)</f>
        <v>31.96</v>
      </c>
      <c r="G7" s="73">
        <f t="shared" ref="G7:G11" si="2">IF(ISERROR(ROUND(POWER(1+H7,D7-F7)*(POWER(1+H7,F7)-1)/(POWER(1+H7,D7)-1),3)),0,ROUND(POWER(1+H7,D7-F7)*(POWER(1+H7,F7)-1)/(POWER(1+H7,D7)-1),3))</f>
        <v>0.84899999999999998</v>
      </c>
      <c r="H7" s="802">
        <v>4.4999999999999998E-2</v>
      </c>
      <c r="I7" s="802">
        <v>0.05</v>
      </c>
      <c r="J7" s="74">
        <v>8.5000000000000006E-2</v>
      </c>
      <c r="K7" s="1254">
        <f>SUMIF('数据-汇总表'!C$19:C$33,A7,'数据-汇总表'!E$19:E$33)</f>
        <v>10115.359999999986</v>
      </c>
      <c r="L7" s="803">
        <v>3000</v>
      </c>
      <c r="M7" s="75">
        <f t="shared" si="0"/>
        <v>3035</v>
      </c>
      <c r="N7" s="801">
        <f>N6</f>
        <v>0.75</v>
      </c>
      <c r="O7" s="75">
        <f t="shared" ref="O7:O14" si="3">IF($N$5="成新度","——",ROUND(M7*N7,0))</f>
        <v>2276</v>
      </c>
      <c r="P7" s="76">
        <f t="shared" ref="P7:P14" si="4">IF($N$5="成新度","——",M7-O7)</f>
        <v>759</v>
      </c>
      <c r="Q7" s="804">
        <v>0.05</v>
      </c>
      <c r="R7" s="77">
        <f ca="1">SUMIF('数据-汇总表'!C$19:C$33,A7,'数据-汇总表'!R$19:R$27)</f>
        <v>3328.13</v>
      </c>
      <c r="S7" s="54">
        <f>IF('数据-汇总表'!$I$17="按面积比例",SUMIF('数据-汇总表'!C$19:C$33,A7,'数据-汇总表'!K$19:K$33),SUMIF('数据-汇总表'!C$19:C$33,A7,'数据-汇总表'!N$19:N$33))</f>
        <v>146.79</v>
      </c>
      <c r="T7" s="1446">
        <f t="shared" ref="T7:T13" si="5">ROUND($L$14*S7/10000,0)</f>
        <v>44</v>
      </c>
      <c r="U7" s="78">
        <v>500</v>
      </c>
      <c r="V7" s="79">
        <v>2.5000000000000001E-2</v>
      </c>
      <c r="W7" s="79">
        <v>0.1</v>
      </c>
      <c r="X7" s="1264"/>
      <c r="Y7" s="80">
        <v>1</v>
      </c>
      <c r="Z7" s="81"/>
      <c r="AA7" s="74"/>
      <c r="AB7" s="74"/>
      <c r="AC7" s="1264"/>
      <c r="AD7" s="82"/>
      <c r="AE7" s="1265">
        <f t="shared" ref="AE7:AE13" ca="1" si="6">IF(AN7="",0,SUMIF(INDIRECT("'"&amp;AN7&amp;"'"&amp;"!E:E"),$AE$5,INDIRECT("'"&amp;AN7&amp;"'"&amp;"!F:F")))</f>
        <v>31.66</v>
      </c>
      <c r="AF7" s="1807"/>
      <c r="AG7" s="147">
        <f t="shared" ref="AG7:AG13" si="7">IF(AF7="",0,AE7-AF7)</f>
        <v>0</v>
      </c>
      <c r="AH7" s="83">
        <f>ROUNDDOWN('数据-基础表'!M13/35,0)</f>
        <v>289</v>
      </c>
      <c r="AI7" s="85">
        <v>12</v>
      </c>
      <c r="AJ7" s="86"/>
      <c r="AK7" s="87">
        <v>1.4999999999999999E-2</v>
      </c>
      <c r="AL7" s="88">
        <v>1.5E-3</v>
      </c>
      <c r="AM7" s="89">
        <v>0.01</v>
      </c>
      <c r="AN7" s="2309" t="s">
        <v>3086</v>
      </c>
      <c r="AO7" s="55">
        <f t="shared" ref="AO7:AO13" ca="1" si="8">SUMIF(INDIRECT("'"&amp;AN7&amp;"'"&amp;"!A:A"),"总价",INDIRECT("'"&amp;AN7&amp;"'"&amp;"!B:B"))</f>
        <v>1238</v>
      </c>
      <c r="AP7" s="2310">
        <f t="shared" ref="AP7:AP13" si="9">IF(C7="住宅",K7*L7,0)</f>
        <v>0</v>
      </c>
      <c r="AQ7" s="55">
        <f t="shared" ref="AQ7:AQ13" si="10">ROUND($L$14*$N$14*S7/10000,0)</f>
        <v>33</v>
      </c>
      <c r="AR7" s="55">
        <f t="shared" ref="AR7:AR13" si="11">ROUND($L$14*(1-$N$14)*S7/10000,0)</f>
        <v>11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1390.13</v>
      </c>
      <c r="L14" s="91">
        <v>3000</v>
      </c>
      <c r="M14" s="75">
        <f t="shared" si="0"/>
        <v>417</v>
      </c>
      <c r="N14" s="92">
        <f>N6</f>
        <v>0.75</v>
      </c>
      <c r="O14" s="75">
        <f t="shared" si="3"/>
        <v>313</v>
      </c>
      <c r="P14" s="76">
        <f t="shared" si="4"/>
        <v>104</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0.90500000000000003</v>
      </c>
      <c r="H16" s="99">
        <f>ROUND(SUMPRODUCT(H6:H13,K6:K13)/SUMPRODUCT((H6:H13&gt;0)*(K6:K13)),3)</f>
        <v>4.4999999999999998E-2</v>
      </c>
      <c r="I16" s="100"/>
      <c r="J16" s="100"/>
      <c r="K16" s="101">
        <f>SUM(K6:K15)</f>
        <v>97185.05</v>
      </c>
      <c r="L16" s="102">
        <f>ROUND(M16*10000/SUM(K6:K14),0)</f>
        <v>3441</v>
      </c>
      <c r="M16" s="102">
        <f>SUM(M6:M14)</f>
        <v>33440</v>
      </c>
      <c r="N16" s="103">
        <f>ROUND(SUMPRODUCT(M6:M14,N6:N14)/M16,3)</f>
        <v>0.75</v>
      </c>
      <c r="O16" s="102">
        <f>SUM(O6:O14)</f>
        <v>25080</v>
      </c>
      <c r="P16" s="102">
        <f>SUM(P6:P14)</f>
        <v>8360</v>
      </c>
      <c r="Q16" s="104">
        <f>ROUND(SUMPRODUCT(Q6:Q13,K6:K13)/SUMPRODUCT((Q6:Q13&gt;0)*(K6:K13)),2)</f>
        <v>0.18</v>
      </c>
      <c r="R16" s="1258">
        <f ca="1">SUM(R6:R13)</f>
        <v>31518.190000000002</v>
      </c>
      <c r="S16" s="105">
        <f>SUM(S6:S13)</f>
        <v>1390.1299999999999</v>
      </c>
      <c r="T16" s="106">
        <f>IF(SUMIF(T6:T13,"&lt;9E307")=M14,SUMIF(T6:T13,"&lt;9E307"),"有误，请检查")</f>
        <v>417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1.5</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0.30000000000000004</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1166</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28" t="s">
        <v>2085</v>
      </c>
      <c r="B1" s="3129"/>
      <c r="C1" s="3129"/>
      <c r="D1" s="3129"/>
      <c r="E1" s="3129"/>
      <c r="F1" s="3129"/>
      <c r="G1" s="312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97185.05</v>
      </c>
      <c r="C1" s="1745"/>
      <c r="D1" s="1745"/>
      <c r="E1" s="1745"/>
      <c r="F1" s="1745"/>
      <c r="G1" s="1743"/>
    </row>
    <row r="2" spans="1:10" ht="16.5">
      <c r="A2" s="1746" t="s">
        <v>1353</v>
      </c>
      <c r="B2" s="1746">
        <f>SUM(C14:C23)</f>
        <v>31518.19</v>
      </c>
      <c r="C2" s="1745"/>
      <c r="D2" s="1745"/>
      <c r="E2" s="1745"/>
      <c r="F2" s="1745"/>
      <c r="G2" s="1743"/>
    </row>
    <row r="3" spans="1:10" ht="16.5">
      <c r="A3" s="1746" t="s">
        <v>1362</v>
      </c>
      <c r="B3" s="1747">
        <f>项目基本情况!D3</f>
        <v>43595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90067</v>
      </c>
      <c r="C5" s="1746">
        <f ca="1">ROUND(B5*10000/$B$1,0)</f>
        <v>9268</v>
      </c>
      <c r="D5" s="1746">
        <f ca="1">ROUND(B5*10000/$B$2,0)</f>
        <v>28576</v>
      </c>
      <c r="E5" s="1745"/>
      <c r="F5" s="1743"/>
      <c r="G5" s="1743"/>
    </row>
    <row r="6" spans="1:10" ht="16.5">
      <c r="A6" s="1746" t="s">
        <v>1356</v>
      </c>
      <c r="B6" s="1746">
        <f ca="1">SUM(G14:G23)</f>
        <v>90067</v>
      </c>
      <c r="C6" s="1746">
        <f ca="1">ROUND(B6*10000/$B$1,0)</f>
        <v>9268</v>
      </c>
      <c r="D6" s="1746">
        <f ca="1">ROUND(B6*10000/$B$2,0)</f>
        <v>28576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97185.05</v>
      </c>
      <c r="C14" s="1744">
        <f>结果表!C118</f>
        <v>31518.19</v>
      </c>
      <c r="D14" s="1744">
        <f ca="1">结果表!H118</f>
        <v>90067</v>
      </c>
      <c r="E14" s="1744">
        <f ca="1">ROUND(D14*10000/B14,0)</f>
        <v>9268</v>
      </c>
      <c r="F14" s="1744">
        <f ca="1">ROUND(D14*10000/C14,0)</f>
        <v>28576</v>
      </c>
      <c r="G14" s="1744">
        <f ca="1">结果表!D122</f>
        <v>90067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3079</v>
      </c>
    </row>
    <row r="2" spans="1:12" ht="21.75" customHeight="1" thickBot="1">
      <c r="A2" s="3202" t="str">
        <f>项目基本情况!S2</f>
        <v>山东省青岛市城阳街道大北曲后社区青岛北曲后汇豪置业有限公司出让国有建设用地使用权及在建建筑物房地产</v>
      </c>
      <c r="B2" s="3203"/>
      <c r="C2" s="3203"/>
      <c r="D2" s="3203"/>
      <c r="E2" s="3203"/>
      <c r="F2" s="3203"/>
      <c r="G2" s="3203"/>
      <c r="H2" s="3203"/>
      <c r="I2" s="3204"/>
    </row>
    <row r="3" spans="1:12" ht="12.75">
      <c r="A3" s="3205" t="s">
        <v>2125</v>
      </c>
      <c r="B3" s="3206"/>
      <c r="C3" s="3206"/>
      <c r="D3" s="3206"/>
      <c r="E3" s="3206"/>
      <c r="F3" s="3206"/>
      <c r="G3" s="3206"/>
      <c r="H3" s="3206"/>
      <c r="I3" s="3206"/>
    </row>
    <row r="4" spans="1:12" ht="14.25">
      <c r="A4" s="2426" t="s">
        <v>2126</v>
      </c>
      <c r="B4" s="2427" t="s">
        <v>2127</v>
      </c>
      <c r="C4" s="2428" t="s">
        <v>3077</v>
      </c>
      <c r="D4" s="2428" t="s">
        <v>3078</v>
      </c>
      <c r="E4" s="3186" t="s">
        <v>2128</v>
      </c>
      <c r="F4" s="3199"/>
      <c r="G4" s="3199"/>
      <c r="H4" s="3199"/>
      <c r="I4" s="318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77" t="s">
        <v>2129</v>
      </c>
      <c r="B5" s="3103">
        <v>25</v>
      </c>
      <c r="C5" s="3207">
        <v>15</v>
      </c>
      <c r="D5" s="3195">
        <v>20</v>
      </c>
      <c r="E5" s="140" t="s">
        <v>2130</v>
      </c>
      <c r="F5" s="2430"/>
      <c r="G5" s="2430"/>
      <c r="H5" s="2430"/>
      <c r="I5" s="1834"/>
    </row>
    <row r="6" spans="1:12" ht="12.75">
      <c r="A6" s="3177"/>
      <c r="B6" s="3103"/>
      <c r="C6" s="3209"/>
      <c r="D6" s="3195"/>
      <c r="E6" s="140" t="s">
        <v>2131</v>
      </c>
      <c r="F6" s="2430"/>
      <c r="G6" s="2430"/>
      <c r="H6" s="2430"/>
      <c r="I6" s="1834"/>
    </row>
    <row r="7" spans="1:12" ht="12.75">
      <c r="A7" s="3177"/>
      <c r="B7" s="3103"/>
      <c r="C7" s="3208"/>
      <c r="D7" s="3195"/>
      <c r="E7" s="140" t="s">
        <v>2132</v>
      </c>
      <c r="F7" s="2430"/>
      <c r="G7" s="2430"/>
      <c r="H7" s="2430"/>
      <c r="I7" s="1834"/>
    </row>
    <row r="8" spans="1:12" ht="12.75">
      <c r="A8" s="3177" t="s">
        <v>2133</v>
      </c>
      <c r="B8" s="3103">
        <v>15</v>
      </c>
      <c r="C8" s="3207">
        <v>5</v>
      </c>
      <c r="D8" s="3195">
        <v>10</v>
      </c>
      <c r="E8" s="140" t="s">
        <v>2134</v>
      </c>
      <c r="F8" s="2430"/>
      <c r="G8" s="2430"/>
      <c r="H8" s="2430"/>
      <c r="I8" s="1834"/>
    </row>
    <row r="9" spans="1:12" ht="12.75">
      <c r="A9" s="3177"/>
      <c r="B9" s="3103"/>
      <c r="C9" s="3208"/>
      <c r="D9" s="3195"/>
      <c r="E9" s="140" t="s">
        <v>2135</v>
      </c>
      <c r="F9" s="2430"/>
      <c r="G9" s="2430"/>
      <c r="H9" s="2430"/>
      <c r="I9" s="1834"/>
    </row>
    <row r="10" spans="1:12" ht="12.75">
      <c r="A10" s="3177" t="s">
        <v>2136</v>
      </c>
      <c r="B10" s="3103">
        <v>15</v>
      </c>
      <c r="C10" s="3207">
        <v>5</v>
      </c>
      <c r="D10" s="3195">
        <v>10</v>
      </c>
      <c r="E10" s="140" t="s">
        <v>2137</v>
      </c>
      <c r="F10" s="2430"/>
      <c r="G10" s="2430"/>
      <c r="H10" s="2430"/>
      <c r="I10" s="1834"/>
    </row>
    <row r="11" spans="1:12" ht="12.75">
      <c r="A11" s="3177"/>
      <c r="B11" s="3103"/>
      <c r="C11" s="3208"/>
      <c r="D11" s="3195"/>
      <c r="E11" s="140" t="s">
        <v>2138</v>
      </c>
      <c r="F11" s="2430"/>
      <c r="G11" s="2430"/>
      <c r="H11" s="2430"/>
      <c r="I11" s="1834"/>
    </row>
    <row r="12" spans="1:12" ht="12.75">
      <c r="A12" s="3177" t="s">
        <v>2139</v>
      </c>
      <c r="B12" s="3103">
        <v>15</v>
      </c>
      <c r="C12" s="3207">
        <v>10</v>
      </c>
      <c r="D12" s="3195">
        <v>10</v>
      </c>
      <c r="E12" s="140" t="s">
        <v>2140</v>
      </c>
      <c r="F12" s="2430"/>
      <c r="G12" s="2430"/>
      <c r="H12" s="2430"/>
      <c r="I12" s="1834"/>
    </row>
    <row r="13" spans="1:12" ht="12.75">
      <c r="A13" s="3177"/>
      <c r="B13" s="3103"/>
      <c r="C13" s="3208"/>
      <c r="D13" s="3195"/>
      <c r="E13" s="140" t="s">
        <v>2141</v>
      </c>
      <c r="F13" s="2430"/>
      <c r="G13" s="2430"/>
      <c r="H13" s="2430"/>
      <c r="I13" s="1834"/>
    </row>
    <row r="14" spans="1:12" ht="12.75">
      <c r="A14" s="3177" t="s">
        <v>2142</v>
      </c>
      <c r="B14" s="3103">
        <v>30</v>
      </c>
      <c r="C14" s="3207">
        <v>15</v>
      </c>
      <c r="D14" s="3195">
        <v>25</v>
      </c>
      <c r="E14" s="140" t="s">
        <v>2143</v>
      </c>
      <c r="F14" s="2430"/>
      <c r="G14" s="2430"/>
      <c r="H14" s="2430"/>
      <c r="I14" s="1834"/>
    </row>
    <row r="15" spans="1:12" ht="12.75">
      <c r="A15" s="3177"/>
      <c r="B15" s="3103"/>
      <c r="C15" s="3209"/>
      <c r="D15" s="3195"/>
      <c r="E15" s="140" t="s">
        <v>2144</v>
      </c>
      <c r="F15" s="2430"/>
      <c r="G15" s="2430"/>
      <c r="H15" s="2430"/>
      <c r="I15" s="1834"/>
    </row>
    <row r="16" spans="1:12" ht="12.75">
      <c r="A16" s="3177"/>
      <c r="B16" s="3103"/>
      <c r="C16" s="3208"/>
      <c r="D16" s="3195"/>
      <c r="E16" s="140" t="s">
        <v>2145</v>
      </c>
      <c r="F16" s="2430"/>
      <c r="G16" s="2430"/>
      <c r="H16" s="2430"/>
      <c r="I16" s="1834"/>
    </row>
    <row r="17" spans="1:35" ht="15">
      <c r="A17" s="2431" t="s">
        <v>2146</v>
      </c>
      <c r="B17" s="64"/>
      <c r="C17" s="141">
        <f>SUM(C5:C16)</f>
        <v>50</v>
      </c>
      <c r="D17" s="141">
        <f>SUM(D5:D16)</f>
        <v>75</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97185.05</v>
      </c>
      <c r="M18" s="2429">
        <f>IF(C1="",'数据-汇总表'!E3,SUMIF(项目类型,C1,'数据-汇总表'!E17:E26))</f>
        <v>97185.05</v>
      </c>
    </row>
    <row r="19" spans="1:35" ht="15">
      <c r="A19" s="2435" t="s">
        <v>2151</v>
      </c>
      <c r="B19" s="2436" t="s">
        <v>2152</v>
      </c>
      <c r="C19" s="143">
        <f ca="1">SUMIF(INDIRECT("'"&amp;C4&amp;"'"&amp;"!A:A"),结果表!B19,INDIRECT("'"&amp;C4&amp;"'"&amp;"!B:B"))</f>
        <v>68338</v>
      </c>
      <c r="D19" s="144">
        <f ca="1">SUMIF(INDIRECT("'"&amp;D4&amp;"'"&amp;"!A:A"),结果表!B19,INDIRECT("'"&amp;D4&amp;"'"&amp;"!B:B"))</f>
        <v>104553</v>
      </c>
      <c r="E19" s="2435" t="s">
        <v>2153</v>
      </c>
      <c r="F19" s="2436" t="s">
        <v>2152</v>
      </c>
      <c r="G19" s="145">
        <f ca="1">ROUND(C19*$C$18+D19*$D$18,0)</f>
        <v>90067</v>
      </c>
      <c r="H19" s="2437" t="s">
        <v>2154</v>
      </c>
      <c r="I19" s="138"/>
      <c r="K19" s="2429" t="s">
        <v>2155</v>
      </c>
      <c r="L19" s="2429">
        <f>IF(C1="",'数据-汇总表'!D3,SUMIF(项目类型,C1,'数据-汇总表'!D17:D26)+SUMIF(项目类型,C1,'数据-汇总表'!H17:H27))</f>
        <v>31518.19</v>
      </c>
      <c r="M19" s="2429">
        <f>IF(C1="",'数据-汇总表'!D3,SUMIF(项目类型,C1,'数据-汇总表'!D17:D26))</f>
        <v>31518.19</v>
      </c>
    </row>
    <row r="20" spans="1:35" ht="15">
      <c r="A20" s="2438"/>
      <c r="B20" s="1250" t="s">
        <v>2156</v>
      </c>
      <c r="C20" s="146">
        <f ca="1">SUMIF(INDIRECT("'"&amp;C4&amp;"'"&amp;"!A:A"),结果表!B20,INDIRECT("'"&amp;C4&amp;"'"&amp;"!B:B"))</f>
        <v>7032</v>
      </c>
      <c r="D20" s="147">
        <f ca="1">SUMIF(INDIRECT("'"&amp;D4&amp;"'"&amp;"!A:A"),结果表!B20,INDIRECT("'"&amp;D4&amp;"'"&amp;"!B:B"))</f>
        <v>10758</v>
      </c>
      <c r="E20" s="2438"/>
      <c r="F20" s="1250" t="s">
        <v>2156</v>
      </c>
      <c r="G20" s="148">
        <f ca="1">ROUND(C20*$C$18+D20*$D$18,0)</f>
        <v>9268</v>
      </c>
      <c r="H20" s="983" t="s">
        <v>2157</v>
      </c>
      <c r="I20" s="138"/>
    </row>
    <row r="21" spans="1:35" ht="15" customHeight="1" thickBot="1">
      <c r="A21" s="1003"/>
      <c r="B21" s="2439" t="s">
        <v>2158</v>
      </c>
      <c r="C21" s="789">
        <f ca="1">ROUND(C19*10000/L19,0)</f>
        <v>21682</v>
      </c>
      <c r="D21" s="790">
        <f ca="1">ROUND(D19*10000/L19,0)</f>
        <v>33172</v>
      </c>
      <c r="E21" s="1003"/>
      <c r="F21" s="2439" t="s">
        <v>2158</v>
      </c>
      <c r="G21" s="149">
        <f ca="1">ROUND(G19*10000/L19,0)</f>
        <v>28576</v>
      </c>
      <c r="H21" s="2440" t="s">
        <v>2157</v>
      </c>
      <c r="I21" s="138"/>
    </row>
    <row r="22" spans="1:35" ht="15" thickBot="1">
      <c r="A22" s="2281" t="s">
        <v>2159</v>
      </c>
      <c r="B22" s="2441"/>
      <c r="C22" s="2442"/>
      <c r="D22" s="791">
        <f ca="1">IF(C19&lt;D19,D19/C19-1,C19/D19-1)</f>
        <v>0.52993941877140105</v>
      </c>
      <c r="E22" s="138"/>
      <c r="F22" s="138"/>
      <c r="G22" s="138"/>
      <c r="H22" s="138"/>
      <c r="I22" s="138"/>
    </row>
    <row r="23" spans="1:35" ht="13.5" thickBot="1">
      <c r="A23" s="2419"/>
      <c r="B23" s="2419"/>
      <c r="C23" s="2419"/>
      <c r="D23" s="2419"/>
      <c r="E23" s="138"/>
      <c r="F23" s="138"/>
      <c r="G23" s="138"/>
      <c r="H23" s="138"/>
      <c r="I23" s="138"/>
    </row>
    <row r="24" spans="1:35" ht="14.25">
      <c r="A24" s="3216" t="s">
        <v>2160</v>
      </c>
      <c r="B24" s="2436" t="s">
        <v>2152</v>
      </c>
      <c r="C24" s="145">
        <f>IF(B30=0,0,D30)</f>
        <v>0</v>
      </c>
      <c r="D24" s="2443"/>
      <c r="E24" s="138"/>
      <c r="F24" s="138"/>
      <c r="G24" s="138"/>
      <c r="H24" s="138"/>
      <c r="I24" s="138"/>
    </row>
    <row r="25" spans="1:35" ht="14.25">
      <c r="A25" s="3217"/>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11498.800545914384</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90067</v>
      </c>
      <c r="D32" s="2450" t="s">
        <v>2167</v>
      </c>
      <c r="E32" s="138"/>
      <c r="F32" s="138"/>
      <c r="G32" s="138"/>
      <c r="H32" s="138"/>
      <c r="I32" s="138"/>
    </row>
    <row r="33" spans="1:15" ht="15">
      <c r="A33" s="960" t="s">
        <v>2168</v>
      </c>
      <c r="B33" s="2451"/>
      <c r="C33" s="2452" t="s">
        <v>3089</v>
      </c>
      <c r="D33" s="2453" t="s">
        <v>3077</v>
      </c>
      <c r="E33" s="2454" t="s">
        <v>2169</v>
      </c>
      <c r="F33" s="2455" t="str">
        <f>IF(D32="楼面单价","取值（单价）","取值（总价）")</f>
        <v>取值（总价）</v>
      </c>
      <c r="G33" s="138"/>
      <c r="H33" s="138"/>
      <c r="I33" s="138"/>
    </row>
    <row r="34" spans="1:15" ht="15">
      <c r="A34" s="2456"/>
      <c r="B34" s="2457" t="s">
        <v>2170</v>
      </c>
      <c r="C34" s="157">
        <f ca="1">IF(C33="自定义",F34,C32-C35)</f>
        <v>41341</v>
      </c>
      <c r="D34" s="1058">
        <f ca="1">IF(C33="自定义",ROUND(C34/C32,3),IF(C33="收益比率",SUMIF(INDIRECT("'"&amp;D33&amp;"'"&amp;"!b:b"),"土地收益比率",INDIRECT("'"&amp;D33&amp;"'"&amp;"!c:c")),SUMIF(INDIRECT("'"&amp;D33&amp;"'"&amp;"!b:b"),"土地成本比率",INDIRECT("'"&amp;D33&amp;"'"&amp;"!c:c"))))</f>
        <v>0.45899999999999996</v>
      </c>
      <c r="E34" s="2458" t="s">
        <v>2171</v>
      </c>
      <c r="F34" s="1739"/>
      <c r="G34" s="138"/>
      <c r="H34" s="138"/>
      <c r="I34" s="138"/>
    </row>
    <row r="35" spans="1:15" ht="15.75" thickBot="1">
      <c r="A35" s="2459"/>
      <c r="B35" s="2460" t="s">
        <v>2172</v>
      </c>
      <c r="C35" s="1444">
        <f ca="1">IF(C33="自定义",F35,ROUND(C32*D35,0))</f>
        <v>48726</v>
      </c>
      <c r="D35" s="1445">
        <f ca="1">IF(C33="自定义",ROUND(C35/C32,3),IF(C33="收益比率",SUMIF(INDIRECT("'"&amp;D33&amp;"'"&amp;"!b:b"),"建筑物收益比率",INDIRECT("'"&amp;D33&amp;"'"&amp;"!c:c")),SUMIF(INDIRECT("'"&amp;D33&amp;"'"&amp;"!b:b"),"建筑物成本比率",INDIRECT("'"&amp;D33&amp;"'"&amp;"!c:c"))))</f>
        <v>0.54100000000000004</v>
      </c>
      <c r="E35" s="2461" t="s">
        <v>2173</v>
      </c>
      <c r="F35" s="163"/>
      <c r="G35" s="138"/>
      <c r="H35" s="138"/>
      <c r="I35" s="138"/>
    </row>
    <row r="36" spans="1:15" ht="15.75" thickBot="1">
      <c r="A36" s="3196" t="s">
        <v>2174</v>
      </c>
      <c r="B36" s="2462" t="s">
        <v>2175</v>
      </c>
      <c r="C36" s="154"/>
      <c r="D36" s="2463"/>
      <c r="E36" s="2464"/>
      <c r="F36" s="2465"/>
      <c r="G36" s="138"/>
      <c r="H36" s="138"/>
      <c r="I36" s="138"/>
    </row>
    <row r="37" spans="1:15" ht="15.75" thickBot="1">
      <c r="A37" s="3197"/>
      <c r="B37" s="2267" t="s">
        <v>2176</v>
      </c>
      <c r="C37" s="156"/>
      <c r="D37" s="1395"/>
      <c r="E37" s="1395"/>
      <c r="F37" s="2465"/>
      <c r="G37" s="138"/>
      <c r="H37" s="138"/>
      <c r="I37" s="138"/>
    </row>
    <row r="38" spans="1:15" ht="15.75" thickBot="1">
      <c r="A38" s="3198"/>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213" t="s">
        <v>2188</v>
      </c>
      <c r="B45" s="3214"/>
      <c r="C45" s="3215"/>
      <c r="D45" s="164">
        <f ca="1">ROUND(H101*F45,0)</f>
        <v>90067</v>
      </c>
      <c r="E45" s="165" t="s">
        <v>2189</v>
      </c>
      <c r="F45" s="166">
        <v>1</v>
      </c>
      <c r="G45" s="167" t="s">
        <v>2190</v>
      </c>
      <c r="H45" s="138"/>
      <c r="I45" s="138"/>
      <c r="J45" s="3132" t="s">
        <v>2191</v>
      </c>
      <c r="K45" s="3132"/>
      <c r="L45" s="3132"/>
      <c r="M45" s="3132"/>
      <c r="N45" s="3132"/>
      <c r="O45" s="3132"/>
    </row>
    <row r="46" spans="1:15" ht="14.25" customHeight="1">
      <c r="A46" s="3210" t="s">
        <v>2192</v>
      </c>
      <c r="B46" s="3211"/>
      <c r="C46" s="3211"/>
      <c r="D46" s="3211"/>
      <c r="E46" s="3211"/>
      <c r="F46" s="3211"/>
      <c r="G46" s="3212"/>
      <c r="H46" s="2481"/>
      <c r="I46" s="168"/>
      <c r="J46" s="1812">
        <v>1</v>
      </c>
      <c r="K46" s="3132" t="s">
        <v>2193</v>
      </c>
      <c r="L46" s="3132"/>
      <c r="M46" s="3133"/>
      <c r="N46" s="3133"/>
      <c r="O46" s="3133"/>
    </row>
    <row r="47" spans="1:15" ht="12" customHeight="1">
      <c r="A47" s="169" t="s">
        <v>2194</v>
      </c>
      <c r="B47" s="170"/>
      <c r="C47" s="171"/>
      <c r="D47" s="172" t="s">
        <v>2195</v>
      </c>
      <c r="E47" s="24" t="s">
        <v>2196</v>
      </c>
      <c r="F47" s="173" t="s">
        <v>2197</v>
      </c>
      <c r="G47" s="174" t="s">
        <v>2198</v>
      </c>
      <c r="H47" s="2481"/>
      <c r="I47" s="168"/>
      <c r="J47" s="1812">
        <v>2</v>
      </c>
      <c r="K47" s="3132" t="s">
        <v>2199</v>
      </c>
      <c r="L47" s="3132"/>
      <c r="M47" s="3134">
        <f>'数据-取费表'!B2</f>
        <v>43595</v>
      </c>
      <c r="N47" s="3134"/>
      <c r="O47" s="3134"/>
    </row>
    <row r="48" spans="1:15" ht="25.5">
      <c r="A48" s="3200" t="s">
        <v>2200</v>
      </c>
      <c r="B48" s="3201"/>
      <c r="C48" s="3201"/>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132" t="s">
        <v>2203</v>
      </c>
      <c r="L48" s="3132"/>
      <c r="M48" s="3135">
        <f ca="1">H101</f>
        <v>90067</v>
      </c>
      <c r="N48" s="3135"/>
      <c r="O48" s="3135"/>
    </row>
    <row r="49" spans="1:35" ht="25.5" customHeight="1">
      <c r="A49" s="176" t="s">
        <v>2204</v>
      </c>
      <c r="B49" s="3180" t="s">
        <v>2205</v>
      </c>
      <c r="C49" s="3180"/>
      <c r="D49" s="177">
        <v>0</v>
      </c>
      <c r="E49" s="23" t="s">
        <v>2206</v>
      </c>
      <c r="F49" s="28" t="s">
        <v>34</v>
      </c>
      <c r="G49" s="3161"/>
      <c r="H49" s="138"/>
      <c r="I49" s="2484"/>
      <c r="J49" s="1812">
        <v>4</v>
      </c>
      <c r="K49" s="3132" t="str">
        <f>IF(项目基本情况!E8="房地产抵押价值","房地产抵押价值","抵押担保权已注销时的房地产抵押价值")</f>
        <v>房地产抵押价值</v>
      </c>
      <c r="L49" s="3132"/>
      <c r="M49" s="3135">
        <f ca="1">IF(项目基本情况!E8="房地产抵押价值",H107,H109)</f>
        <v>90067</v>
      </c>
      <c r="N49" s="3135"/>
      <c r="O49" s="3135"/>
    </row>
    <row r="50" spans="1:35" ht="25.5" customHeight="1">
      <c r="A50" s="178"/>
      <c r="B50" s="3180" t="s">
        <v>2207</v>
      </c>
      <c r="C50" s="3180"/>
      <c r="D50" s="179"/>
      <c r="E50" s="31"/>
      <c r="F50" s="180"/>
      <c r="G50" s="3162"/>
      <c r="H50" s="138"/>
      <c r="I50" s="2484"/>
      <c r="J50" s="3132" t="s">
        <v>2208</v>
      </c>
      <c r="K50" s="3132"/>
      <c r="L50" s="3132"/>
      <c r="M50" s="3132"/>
      <c r="N50" s="3132"/>
      <c r="O50" s="3132"/>
    </row>
    <row r="51" spans="1:35" ht="12" customHeight="1">
      <c r="A51" s="181"/>
      <c r="B51" s="3180" t="s">
        <v>2209</v>
      </c>
      <c r="C51" s="3180"/>
      <c r="D51" s="182"/>
      <c r="E51" s="30"/>
      <c r="F51" s="180"/>
      <c r="G51" s="3163"/>
      <c r="H51" s="138"/>
      <c r="I51" s="2484"/>
      <c r="J51" s="2485" t="s">
        <v>2210</v>
      </c>
      <c r="K51" s="3132" t="s">
        <v>2211</v>
      </c>
      <c r="L51" s="3132"/>
      <c r="M51" s="2485" t="s">
        <v>2212</v>
      </c>
      <c r="N51" s="2485" t="s">
        <v>2213</v>
      </c>
      <c r="O51" s="2485" t="s">
        <v>2214</v>
      </c>
    </row>
    <row r="52" spans="1:35" ht="24" customHeight="1">
      <c r="A52" s="183" t="s">
        <v>2215</v>
      </c>
      <c r="B52" s="3180" t="s">
        <v>2216</v>
      </c>
      <c r="C52" s="3180"/>
      <c r="D52" s="182">
        <f ca="1">ROUND(D45*'数据-取费表'!B41/(1+'数据-取费表'!C42),0)</f>
        <v>4804</v>
      </c>
      <c r="E52" s="11" t="s">
        <v>2217</v>
      </c>
      <c r="F52" s="184">
        <f>'数据-取费表'!B41</f>
        <v>5.6000000000000001E-2</v>
      </c>
      <c r="G52" s="2486"/>
      <c r="H52" s="138"/>
      <c r="I52" s="2484"/>
      <c r="J52" s="1812">
        <v>1</v>
      </c>
      <c r="K52" s="3155" t="s">
        <v>2218</v>
      </c>
      <c r="L52" s="3155"/>
      <c r="M52" s="1754">
        <f>D48</f>
        <v>0</v>
      </c>
      <c r="N52" s="1812" t="str">
        <f>E48</f>
        <v>销售额×税（费）率</v>
      </c>
      <c r="O52" s="1755" t="str">
        <f>F48</f>
        <v>免征</v>
      </c>
    </row>
    <row r="53" spans="1:35" ht="12" customHeight="1">
      <c r="A53" s="183" t="s">
        <v>2219</v>
      </c>
      <c r="B53" s="3181" t="s">
        <v>2220</v>
      </c>
      <c r="C53" s="3182"/>
      <c r="D53" s="182">
        <f ca="1">ROUND(D45*'数据-取费表'!B41/(1+'数据-取费表'!C42),0)</f>
        <v>4804</v>
      </c>
      <c r="E53" s="11" t="s">
        <v>2217</v>
      </c>
      <c r="F53" s="184">
        <f>'数据-取费表'!B41</f>
        <v>5.6000000000000001E-2</v>
      </c>
      <c r="G53" s="2486"/>
      <c r="H53" s="138"/>
      <c r="I53" s="2484"/>
      <c r="J53" s="1812">
        <v>2</v>
      </c>
      <c r="K53" s="3155" t="s">
        <v>2221</v>
      </c>
      <c r="L53" s="3155"/>
      <c r="M53" s="1754">
        <f t="shared" ref="M53:O54" ca="1" si="0">D55</f>
        <v>45</v>
      </c>
      <c r="N53" s="1812" t="str">
        <f t="shared" si="0"/>
        <v>销售额×税（费）率</v>
      </c>
      <c r="O53" s="1755">
        <f t="shared" si="0"/>
        <v>5.0000000000000001E-4</v>
      </c>
    </row>
    <row r="54" spans="1:35" ht="12" customHeight="1">
      <c r="A54" s="183" t="s">
        <v>2222</v>
      </c>
      <c r="B54" s="3181" t="s">
        <v>2223</v>
      </c>
      <c r="C54" s="3182"/>
      <c r="D54" s="182">
        <f ca="1">C68</f>
        <v>4804</v>
      </c>
      <c r="E54" s="30" t="s">
        <v>2224</v>
      </c>
      <c r="F54" s="184">
        <f>'数据-取费表'!B41</f>
        <v>5.6000000000000001E-2</v>
      </c>
      <c r="G54" s="2486"/>
      <c r="H54" s="2487"/>
      <c r="I54" s="2484"/>
      <c r="J54" s="1812">
        <v>3</v>
      </c>
      <c r="K54" s="3155" t="s">
        <v>2225</v>
      </c>
      <c r="L54" s="3155"/>
      <c r="M54" s="1754">
        <f t="shared" ca="1" si="0"/>
        <v>50978</v>
      </c>
      <c r="N54" s="1812" t="str">
        <f t="shared" si="0"/>
        <v>增值额×税（费）率</v>
      </c>
      <c r="O54" s="1756" t="str">
        <f t="shared" si="0"/>
        <v>——</v>
      </c>
    </row>
    <row r="55" spans="1:35" ht="24" customHeight="1">
      <c r="A55" s="3219" t="s">
        <v>2226</v>
      </c>
      <c r="B55" s="3201"/>
      <c r="C55" s="3201"/>
      <c r="D55" s="185">
        <f ca="1">IF(H55="个人住宅",0,ROUND(D45*I55,0))</f>
        <v>45</v>
      </c>
      <c r="E55" s="11" t="s">
        <v>2227</v>
      </c>
      <c r="F55" s="184">
        <f>IF(H55="正常",I55,"免征")</f>
        <v>5.0000000000000001E-4</v>
      </c>
      <c r="G55" s="2486"/>
      <c r="H55" s="2483" t="s">
        <v>2228</v>
      </c>
      <c r="I55" s="186">
        <f>'数据-取费表'!B49</f>
        <v>5.0000000000000001E-4</v>
      </c>
      <c r="J55" s="1812" t="str">
        <f>IF(H59="非个人房产","",4)</f>
        <v/>
      </c>
      <c r="K55" s="3155" t="str">
        <f>IF(H59="非个人房产","——","个人所得税")</f>
        <v>——</v>
      </c>
      <c r="L55" s="3155"/>
      <c r="M55" s="1757" t="str">
        <f>D59</f>
        <v>——</v>
      </c>
      <c r="N55" s="1810" t="str">
        <f>E59</f>
        <v>——</v>
      </c>
      <c r="O55" s="1758" t="str">
        <f>F59</f>
        <v>——</v>
      </c>
    </row>
    <row r="56" spans="1:35" ht="24.75">
      <c r="A56" s="3219" t="s">
        <v>2229</v>
      </c>
      <c r="B56" s="3201"/>
      <c r="C56" s="3201"/>
      <c r="D56" s="185">
        <f ca="1">IF(H56="个人住宅",D57,D58)</f>
        <v>50978</v>
      </c>
      <c r="E56" s="11" t="s">
        <v>2230</v>
      </c>
      <c r="F56" s="184" t="str">
        <f>IF(H56="正常",F58,"免征")</f>
        <v>——</v>
      </c>
      <c r="G56" s="2488" t="s">
        <v>2231</v>
      </c>
      <c r="H56" s="2489" t="s">
        <v>2228</v>
      </c>
      <c r="I56" s="2490"/>
      <c r="J56" s="1812" t="str">
        <f>IF(项目基本情况!K6="上海银行",IF(J55="",4,J55+1),"")</f>
        <v/>
      </c>
      <c r="K56" s="3138" t="str">
        <f>IF(项目基本情况!K6="上海银行","其他处置费用","")</f>
        <v/>
      </c>
      <c r="L56" s="3139"/>
      <c r="M56" s="1754" t="str">
        <f>IF(项目基本情况!K6="上海银行",M69,"")</f>
        <v/>
      </c>
      <c r="N56" s="3141" t="str">
        <f>IF(项目基本情况!K6="上海银行","包含处置中涉及的律师、诉讼、拍卖、评估等费用","")</f>
        <v/>
      </c>
      <c r="O56" s="3142"/>
    </row>
    <row r="57" spans="1:35" ht="12.75">
      <c r="A57" s="183" t="s">
        <v>2204</v>
      </c>
      <c r="B57" s="3186" t="s">
        <v>2232</v>
      </c>
      <c r="C57" s="3187"/>
      <c r="D57" s="187">
        <v>0</v>
      </c>
      <c r="E57" s="23" t="s">
        <v>2206</v>
      </c>
      <c r="F57" s="155"/>
      <c r="G57" s="2486"/>
      <c r="H57" s="2490"/>
      <c r="I57" s="2490"/>
      <c r="J57" s="3155">
        <f>IF(AND(J55="",J56=""),4,IF(项目基本情况!K6="上海银行",结果表!J56+1,结果表!J55+1))</f>
        <v>4</v>
      </c>
      <c r="K57" s="3155" t="s">
        <v>2233</v>
      </c>
      <c r="L57" s="2491" t="s">
        <v>2234</v>
      </c>
      <c r="M57" s="1759"/>
      <c r="N57" s="1760">
        <f ca="1">SUMIF(M52:M56,"&lt;9e307")</f>
        <v>51023</v>
      </c>
      <c r="O57" s="2492"/>
      <c r="P57" s="1753">
        <f ca="1">N57/M49</f>
        <v>0.56650049407663183</v>
      </c>
    </row>
    <row r="58" spans="1:35" ht="24.75">
      <c r="A58" s="183" t="s">
        <v>2215</v>
      </c>
      <c r="B58" s="3186" t="s">
        <v>2235</v>
      </c>
      <c r="C58" s="3199"/>
      <c r="D58" s="185">
        <f ca="1">IF(H58="转让取得",C81,C97)</f>
        <v>50978</v>
      </c>
      <c r="E58" s="11" t="s">
        <v>2230</v>
      </c>
      <c r="F58" s="24" t="s">
        <v>34</v>
      </c>
      <c r="G58" s="2486"/>
      <c r="H58" s="2489" t="s">
        <v>2236</v>
      </c>
      <c r="I58" s="2490"/>
      <c r="J58" s="3155"/>
      <c r="K58" s="3155"/>
      <c r="L58" s="2491" t="s">
        <v>2237</v>
      </c>
      <c r="M58" s="1761"/>
      <c r="N58" s="2493" t="str">
        <f ca="1">NUMBERSTRING(INT(N57*10000),2)&amp;"元整"</f>
        <v>伍亿壹仟零贰拾叁万元整</v>
      </c>
      <c r="O58" s="2494"/>
    </row>
    <row r="59" spans="1:35" ht="24.75" thickBot="1">
      <c r="A59" s="3159" t="s">
        <v>2238</v>
      </c>
      <c r="B59" s="3160"/>
      <c r="C59" s="3160"/>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57">
        <f>J57+1</f>
        <v>5</v>
      </c>
      <c r="K59" s="3155" t="s">
        <v>2240</v>
      </c>
      <c r="L59" s="1812" t="s">
        <v>2234</v>
      </c>
      <c r="M59" s="1762"/>
      <c r="N59" s="1763">
        <f ca="1">M49-N57</f>
        <v>39044</v>
      </c>
      <c r="O59" s="2496"/>
    </row>
    <row r="60" spans="1:35" ht="12" customHeight="1">
      <c r="A60" s="2497"/>
      <c r="B60" s="2419"/>
      <c r="C60" s="2419"/>
      <c r="D60" s="2419"/>
      <c r="E60" s="2166"/>
      <c r="F60" s="2490"/>
      <c r="G60" s="2490"/>
      <c r="H60" s="2498"/>
      <c r="I60" s="138"/>
      <c r="J60" s="3158"/>
      <c r="K60" s="3155"/>
      <c r="L60" s="2491" t="s">
        <v>2237</v>
      </c>
      <c r="M60" s="1761"/>
      <c r="N60" s="2493" t="str">
        <f ca="1">NUMBERSTRING(INT(N59*10000),2)&amp;"元整"</f>
        <v>叁亿玖仟零肆拾肆万元整</v>
      </c>
      <c r="O60" s="2494"/>
    </row>
    <row r="61" spans="1:35" ht="13.5" thickBot="1">
      <c r="A61" s="3218" t="s">
        <v>2241</v>
      </c>
      <c r="B61" s="3218"/>
      <c r="C61" s="3218"/>
      <c r="D61" s="3218"/>
      <c r="E61" s="3218"/>
      <c r="F61" s="2490"/>
      <c r="G61" s="2490"/>
      <c r="H61" s="2498"/>
      <c r="I61" s="138"/>
      <c r="J61" s="1812">
        <f>J59+1</f>
        <v>6</v>
      </c>
      <c r="K61" s="3155" t="s">
        <v>2242</v>
      </c>
      <c r="L61" s="3155"/>
      <c r="M61" s="1764"/>
      <c r="N61" s="1765">
        <f ca="1">ROUND(N59*10000/'数据-汇总表'!E3,0)</f>
        <v>4017</v>
      </c>
      <c r="O61" s="2499"/>
    </row>
    <row r="62" spans="1:35" ht="12.75">
      <c r="A62" s="3175" t="s">
        <v>2243</v>
      </c>
      <c r="B62" s="3176"/>
      <c r="C62" s="1804"/>
      <c r="D62" s="1804" t="s">
        <v>2244</v>
      </c>
      <c r="E62" s="192" t="s">
        <v>2245</v>
      </c>
      <c r="F62" s="2490"/>
      <c r="G62" s="2490"/>
      <c r="H62" s="2498"/>
      <c r="I62" s="138"/>
    </row>
    <row r="63" spans="1:35" ht="12.75">
      <c r="A63" s="203" t="s">
        <v>775</v>
      </c>
      <c r="B63" s="193" t="s">
        <v>2246</v>
      </c>
      <c r="C63" s="194">
        <f ca="1">ROUND((C64+C65)/(1+'数据-取费表'!C42),0)</f>
        <v>85778</v>
      </c>
      <c r="D63" s="195"/>
      <c r="E63" s="196"/>
      <c r="F63" s="2490"/>
      <c r="G63" s="2490"/>
      <c r="H63" s="2498"/>
      <c r="I63" s="138"/>
      <c r="J63" s="3140" t="s">
        <v>2247</v>
      </c>
      <c r="K63" s="2500" t="s">
        <v>2248</v>
      </c>
      <c r="L63" s="1752">
        <f ca="1">IF(M49&gt;10000,M49*0.5%,IF(AND(M49&gt;1000,M49&lt;=10000),M49*1%,IF(AND(M49&gt;100,M49&lt;=1000),M49*3%,IF(AND(M49&gt;10,M49&lt;=100),M49*5%,M49*8%))))</f>
        <v>450.33500000000004</v>
      </c>
      <c r="M63" s="24">
        <f ca="1">ROUND(L63,1)</f>
        <v>450.3</v>
      </c>
      <c r="Z63" s="2424"/>
      <c r="AI63" s="2425"/>
    </row>
    <row r="64" spans="1:35" ht="14.25" customHeight="1">
      <c r="A64" s="197" t="s">
        <v>770</v>
      </c>
      <c r="B64" s="198" t="s">
        <v>2249</v>
      </c>
      <c r="C64" s="199">
        <f ca="1">D45</f>
        <v>90067</v>
      </c>
      <c r="D64" s="200" t="s">
        <v>32</v>
      </c>
      <c r="E64" s="201"/>
      <c r="F64" s="2490"/>
      <c r="G64" s="2490"/>
      <c r="H64" s="2498"/>
      <c r="I64" s="138"/>
      <c r="J64" s="3140"/>
      <c r="K64" s="2500" t="s">
        <v>2250</v>
      </c>
      <c r="L64" s="1752">
        <f ca="1">IF(M49&gt;2000,M49*0.5%,IF(AND(M49&gt;1000,M49&lt;=2000),M49*0.6%,IF(AND(M49&gt;500,M49&lt;=1000),M49*0.7%,IF(AND(M49&gt;200,M49&lt;=500),M49*0.8%,IF(AND(M49&gt;100,M49&lt;=200),M49*0.9%,IF(AND(M49&gt;50,M49&lt;=100),M49*1%,IF(AND(M49&gt;20,M49&lt;=50),M49*1.5%,IF(AND(M49&gt;10,M49&lt;=20),M49*2%,IF(AND(M49&gt;1,M49&lt;=10),M49*2.5%)))))))))</f>
        <v>450.33500000000004</v>
      </c>
      <c r="M64" s="24">
        <f t="shared" ref="M64:M65" ca="1" si="1">ROUND(L64,1)</f>
        <v>450.3</v>
      </c>
      <c r="N64" s="138" t="s">
        <v>2251</v>
      </c>
      <c r="Z64" s="2424"/>
      <c r="AI64" s="2425"/>
    </row>
    <row r="65" spans="1:35" ht="14.25" customHeight="1">
      <c r="A65" s="197" t="s">
        <v>771</v>
      </c>
      <c r="B65" s="198" t="s">
        <v>2252</v>
      </c>
      <c r="C65" s="202"/>
      <c r="D65" s="200"/>
      <c r="E65" s="201"/>
      <c r="F65" s="2490"/>
      <c r="G65" s="2490"/>
      <c r="H65" s="2498"/>
      <c r="I65" s="138"/>
      <c r="J65" s="3140"/>
      <c r="K65" s="2500" t="s">
        <v>2253</v>
      </c>
      <c r="L65" s="1752">
        <f ca="1">IF(M49&gt;1000,M49*0.1%,IF(AND(M49&gt;500,M49&lt;=1000),M49*0.5%,IF(AND(M49&gt;50,M49&lt;=500),M49*1%,IF(AND(M49&gt;1,M49&lt;=50),M49*1.5%))))</f>
        <v>90.067000000000007</v>
      </c>
      <c r="M65" s="24">
        <f t="shared" ca="1" si="1"/>
        <v>90.1</v>
      </c>
      <c r="N65" s="138" t="s">
        <v>2251</v>
      </c>
      <c r="Z65" s="2424"/>
      <c r="AI65" s="2425"/>
    </row>
    <row r="66" spans="1:35" ht="14.25" customHeight="1">
      <c r="A66" s="203" t="s">
        <v>772</v>
      </c>
      <c r="B66" s="204" t="s">
        <v>2254</v>
      </c>
      <c r="C66" s="205"/>
      <c r="D66" s="206" t="s">
        <v>32</v>
      </c>
      <c r="E66" s="1776" t="s">
        <v>1371</v>
      </c>
      <c r="F66" s="2490"/>
      <c r="G66" s="2490"/>
      <c r="H66" s="2498"/>
      <c r="I66" s="138"/>
      <c r="J66" s="3140"/>
      <c r="K66" s="2500" t="s">
        <v>2255</v>
      </c>
      <c r="L66" s="1752">
        <f ca="1">M49*0.5%</f>
        <v>450.33500000000004</v>
      </c>
      <c r="M66" s="24">
        <f ca="1">IF(L66&gt;0.5,0.5,ROUND(L66,0))</f>
        <v>0.5</v>
      </c>
      <c r="N66" s="138" t="s">
        <v>2256</v>
      </c>
      <c r="Z66" s="2424"/>
      <c r="AI66" s="2425"/>
    </row>
    <row r="67" spans="1:35" ht="14.25" customHeight="1">
      <c r="A67" s="203" t="s">
        <v>773</v>
      </c>
      <c r="B67" s="204" t="s">
        <v>2257</v>
      </c>
      <c r="C67" s="207">
        <f ca="1">C63-C66</f>
        <v>85778</v>
      </c>
      <c r="D67" s="200" t="s">
        <v>32</v>
      </c>
      <c r="E67" s="201"/>
      <c r="F67" s="2490"/>
      <c r="G67" s="2490"/>
      <c r="H67" s="2498"/>
      <c r="I67" s="138"/>
      <c r="J67" s="3140"/>
      <c r="K67" s="2500" t="s">
        <v>2258</v>
      </c>
      <c r="L67" s="1752">
        <f ca="1">IF(M49&gt;=10000,(8.25+(M49-10000)*0.01%),IF(AND(M49&gt;=8000,M49&lt;10000),(7.85+(M49-8000)*0.02%),IF(AND(M49&gt;=5000,M49&lt;8000),(6.65+(M49-5000)*0.04%),IF(AND(M49&gt;=2000,M49&lt;5000),(4.25+(PM49-2000)*0.08%),IF(AND(M49&gt;=1000,M49&lt;2000),(2.75+(M49-1000)*0.15%),IF(AND(M49&gt;=100,M49&lt;1000),(0.5+(M49-100)*0.25%),IF(AND(M49&gt;0,M49&lt;100),M49*0.5%)))))))</f>
        <v>16.256700000000002</v>
      </c>
      <c r="M67" s="24">
        <f ca="1">ROUND(L67*0.9,1)</f>
        <v>14.6</v>
      </c>
      <c r="Z67" s="2424"/>
      <c r="AI67" s="2425"/>
    </row>
    <row r="68" spans="1:35" ht="14.25" customHeight="1" thickBot="1">
      <c r="A68" s="208" t="s">
        <v>774</v>
      </c>
      <c r="B68" s="209" t="s">
        <v>2259</v>
      </c>
      <c r="C68" s="210">
        <f ca="1">IF(C67&lt;=0,0,ROUND(C67*D68,0))</f>
        <v>4804</v>
      </c>
      <c r="D68" s="211">
        <f>'数据-取费表'!B41</f>
        <v>5.6000000000000001E-2</v>
      </c>
      <c r="E68" s="212"/>
      <c r="F68" s="2490"/>
      <c r="G68" s="2490"/>
      <c r="H68" s="2498"/>
      <c r="I68" s="138"/>
      <c r="J68" s="3140"/>
      <c r="K68" s="2500" t="s">
        <v>2260</v>
      </c>
      <c r="L68" s="1752">
        <f ca="1">IF(M49&gt;10000,M49*0.5%,IF(AND(M49&gt;5000,M49&lt;=10000),M49*1%,IF(AND(M49&gt;1000,M49&lt;=5000),M49*2%,IF(AND(M49&gt;200,M49&lt;=1000),M49*3%,M49*5%))))</f>
        <v>450.33500000000004</v>
      </c>
      <c r="M68" s="24">
        <f ca="1">ROUND(L68,1)</f>
        <v>450.3</v>
      </c>
      <c r="Z68" s="2424"/>
      <c r="AI68" s="2425"/>
    </row>
    <row r="69" spans="1:35" s="2447" customFormat="1" ht="16.5" customHeight="1">
      <c r="A69" s="2501"/>
      <c r="B69" s="2502"/>
      <c r="C69" s="2503"/>
      <c r="D69" s="2504"/>
      <c r="E69" s="2505"/>
      <c r="F69" s="2166"/>
      <c r="G69" s="2166"/>
      <c r="H69" s="2165"/>
      <c r="I69" s="2419"/>
      <c r="J69" s="3140"/>
      <c r="K69" s="2500" t="s">
        <v>2261</v>
      </c>
      <c r="L69" s="2506"/>
      <c r="M69" s="24">
        <f ca="1">ROUND(SUM(M63:M68),0)</f>
        <v>1456</v>
      </c>
      <c r="N69" s="1753">
        <f ca="1">M69/M49</f>
        <v>1.6165743280002663E-2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4" t="s">
        <v>2262</v>
      </c>
      <c r="B70" s="3185"/>
      <c r="C70" s="3185"/>
      <c r="D70" s="3185"/>
      <c r="E70" s="3185"/>
      <c r="F70" s="3185"/>
      <c r="G70" s="3185"/>
      <c r="H70" s="318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75" t="s">
        <v>2243</v>
      </c>
      <c r="B71" s="3176"/>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85778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515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81" t="s">
        <v>2271</v>
      </c>
      <c r="F76" s="3180"/>
      <c r="G76" s="3180"/>
      <c r="H76" s="318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515</v>
      </c>
      <c r="D78" s="226">
        <f>'数据-取费表'!B43</f>
        <v>6.000000000000001E-3</v>
      </c>
      <c r="E78" s="3172" t="s">
        <v>2276</v>
      </c>
      <c r="F78" s="3173"/>
      <c r="G78" s="3173"/>
      <c r="H78" s="317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85263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165.55922330097087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50978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4" t="s">
        <v>2280</v>
      </c>
      <c r="B83" s="3185"/>
      <c r="C83" s="3185"/>
      <c r="D83" s="3185"/>
      <c r="E83" s="3185"/>
      <c r="F83" s="3185"/>
      <c r="G83" s="3185"/>
      <c r="H83" s="318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75" t="s">
        <v>2243</v>
      </c>
      <c r="B84" s="3176"/>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85778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515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72" t="s">
        <v>2289</v>
      </c>
      <c r="F91" s="3173"/>
      <c r="G91" s="3173"/>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72" t="s">
        <v>2293</v>
      </c>
      <c r="F92" s="3173"/>
      <c r="G92" s="3173"/>
      <c r="H92" s="317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515</v>
      </c>
      <c r="D93" s="226">
        <f>'数据-取费表'!B43</f>
        <v>6.000000000000001E-3</v>
      </c>
      <c r="E93" s="3172" t="s">
        <v>2276</v>
      </c>
      <c r="F93" s="3173"/>
      <c r="G93" s="3173"/>
      <c r="H93" s="317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220" t="s">
        <v>2297</v>
      </c>
      <c r="F94" s="3221"/>
      <c r="G94" s="3221"/>
      <c r="H94" s="322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85263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165.55922330097087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50978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124" t="s">
        <v>2299</v>
      </c>
      <c r="B100" s="3125"/>
      <c r="C100" s="3125"/>
      <c r="D100" s="3156"/>
      <c r="E100" s="3125" t="s">
        <v>2300</v>
      </c>
      <c r="F100" s="3125"/>
      <c r="G100" s="3125"/>
      <c r="H100" s="3156"/>
      <c r="I100" s="138"/>
    </row>
    <row r="101" spans="1:35" ht="18.75" customHeight="1">
      <c r="A101" s="3164" t="s">
        <v>2301</v>
      </c>
      <c r="B101" s="3165"/>
      <c r="C101" s="736" t="str">
        <f>C4</f>
        <v>成本法</v>
      </c>
      <c r="D101" s="737" t="str">
        <f>D4</f>
        <v>假设开发法</v>
      </c>
      <c r="E101" s="3136" t="s">
        <v>2302</v>
      </c>
      <c r="F101" s="3137"/>
      <c r="G101" s="2521" t="s">
        <v>2303</v>
      </c>
      <c r="H101" s="1048">
        <f ca="1">H118</f>
        <v>90067</v>
      </c>
      <c r="I101" s="138"/>
    </row>
    <row r="102" spans="1:35" ht="18.75" customHeight="1">
      <c r="A102" s="3166" t="s">
        <v>2304</v>
      </c>
      <c r="B102" s="2521" t="s">
        <v>2303</v>
      </c>
      <c r="C102" s="736">
        <f ca="1">C19</f>
        <v>68338</v>
      </c>
      <c r="D102" s="737">
        <f ca="1">D19</f>
        <v>104553</v>
      </c>
      <c r="E102" s="3136"/>
      <c r="F102" s="3137"/>
      <c r="G102" s="2521" t="s">
        <v>2305</v>
      </c>
      <c r="H102" s="371">
        <f ca="1">I118</f>
        <v>9268</v>
      </c>
      <c r="I102" s="138"/>
    </row>
    <row r="103" spans="1:35" ht="42.75" customHeight="1">
      <c r="A103" s="3166"/>
      <c r="B103" s="2521" t="s">
        <v>2305</v>
      </c>
      <c r="C103" s="738">
        <f ca="1">C20</f>
        <v>7032</v>
      </c>
      <c r="D103" s="739">
        <f ca="1">D20</f>
        <v>10758</v>
      </c>
      <c r="E103" s="3130" t="s">
        <v>2306</v>
      </c>
      <c r="F103" s="3131"/>
      <c r="G103" s="2522" t="s">
        <v>2307</v>
      </c>
      <c r="H103" s="1048">
        <f>IF(D36="正常操作",H104+H105+H106,H105+H106)</f>
        <v>0</v>
      </c>
      <c r="I103" s="138"/>
    </row>
    <row r="104" spans="1:35" ht="18.75" customHeight="1">
      <c r="A104" s="3166" t="s">
        <v>2308</v>
      </c>
      <c r="B104" s="2523" t="s">
        <v>2303</v>
      </c>
      <c r="C104" s="740">
        <f ca="1">H118</f>
        <v>90067</v>
      </c>
      <c r="D104" s="741"/>
      <c r="E104" s="2267" t="s">
        <v>2309</v>
      </c>
      <c r="F104" s="2258"/>
      <c r="G104" s="2522" t="s">
        <v>2307</v>
      </c>
      <c r="H104" s="1049">
        <f>IF(D36="同一抵押权人同一抵押物续贷",C36&amp;"（未扣减，详见特别提示）",C36)</f>
        <v>0</v>
      </c>
      <c r="I104" s="138"/>
    </row>
    <row r="105" spans="1:35" ht="18.75" customHeight="1" thickBot="1">
      <c r="A105" s="3178"/>
      <c r="B105" s="2524" t="s">
        <v>2305</v>
      </c>
      <c r="C105" s="742">
        <f ca="1">I118</f>
        <v>9268</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67" t="str">
        <f>IF(项目基本情况!E8="已注销","——","3.房地产抵押价值")</f>
        <v>3.房地产抵押价值</v>
      </c>
      <c r="F107" s="3137"/>
      <c r="G107" s="2521" t="s">
        <v>2303</v>
      </c>
      <c r="H107" s="1048">
        <f ca="1">IF(E107="——","——",H101-H103)</f>
        <v>90067</v>
      </c>
      <c r="I107" s="138"/>
    </row>
    <row r="108" spans="1:35" ht="18.75" customHeight="1">
      <c r="A108" s="138"/>
      <c r="B108" s="138"/>
      <c r="C108" s="138"/>
      <c r="D108" s="138"/>
      <c r="E108" s="3167"/>
      <c r="F108" s="3137"/>
      <c r="G108" s="2521" t="s">
        <v>2305</v>
      </c>
      <c r="H108" s="371">
        <f ca="1">ROUND(H107*10000/'数据-汇总表'!E3,0)</f>
        <v>9268</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7"/>
      <c r="G109" s="2521" t="s">
        <v>2303</v>
      </c>
      <c r="H109" s="348" t="str">
        <f>IF(E109="——","——",H101-H105-H106)</f>
        <v>——</v>
      </c>
      <c r="I109" s="138"/>
    </row>
    <row r="110" spans="1:35" ht="18.75" customHeight="1">
      <c r="A110" s="138"/>
      <c r="B110" s="138"/>
      <c r="C110" s="138"/>
      <c r="D110" s="138"/>
      <c r="E110" s="3167"/>
      <c r="F110" s="3137"/>
      <c r="G110" s="2521" t="s">
        <v>2305</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21" t="s">
        <v>2303</v>
      </c>
      <c r="H111" s="1048" t="str">
        <f>IF(E111="——","——",N59)</f>
        <v>——</v>
      </c>
      <c r="I111" s="138"/>
    </row>
    <row r="112" spans="1:35" ht="18.75" customHeight="1" thickBot="1">
      <c r="A112" s="138"/>
      <c r="B112" s="138"/>
      <c r="C112" s="138"/>
      <c r="D112" s="138"/>
      <c r="E112" s="3170"/>
      <c r="F112" s="3171"/>
      <c r="G112" s="2526" t="s">
        <v>2305</v>
      </c>
      <c r="H112" s="790" t="str">
        <f>IF(E111="——","——",N61)</f>
        <v>——</v>
      </c>
      <c r="I112" s="138"/>
    </row>
    <row r="113" spans="1:11" ht="18.75" customHeight="1">
      <c r="A113" s="138"/>
      <c r="B113" s="138"/>
      <c r="C113" s="138"/>
      <c r="D113" s="138"/>
      <c r="E113" s="3179" t="s">
        <v>2311</v>
      </c>
      <c r="F113" s="3179"/>
      <c r="G113" s="3179"/>
      <c r="H113" s="3179"/>
      <c r="I113" s="138"/>
    </row>
    <row r="114" spans="1:11" ht="3.75" customHeight="1">
      <c r="A114" s="2419"/>
      <c r="B114" s="2419"/>
      <c r="C114" s="2419"/>
      <c r="D114" s="2419"/>
      <c r="E114" s="2497"/>
      <c r="F114" s="2497"/>
      <c r="G114" s="2497"/>
      <c r="H114" s="2497"/>
      <c r="I114" s="2419"/>
    </row>
    <row r="115" spans="1:11" ht="18.75" customHeight="1">
      <c r="A115" s="3192" t="s">
        <v>2313</v>
      </c>
      <c r="B115" s="3193"/>
      <c r="C115" s="3193"/>
      <c r="D115" s="3193"/>
      <c r="E115" s="3193"/>
      <c r="F115" s="3193"/>
      <c r="G115" s="3193"/>
      <c r="H115" s="3193"/>
      <c r="I115" s="3194"/>
    </row>
    <row r="116" spans="1:11" ht="27" customHeight="1">
      <c r="A116" s="3103" t="s">
        <v>2314</v>
      </c>
      <c r="B116" s="3146" t="s">
        <v>3262</v>
      </c>
      <c r="C116" s="3146" t="s">
        <v>3263</v>
      </c>
      <c r="D116" s="3152" t="s">
        <v>2315</v>
      </c>
      <c r="E116" s="3153"/>
      <c r="F116" s="3188" t="s">
        <v>2316</v>
      </c>
      <c r="G116" s="3188"/>
      <c r="H116" s="3103" t="s">
        <v>2317</v>
      </c>
      <c r="I116" s="3103"/>
    </row>
    <row r="117" spans="1:11" ht="18.75" customHeight="1">
      <c r="A117" s="3103"/>
      <c r="B117" s="3147"/>
      <c r="C117" s="3147"/>
      <c r="D117" s="1798" t="s">
        <v>2318</v>
      </c>
      <c r="E117" s="1798" t="s">
        <v>2319</v>
      </c>
      <c r="F117" s="1798" t="s">
        <v>2318</v>
      </c>
      <c r="G117" s="1798" t="s">
        <v>2320</v>
      </c>
      <c r="H117" s="1798" t="s">
        <v>2318</v>
      </c>
      <c r="I117" s="1798" t="s">
        <v>2320</v>
      </c>
    </row>
    <row r="118" spans="1:11" ht="24.75" customHeight="1">
      <c r="A118" s="2527" t="str">
        <f>项目基本情况!S2</f>
        <v>山东省青岛市城阳街道大北曲后社区青岛北曲后汇豪置业有限公司出让国有建设用地使用权及在建建筑物房地产</v>
      </c>
      <c r="B118" s="1798">
        <f>M18</f>
        <v>97185.05</v>
      </c>
      <c r="C118" s="1798">
        <f>M19</f>
        <v>31518.19</v>
      </c>
      <c r="D118" s="1798">
        <f ca="1">ROUND(IF(D32="总价",C34,E118*B118/10000),0)</f>
        <v>41341</v>
      </c>
      <c r="E118" s="1798">
        <f ca="1">ROUND(IF(C33="自定义",IF(D32="楼面单价",C34,D118*10000/B118),I118-G118),0)</f>
        <v>4254</v>
      </c>
      <c r="F118" s="1798">
        <f ca="1">ROUND(IF(D32="总价",C35,G118*B118/10000),0)</f>
        <v>48726</v>
      </c>
      <c r="G118" s="1798">
        <f ca="1">ROUND(IF(D32="楼面单价",C35,F118*10000/B118),0)</f>
        <v>5014</v>
      </c>
      <c r="H118" s="1798">
        <f ca="1">ROUND(IF(D32="总价",C32,I118*B118/10000),0)</f>
        <v>90067</v>
      </c>
      <c r="I118" s="1798">
        <f ca="1">ROUND(IF(D32="楼面单价",C32,H118*10000/B118),0)</f>
        <v>9268</v>
      </c>
    </row>
    <row r="119" spans="1:11" ht="18.75" customHeight="1">
      <c r="A119" s="3103" t="s">
        <v>2321</v>
      </c>
      <c r="B119" s="3103"/>
      <c r="C119" s="3103"/>
      <c r="D119" s="3148" t="str">
        <f ca="1">NUMBERSTRING(INT(D118*10000),2)&amp;"元整"</f>
        <v>肆亿壹仟叁佰肆拾壹万元整</v>
      </c>
      <c r="E119" s="3149"/>
      <c r="F119" s="3148" t="str">
        <f ca="1">NUMBERSTRING(INT(F118*10000),2)&amp;"元整"</f>
        <v>肆亿捌仟柒佰贰拾陆万元整</v>
      </c>
      <c r="G119" s="3149"/>
      <c r="H119" s="3148" t="str">
        <f ca="1">NUMBERSTRING(INT(H118*10000),2)&amp;"元整"</f>
        <v>玖亿零陆拾柒万元整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4" t="str">
        <f>IF(D120=0,"故，本次评估不存在"&amp;A120,"故，本次评估"&amp;A120&amp;"为人民币"&amp;D120&amp;"万元整。")</f>
        <v>故，本次评估不存在估价师知悉的法定优先受偿款</v>
      </c>
    </row>
    <row r="121" spans="1:11" ht="18.75" customHeight="1">
      <c r="A121" s="3189" t="s">
        <v>2321</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90067</v>
      </c>
      <c r="E122" s="3144"/>
      <c r="F122" s="3144"/>
      <c r="G122" s="3144"/>
      <c r="H122" s="3144"/>
      <c r="I122" s="3145"/>
    </row>
    <row r="123" spans="1:11" ht="18.75" customHeight="1">
      <c r="A123" s="3103" t="s">
        <v>2321</v>
      </c>
      <c r="B123" s="3103"/>
      <c r="C123" s="3103"/>
      <c r="D123" s="3148" t="str">
        <f ca="1">NUMBERSTRING(INT(D122*10000),2)&amp;"元整"</f>
        <v>玖亿零陆拾柒万元整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103" t="s">
        <v>2321</v>
      </c>
      <c r="B125" s="3103"/>
      <c r="C125" s="3103"/>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2321</v>
      </c>
      <c r="B127" s="3103"/>
      <c r="C127" s="3103"/>
      <c r="D127" s="3148" t="e">
        <f>NUMBERSTRING(INT(D126*10000),2)&amp;"元整"</f>
        <v>#VALUE!</v>
      </c>
      <c r="E127" s="3150"/>
      <c r="F127" s="3150"/>
      <c r="G127" s="3150"/>
      <c r="H127" s="3150"/>
      <c r="I127" s="3149"/>
    </row>
    <row r="128" spans="1:11" ht="21.75" customHeight="1">
      <c r="A128" s="3151" t="s">
        <v>2322</v>
      </c>
      <c r="B128" s="3151"/>
      <c r="C128" s="3151"/>
      <c r="D128" s="3151"/>
      <c r="E128" s="3151"/>
      <c r="F128" s="3151"/>
      <c r="G128" s="3151"/>
      <c r="H128" s="3151"/>
      <c r="I128" s="3151"/>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68338</v>
      </c>
      <c r="C2" s="243" t="s">
        <v>2332</v>
      </c>
      <c r="D2" s="2550" t="s">
        <v>70</v>
      </c>
      <c r="E2" s="1443"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7032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23654</v>
      </c>
      <c r="D5" s="255" t="s">
        <v>2338</v>
      </c>
      <c r="E5" s="256" t="s">
        <v>2339</v>
      </c>
      <c r="F5" s="256" t="s">
        <v>2340</v>
      </c>
      <c r="G5" s="257"/>
    </row>
    <row r="6" spans="1:9" s="258" customFormat="1" ht="13.5" customHeight="1">
      <c r="A6" s="952" t="s">
        <v>2341</v>
      </c>
      <c r="B6" s="259" t="s">
        <v>2342</v>
      </c>
      <c r="C6" s="260">
        <f>'土地比较法-住宅、综合'!B2</f>
        <v>21822</v>
      </c>
      <c r="D6" s="261"/>
      <c r="E6" s="262"/>
      <c r="F6" s="262"/>
      <c r="G6" s="263"/>
    </row>
    <row r="7" spans="1:9" s="258" customFormat="1" ht="13.5" customHeight="1">
      <c r="A7" s="952" t="s">
        <v>2343</v>
      </c>
      <c r="B7" s="259" t="s">
        <v>2344</v>
      </c>
      <c r="C7" s="264">
        <f>ROUND(C6*F7,0)</f>
        <v>666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1166</v>
      </c>
      <c r="D8" s="266"/>
      <c r="E8" s="264"/>
      <c r="F8" s="265"/>
      <c r="G8" s="2553" t="s">
        <v>3076</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4" t="s">
        <v>3074</v>
      </c>
      <c r="H9" s="1393"/>
      <c r="I9" s="2555" t="s">
        <v>2348</v>
      </c>
    </row>
    <row r="10" spans="1:9" s="258" customFormat="1" ht="13.5" customHeight="1">
      <c r="A10" s="953" t="s">
        <v>801</v>
      </c>
      <c r="B10" s="268" t="s">
        <v>2349</v>
      </c>
      <c r="C10" s="269">
        <f ca="1">ROUND(D10*E10/10000,0)</f>
        <v>1166</v>
      </c>
      <c r="D10" s="1035">
        <f ca="1">IF(B1="",'数据-汇总表'!E6,IF(INDIRECT("'数据-取费表'!c"&amp;$G$1)="住宅",INDIRECT("'数据-取费表'!s"&amp;$G$1),INDIRECT("'数据-取费表'!k"&amp;$G$1)+INDIRECT("'数据-取费表'!s"&amp;$G$1)))</f>
        <v>97185.05</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97185.05</v>
      </c>
      <c r="E19" s="255">
        <f>'数据-取费表'!B31</f>
        <v>200</v>
      </c>
      <c r="F19" s="275"/>
      <c r="G19" s="2553" t="s">
        <v>3075</v>
      </c>
    </row>
    <row r="20" spans="1:7" s="258" customFormat="1" ht="13.5" customHeight="1">
      <c r="A20" s="299" t="s">
        <v>2362</v>
      </c>
      <c r="B20" s="254" t="s">
        <v>2363</v>
      </c>
      <c r="C20" s="276">
        <f ca="1">ROUND((C5+C19)*F20,0)</f>
        <v>473</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1368</v>
      </c>
      <c r="D22" s="279">
        <f ca="1">C26</f>
        <v>5.9999999999999995E-4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1355</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13</v>
      </c>
      <c r="D25" s="282"/>
      <c r="E25" s="285"/>
      <c r="F25" s="283"/>
      <c r="G25" s="286" t="s">
        <v>2379</v>
      </c>
    </row>
    <row r="26" spans="1:7" s="258" customFormat="1">
      <c r="A26" s="954" t="s">
        <v>795</v>
      </c>
      <c r="B26" s="259" t="s">
        <v>2380</v>
      </c>
      <c r="C26" s="282">
        <f ca="1">ROUND(IF('数据-取费表'!B22&lt;=1,F21*F22*'数据-取费表'!B23/2,F21*(POWER((1+F22),'数据-取费表'!B23/2)-1)),4)</f>
        <v>5.9999999999999995E-4</v>
      </c>
      <c r="D26" s="282"/>
      <c r="E26" s="285"/>
      <c r="F26" s="283"/>
      <c r="G26" s="287"/>
    </row>
    <row r="27" spans="1:7" s="258" customFormat="1" ht="24.75">
      <c r="A27" s="299" t="s">
        <v>2381</v>
      </c>
      <c r="B27" s="288" t="s">
        <v>2382</v>
      </c>
      <c r="C27" s="289">
        <f ca="1">C28</f>
        <v>3474</v>
      </c>
      <c r="D27" s="279">
        <f ca="1">C29</f>
        <v>2.8999999999999998E-3</v>
      </c>
      <c r="E27" s="280" t="s">
        <v>2383</v>
      </c>
      <c r="F27" s="290">
        <f ca="1">IF(B1="",'数据-取费表'!Q16,INDIRECT("'数据-取费表'!q"&amp;$G$1))</f>
        <v>0.18</v>
      </c>
      <c r="G27" s="291" t="s">
        <v>2384</v>
      </c>
    </row>
    <row r="28" spans="1:7" s="258" customFormat="1" ht="13.5" customHeight="1">
      <c r="A28" s="954" t="s">
        <v>791</v>
      </c>
      <c r="B28" s="292" t="s">
        <v>2385</v>
      </c>
      <c r="C28" s="293">
        <f ca="1">ROUND((C5+C19+C20)*F27*'数据-取费表'!B21/'数据-取费表'!B20,0)</f>
        <v>3474</v>
      </c>
      <c r="D28" s="279"/>
      <c r="E28" s="280"/>
      <c r="F28" s="290"/>
      <c r="G28" s="291"/>
    </row>
    <row r="29" spans="1:7" s="258" customFormat="1" ht="13.5" customHeight="1">
      <c r="A29" s="954"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31379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27666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25080</v>
      </c>
      <c r="D34" s="261"/>
      <c r="E34" s="264"/>
      <c r="F34" s="301">
        <f ca="1">IF('数据-取费表'!B24=0,1,IF(B1="",'数据-取费表'!N16,INDIRECT("'数据-取费表'!n"&amp;$G$1)))</f>
        <v>0.75</v>
      </c>
      <c r="G34" s="263" t="s">
        <v>2395</v>
      </c>
    </row>
    <row r="35" spans="1:7" ht="13.5" customHeight="1">
      <c r="A35" s="954" t="s">
        <v>796</v>
      </c>
      <c r="B35" s="259" t="s">
        <v>2396</v>
      </c>
      <c r="C35" s="264">
        <f ca="1">ROUND(C34*F35,0)</f>
        <v>752</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1458</v>
      </c>
      <c r="D37" s="261">
        <f ca="1">D19</f>
        <v>97185.05</v>
      </c>
      <c r="E37" s="293">
        <f>'数据-取费表'!B35</f>
        <v>200</v>
      </c>
      <c r="F37" s="303"/>
      <c r="G37" s="305" t="s">
        <v>2401</v>
      </c>
    </row>
    <row r="38" spans="1:7" ht="13.5" customHeight="1">
      <c r="A38" s="954" t="s">
        <v>799</v>
      </c>
      <c r="B38" s="259" t="s">
        <v>2402</v>
      </c>
      <c r="C38" s="264">
        <f ca="1">ROUND(C34*F38,0)</f>
        <v>376</v>
      </c>
      <c r="D38" s="264"/>
      <c r="E38" s="264"/>
      <c r="F38" s="303">
        <f>'数据-取费表'!B36</f>
        <v>1.4999999999999999E-2</v>
      </c>
      <c r="G38" s="263" t="s">
        <v>2397</v>
      </c>
    </row>
    <row r="39" spans="1:7" s="258" customFormat="1" ht="13.5" customHeight="1">
      <c r="A39" s="299" t="s">
        <v>2403</v>
      </c>
      <c r="B39" s="254" t="s">
        <v>2404</v>
      </c>
      <c r="C39" s="276">
        <f ca="1">ROUND(C33*F20,0)</f>
        <v>553</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797</v>
      </c>
      <c r="D41" s="279">
        <f ca="1">C44</f>
        <v>5.9999999999999995E-4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781</v>
      </c>
      <c r="D42" s="282"/>
      <c r="E42" s="282"/>
      <c r="F42" s="283"/>
      <c r="G42" s="3223" t="s">
        <v>2413</v>
      </c>
    </row>
    <row r="43" spans="1:7" ht="13.5" customHeight="1">
      <c r="A43" s="954" t="s">
        <v>792</v>
      </c>
      <c r="B43" s="259" t="s">
        <v>2414</v>
      </c>
      <c r="C43" s="282">
        <f ca="1">ROUND(IF('数据-取费表'!B22&lt;=1,C39*F22*'数据-取费表'!B21/2,C39*(POWER((1+F22),'数据-取费表'!B21/2)-1)),0)</f>
        <v>16</v>
      </c>
      <c r="D43" s="282"/>
      <c r="E43" s="282"/>
      <c r="F43" s="283"/>
      <c r="G43" s="3224"/>
    </row>
    <row r="44" spans="1:7" ht="13.5" customHeight="1">
      <c r="A44" s="954" t="s">
        <v>793</v>
      </c>
      <c r="B44" s="259" t="s">
        <v>2415</v>
      </c>
      <c r="C44" s="282">
        <f ca="1">ROUND(IF('数据-取费表'!B22&lt;=1,C40*F22*'数据-取费表'!B21/2,C40*(POWER((1+F22),'数据-取费表'!B21/2)-1)),4)</f>
        <v>5.9999999999999995E-4</v>
      </c>
      <c r="D44" s="282"/>
      <c r="E44" s="282"/>
      <c r="F44" s="283"/>
      <c r="G44" s="3225"/>
    </row>
    <row r="45" spans="1:7" s="258" customFormat="1" ht="13.5" customHeight="1">
      <c r="A45" s="299" t="s">
        <v>2416</v>
      </c>
      <c r="B45" s="288" t="s">
        <v>2382</v>
      </c>
      <c r="C45" s="289">
        <f ca="1">C46</f>
        <v>5079</v>
      </c>
      <c r="D45" s="279">
        <f ca="1">C47</f>
        <v>3.5999999999999999E-3</v>
      </c>
      <c r="E45" s="280" t="s">
        <v>2408</v>
      </c>
      <c r="F45" s="290"/>
      <c r="G45" s="291" t="s">
        <v>2417</v>
      </c>
    </row>
    <row r="46" spans="1:7" s="258" customFormat="1" ht="13.5" customHeight="1">
      <c r="A46" s="954" t="s">
        <v>791</v>
      </c>
      <c r="B46" s="292" t="s">
        <v>2418</v>
      </c>
      <c r="C46" s="293">
        <f ca="1">ROUND((C33+C39)*F27,0)</f>
        <v>5079</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36959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36959</v>
      </c>
      <c r="D51" s="276"/>
      <c r="E51" s="276"/>
      <c r="F51" s="308"/>
      <c r="G51" s="278" t="s">
        <v>2429</v>
      </c>
    </row>
    <row r="52" spans="1:7" s="252" customFormat="1" ht="16.5" thickBot="1">
      <c r="A52" s="309" t="s">
        <v>2430</v>
      </c>
      <c r="B52" s="310"/>
      <c r="C52" s="311">
        <f ca="1">C31+C51</f>
        <v>68338</v>
      </c>
      <c r="D52" s="310"/>
      <c r="E52" s="310"/>
      <c r="F52" s="310"/>
      <c r="G52" s="312"/>
    </row>
    <row r="55" spans="1:7" ht="15">
      <c r="B55" s="314" t="s">
        <v>2431</v>
      </c>
      <c r="C55" s="315"/>
    </row>
    <row r="56" spans="1:7">
      <c r="B56" s="317" t="s">
        <v>1513</v>
      </c>
      <c r="C56" s="319">
        <f ca="1">1-C57</f>
        <v>0.45899999999999996</v>
      </c>
    </row>
    <row r="57" spans="1:7">
      <c r="B57" s="317" t="s">
        <v>1514</v>
      </c>
      <c r="C57" s="318">
        <f ca="1">ROUND(C51/C52,3)</f>
        <v>0.54100000000000004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7" t="str">
        <f>项目基本情况!B1</f>
        <v>山东省青岛市城阳街道大北曲后社区青岛北曲后汇豪置业有限公司出让国有建设用地使用权及在建建筑物房地产抵押价值预评估</v>
      </c>
      <c r="C37" s="3037"/>
      <c r="D37" s="3037"/>
      <c r="E37" s="3037"/>
      <c r="F37" s="3037"/>
      <c r="G37" s="3037"/>
      <c r="H37" s="3037"/>
      <c r="I37" s="3037"/>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康正预评字2018-1-0631-F02DYGJ1号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6"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53882</v>
      </c>
      <c r="C2" s="243" t="s">
        <v>2332</v>
      </c>
      <c r="D2" s="2550" t="s">
        <v>70</v>
      </c>
      <c r="E2" s="1443"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5544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11662206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11662206</v>
      </c>
      <c r="D8" s="266"/>
      <c r="E8" s="264"/>
      <c r="F8" s="265"/>
      <c r="G8" s="2553"/>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11662206</v>
      </c>
      <c r="D10" s="1035">
        <f ca="1">IF(B1="",'数据-汇总表'!E6,IF(INDIRECT("'数据-取费表'!c"&amp;$G$1)="住宅",INDIRECT("'数据-取费表'!s"&amp;$G$1),INDIRECT("'数据-取费表'!k"&amp;$G$1)+INDIRECT("'数据-取费表'!s"&amp;$G$1)))</f>
        <v>97185.05</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19437010</v>
      </c>
      <c r="D19" s="1039">
        <f ca="1">D9+D10</f>
        <v>97185.05</v>
      </c>
      <c r="E19" s="255">
        <f>'数据-取费表'!B31</f>
        <v>200</v>
      </c>
      <c r="F19" s="275"/>
      <c r="G19" s="2553"/>
    </row>
    <row r="20" spans="1:7" s="258" customFormat="1" ht="13.5" customHeight="1">
      <c r="A20" s="299" t="s">
        <v>2443</v>
      </c>
      <c r="B20" s="254" t="s">
        <v>2444</v>
      </c>
      <c r="C20" s="276">
        <f ca="1">ROUND((C5+C19)*F20,0)</f>
        <v>621984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2263957</v>
      </c>
      <c r="D22" s="279">
        <f ca="1">C26</f>
        <v>6.9999999999999999E-4</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840723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1401205</v>
      </c>
      <c r="D24" s="282"/>
      <c r="E24" s="282"/>
      <c r="F24" s="283"/>
      <c r="G24" s="284" t="s">
        <v>2455</v>
      </c>
    </row>
    <row r="25" spans="1:7" s="258" customFormat="1" ht="24">
      <c r="A25" s="954" t="s">
        <v>2345</v>
      </c>
      <c r="B25" s="259" t="s">
        <v>2456</v>
      </c>
      <c r="C25" s="1384">
        <f ca="1">ROUND(IF('数据-取费表'!B22&lt;=1,C20*F22*'数据-取费表'!B22/2,C20*(POWER((1+F22),'数据-取费表'!B22/2)-1)),0)</f>
        <v>22029</v>
      </c>
      <c r="D25" s="282"/>
      <c r="E25" s="285"/>
      <c r="F25" s="283"/>
      <c r="G25" s="286" t="s">
        <v>2457</v>
      </c>
    </row>
    <row r="26" spans="1:7" s="258" customFormat="1">
      <c r="A26" s="954" t="s">
        <v>795</v>
      </c>
      <c r="B26" s="259" t="s">
        <v>2380</v>
      </c>
      <c r="C26" s="282">
        <f ca="1">ROUND(IF('数据-取费表'!B22&lt;=1,F21*F22*'数据-取费表'!B22/2,F21*(POWER((1+F22),'数据-取费表'!B22/2)-1)),4)</f>
        <v>6.9999999999999999E-4</v>
      </c>
      <c r="D26" s="282"/>
      <c r="E26" s="285"/>
      <c r="F26" s="283"/>
      <c r="G26" s="287"/>
    </row>
    <row r="27" spans="1:7" s="258" customFormat="1" ht="24.75">
      <c r="A27" s="299" t="s">
        <v>2381</v>
      </c>
      <c r="B27" s="288" t="s">
        <v>2382</v>
      </c>
      <c r="C27" s="289">
        <f ca="1">C28</f>
        <v>5709816</v>
      </c>
      <c r="D27" s="279">
        <f ca="1">C29</f>
        <v>3.5999999999999999E-3</v>
      </c>
      <c r="E27" s="280" t="s">
        <v>2383</v>
      </c>
      <c r="F27" s="290">
        <f ca="1">IF(B1="",'数据-取费表'!Q16,INDIRECT("'数据-取费表'!q"&amp;$G$1))</f>
        <v>0.18</v>
      </c>
      <c r="G27" s="291" t="s">
        <v>2384</v>
      </c>
    </row>
    <row r="28" spans="1:7" s="258" customFormat="1" ht="13.5" customHeight="1">
      <c r="A28" s="954" t="s">
        <v>791</v>
      </c>
      <c r="B28" s="292" t="s">
        <v>2385</v>
      </c>
      <c r="C28" s="293">
        <f ca="1">ROUND((C5+C19+C20)*F27,0)</f>
        <v>5709816</v>
      </c>
      <c r="D28" s="279"/>
      <c r="E28" s="280"/>
      <c r="F28" s="290"/>
      <c r="G28" s="291"/>
    </row>
    <row r="29" spans="1:7" s="258" customFormat="1" ht="13.5" customHeight="1">
      <c r="A29" s="954"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43034446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368879712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334394930</v>
      </c>
      <c r="D34" s="261"/>
      <c r="E34" s="264"/>
      <c r="F34" s="301"/>
      <c r="G34" s="263"/>
    </row>
    <row r="35" spans="1:7" ht="13.5" customHeight="1">
      <c r="A35" s="954" t="s">
        <v>796</v>
      </c>
      <c r="B35" s="259" t="s">
        <v>2396</v>
      </c>
      <c r="C35" s="264">
        <f ca="1">ROUND(C34*F35,0)</f>
        <v>10031848</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19437010</v>
      </c>
      <c r="D37" s="261">
        <f ca="1">D19</f>
        <v>97185.05</v>
      </c>
      <c r="E37" s="293">
        <f>'数据-取费表'!B35</f>
        <v>200</v>
      </c>
      <c r="F37" s="303"/>
      <c r="G37" s="305"/>
    </row>
    <row r="38" spans="1:7" ht="13.5" customHeight="1">
      <c r="A38" s="954" t="s">
        <v>799</v>
      </c>
      <c r="B38" s="259" t="s">
        <v>2402</v>
      </c>
      <c r="C38" s="264">
        <f ca="1">ROUND(C34*F38,0)</f>
        <v>5015924</v>
      </c>
      <c r="D38" s="264"/>
      <c r="E38" s="264"/>
      <c r="F38" s="303">
        <f>'数据-取费表'!B36</f>
        <v>1.4999999999999999E-2</v>
      </c>
      <c r="G38" s="263" t="s">
        <v>2397</v>
      </c>
    </row>
    <row r="39" spans="1:7" s="258" customFormat="1" ht="13.5" customHeight="1">
      <c r="A39" s="299" t="s">
        <v>2403</v>
      </c>
      <c r="B39" s="254" t="s">
        <v>2404</v>
      </c>
      <c r="C39" s="276">
        <f ca="1">ROUND(C33*F20,0)</f>
        <v>7377594</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13326113</v>
      </c>
      <c r="D41" s="279">
        <f ca="1">C44</f>
        <v>6.9999999999999999E-4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13064817</v>
      </c>
      <c r="D42" s="282"/>
      <c r="E42" s="282"/>
      <c r="F42" s="283"/>
      <c r="G42" s="3223" t="s">
        <v>2460</v>
      </c>
    </row>
    <row r="43" spans="1:7" ht="13.5" customHeight="1">
      <c r="A43" s="954" t="s">
        <v>792</v>
      </c>
      <c r="B43" s="259" t="s">
        <v>2414</v>
      </c>
      <c r="C43" s="282">
        <f ca="1">ROUND(IF('数据-取费表'!B22&lt;=1,C39*F22*'数据-取费表'!B20/2,C39*(POWER((1+F22),'数据-取费表'!B20/2)-1)),0)</f>
        <v>261296</v>
      </c>
      <c r="D43" s="282"/>
      <c r="E43" s="282"/>
      <c r="F43" s="283"/>
      <c r="G43" s="3224"/>
    </row>
    <row r="44" spans="1:7" ht="13.5" customHeight="1">
      <c r="A44" s="954" t="s">
        <v>793</v>
      </c>
      <c r="B44" s="259" t="s">
        <v>2415</v>
      </c>
      <c r="C44" s="282">
        <f ca="1">ROUND(IF('数据-取费表'!B22&lt;=1,C40*F22*'数据-取费表'!B20/2,C40*(POWER((1+F22),'数据-取费表'!B20/2)-1)),4)</f>
        <v>6.9999999999999999E-4</v>
      </c>
      <c r="D44" s="282"/>
      <c r="E44" s="282"/>
      <c r="F44" s="283"/>
      <c r="G44" s="3225"/>
    </row>
    <row r="45" spans="1:7" s="258" customFormat="1" ht="13.5" customHeight="1">
      <c r="A45" s="299" t="s">
        <v>2416</v>
      </c>
      <c r="B45" s="288" t="s">
        <v>2382</v>
      </c>
      <c r="C45" s="289">
        <f ca="1">C46</f>
        <v>67726315</v>
      </c>
      <c r="D45" s="279">
        <f ca="1">C47</f>
        <v>3.5999999999999999E-3</v>
      </c>
      <c r="E45" s="280" t="s">
        <v>2408</v>
      </c>
      <c r="F45" s="290"/>
      <c r="G45" s="291" t="s">
        <v>2417</v>
      </c>
    </row>
    <row r="46" spans="1:7" s="258" customFormat="1" ht="13.5" customHeight="1">
      <c r="A46" s="954" t="s">
        <v>791</v>
      </c>
      <c r="B46" s="292" t="s">
        <v>2418</v>
      </c>
      <c r="C46" s="293">
        <f ca="1">ROUND((C33+C39)*F27,0)</f>
        <v>67726315</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495782452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495782452</v>
      </c>
      <c r="D51" s="276"/>
      <c r="E51" s="276"/>
      <c r="F51" s="308"/>
      <c r="G51" s="278" t="s">
        <v>2429</v>
      </c>
    </row>
    <row r="52" spans="1:7" s="252" customFormat="1" ht="16.5" thickBot="1">
      <c r="A52" s="309" t="s">
        <v>2430</v>
      </c>
      <c r="B52" s="310"/>
      <c r="C52" s="311">
        <f ca="1">C31+C51</f>
        <v>538816898</v>
      </c>
      <c r="D52" s="310"/>
      <c r="E52" s="310"/>
      <c r="F52" s="310"/>
      <c r="G52" s="312"/>
    </row>
    <row r="55" spans="1:7" ht="15">
      <c r="B55" s="314" t="s">
        <v>2431</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F56" sqref="F5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21822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2245</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30" ht="15">
      <c r="A5" s="404"/>
      <c r="B5" s="405"/>
      <c r="C5" s="3237" t="s">
        <v>3090</v>
      </c>
      <c r="D5" s="3238"/>
      <c r="E5" s="3235" t="s">
        <v>3091</v>
      </c>
      <c r="F5" s="3236"/>
      <c r="G5" s="3237" t="s">
        <v>3092</v>
      </c>
      <c r="H5" s="3238"/>
      <c r="I5" s="3237" t="s">
        <v>3093</v>
      </c>
      <c r="J5" s="3238"/>
      <c r="K5" s="610"/>
      <c r="L5" s="1133"/>
      <c r="M5" s="1134"/>
      <c r="N5" s="1134"/>
      <c r="O5" s="1134"/>
      <c r="P5" s="3250"/>
      <c r="Q5" s="3251"/>
      <c r="R5" s="3233"/>
      <c r="S5" s="3234"/>
      <c r="T5" s="3233"/>
      <c r="U5" s="3234"/>
      <c r="V5" s="3256"/>
      <c r="W5" s="3256"/>
      <c r="X5" s="1816"/>
      <c r="Y5" s="3233"/>
      <c r="Z5" s="3234"/>
      <c r="AA5" s="3227"/>
      <c r="AB5" s="3227"/>
      <c r="AC5" s="3227"/>
    </row>
    <row r="6" spans="1:30"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30" s="117" customFormat="1" ht="15.75" thickBot="1">
      <c r="A7" s="408" t="s">
        <v>2549</v>
      </c>
      <c r="B7" s="409"/>
      <c r="C7" s="410">
        <f>'数据-取费表'!B2</f>
        <v>43595</v>
      </c>
      <c r="D7" s="411">
        <v>100</v>
      </c>
      <c r="E7" s="412" t="s">
        <v>3094</v>
      </c>
      <c r="F7" s="413">
        <f>SUMIF(70:70,YEAR(E7)&amp;"-"&amp;INT((MONTH(E7)+2)/3),71:71)</f>
        <v>98.5</v>
      </c>
      <c r="G7" s="2699" t="s">
        <v>3094</v>
      </c>
      <c r="H7" s="411">
        <f>SUMIF(70:70,YEAR(G7)&amp;"-"&amp;INT((MONTH(G7)+2)/3),71:71)</f>
        <v>98.5</v>
      </c>
      <c r="I7" s="2699" t="s">
        <v>3095</v>
      </c>
      <c r="J7" s="411">
        <f>SUMIF(70:70,YEAR(I7)&amp;"-"&amp;INT((MONTH(I7)+2)/3),71:71)</f>
        <v>97.5</v>
      </c>
      <c r="K7" s="611"/>
      <c r="L7" s="1135"/>
      <c r="M7" s="1136"/>
      <c r="N7" s="1136"/>
      <c r="O7" s="1136"/>
      <c r="P7" s="3229" t="s">
        <v>2550</v>
      </c>
      <c r="Q7" s="3257"/>
      <c r="R7" s="770" t="s">
        <v>17</v>
      </c>
      <c r="S7" s="771">
        <f t="shared" ref="S7:S15" si="0">F7</f>
        <v>98.5</v>
      </c>
      <c r="T7" s="770" t="s">
        <v>17</v>
      </c>
      <c r="U7" s="771">
        <f t="shared" ref="U7:U15" si="1">H7</f>
        <v>98.5</v>
      </c>
      <c r="V7" s="770" t="s">
        <v>17</v>
      </c>
      <c r="W7" s="771">
        <f t="shared" ref="W7:W15" si="2">J7</f>
        <v>97.5</v>
      </c>
      <c r="X7" s="772"/>
      <c r="Y7" s="3229" t="s">
        <v>2550</v>
      </c>
      <c r="Z7" s="3230"/>
      <c r="AA7" s="773">
        <f>D7/F7</f>
        <v>1.015228426395939</v>
      </c>
      <c r="AB7" s="773">
        <f>D7/H7</f>
        <v>1.015228426395939</v>
      </c>
      <c r="AC7" s="773">
        <f>D7/J7</f>
        <v>1.0256410256410255</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5"/>
      <c r="M8" s="1136"/>
      <c r="N8" s="1136"/>
      <c r="O8" s="1136"/>
      <c r="P8" s="3229" t="s">
        <v>2553</v>
      </c>
      <c r="Q8" s="3230"/>
      <c r="R8" s="770" t="s">
        <v>17</v>
      </c>
      <c r="S8" s="771">
        <f t="shared" si="0"/>
        <v>100</v>
      </c>
      <c r="T8" s="770" t="s">
        <v>17</v>
      </c>
      <c r="U8" s="771">
        <f t="shared" si="1"/>
        <v>100</v>
      </c>
      <c r="V8" s="770" t="s">
        <v>17</v>
      </c>
      <c r="W8" s="771">
        <f t="shared" si="2"/>
        <v>100</v>
      </c>
      <c r="X8" s="772"/>
      <c r="Y8" s="3229" t="s">
        <v>2553</v>
      </c>
      <c r="Z8" s="3230"/>
      <c r="AA8" s="773">
        <f t="shared" ref="AA8:AA45" si="3">D8/F8</f>
        <v>1</v>
      </c>
      <c r="AB8" s="773">
        <f t="shared" ref="AB8:AB45" si="4">D8/H8</f>
        <v>1</v>
      </c>
      <c r="AC8" s="773">
        <f t="shared" ref="AC8:AC45" si="5">D8/J8</f>
        <v>1</v>
      </c>
    </row>
    <row r="9" spans="1:30" s="117" customFormat="1">
      <c r="A9" s="415" t="s">
        <v>2554</v>
      </c>
      <c r="B9" s="71" t="s">
        <v>2555</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30" s="427" customFormat="1" ht="27">
      <c r="A10" s="421"/>
      <c r="B10" s="422" t="s">
        <v>2558</v>
      </c>
      <c r="C10" s="432">
        <f>项目基本情况!E15</f>
        <v>31.96</v>
      </c>
      <c r="D10" s="136">
        <v>100</v>
      </c>
      <c r="E10" s="465" t="s">
        <v>3097</v>
      </c>
      <c r="F10" s="136">
        <f>ROUND(100/'数据-取费表'!G16,0)</f>
        <v>110</v>
      </c>
      <c r="G10" s="463" t="s">
        <v>3097</v>
      </c>
      <c r="H10" s="136">
        <f>ROUND(100/'数据-取费表'!G16,0)</f>
        <v>110</v>
      </c>
      <c r="I10" s="463" t="s">
        <v>3097</v>
      </c>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30" ht="15">
      <c r="A11" s="428"/>
      <c r="B11" s="422" t="s">
        <v>2559</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243"/>
      <c r="Q11" s="1798" t="str">
        <f t="shared" si="6"/>
        <v>容积率</v>
      </c>
      <c r="R11" s="770" t="s">
        <v>17</v>
      </c>
      <c r="S11" s="771">
        <f t="shared" si="0"/>
        <v>102</v>
      </c>
      <c r="T11" s="770" t="s">
        <v>17</v>
      </c>
      <c r="U11" s="771">
        <f t="shared" si="1"/>
        <v>102</v>
      </c>
      <c r="V11" s="770" t="s">
        <v>17</v>
      </c>
      <c r="W11" s="771">
        <f t="shared" si="2"/>
        <v>98</v>
      </c>
      <c r="X11" s="772"/>
      <c r="Y11" s="3103"/>
      <c r="Z11" s="55" t="str">
        <f t="shared" si="7"/>
        <v>容积率</v>
      </c>
      <c r="AA11" s="773">
        <f t="shared" si="3"/>
        <v>0.98039215686274506</v>
      </c>
      <c r="AB11" s="773">
        <f t="shared" si="4"/>
        <v>0.98039215686274506</v>
      </c>
      <c r="AC11" s="773">
        <f t="shared" si="5"/>
        <v>1.0204081632653061</v>
      </c>
    </row>
    <row r="12" spans="1:30" s="117" customFormat="1" ht="15" hidden="1">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103"/>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D14/F14</f>
        <v>1</v>
      </c>
      <c r="AB14" s="773">
        <f>D14/H14</f>
        <v>1</v>
      </c>
      <c r="AC14" s="773">
        <f>D14/J14</f>
        <v>1</v>
      </c>
    </row>
    <row r="15" spans="1:30" ht="99.75" hidden="1">
      <c r="A15" s="440" t="s">
        <v>2560</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8" t="s">
        <v>2561</v>
      </c>
      <c r="Q15" s="1813" t="str">
        <f t="shared" si="6"/>
        <v>居住社区成熟度</v>
      </c>
      <c r="R15" s="774" t="s">
        <v>17</v>
      </c>
      <c r="S15" s="775">
        <f t="shared" si="0"/>
        <v>100</v>
      </c>
      <c r="T15" s="774" t="s">
        <v>17</v>
      </c>
      <c r="U15" s="775">
        <f t="shared" si="1"/>
        <v>100</v>
      </c>
      <c r="V15" s="774" t="s">
        <v>17</v>
      </c>
      <c r="W15" s="775">
        <f t="shared" si="2"/>
        <v>100</v>
      </c>
      <c r="X15" s="1816"/>
      <c r="Y15" s="3258" t="s">
        <v>2561</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97</v>
      </c>
      <c r="I17" s="454"/>
      <c r="J17" s="455">
        <f>SUMIF(90:90,I18,91:91)-SUMIF(90:90,C18,91:91)+100</f>
        <v>97</v>
      </c>
      <c r="K17" s="673">
        <v>3</v>
      </c>
      <c r="L17" s="1143"/>
      <c r="M17" s="1134"/>
      <c r="N17" s="1134"/>
      <c r="O17" s="1142"/>
      <c r="P17" s="3259"/>
      <c r="Q17" s="1813" t="str">
        <f>B17</f>
        <v>商业繁华度</v>
      </c>
      <c r="R17" s="774" t="s">
        <v>17</v>
      </c>
      <c r="S17" s="775">
        <f>F17</f>
        <v>100</v>
      </c>
      <c r="T17" s="774" t="s">
        <v>17</v>
      </c>
      <c r="U17" s="775">
        <f>H17</f>
        <v>97</v>
      </c>
      <c r="V17" s="774" t="s">
        <v>17</v>
      </c>
      <c r="W17" s="775">
        <f>J17</f>
        <v>97</v>
      </c>
      <c r="X17" s="1816"/>
      <c r="Y17" s="3259"/>
      <c r="Z17" s="1817" t="str">
        <f>Q17</f>
        <v>商业繁华度</v>
      </c>
      <c r="AA17" s="1814">
        <f t="shared" si="3"/>
        <v>1</v>
      </c>
      <c r="AB17" s="1814">
        <f t="shared" si="4"/>
        <v>1.0309278350515463</v>
      </c>
      <c r="AC17" s="1814">
        <f t="shared" si="5"/>
        <v>1.0309278350515463</v>
      </c>
    </row>
    <row r="18" spans="1:29" ht="15">
      <c r="A18" s="428"/>
      <c r="B18" s="456"/>
      <c r="C18" s="2611" t="s">
        <v>3098</v>
      </c>
      <c r="D18" s="450"/>
      <c r="E18" s="2611" t="s">
        <v>3098</v>
      </c>
      <c r="F18" s="450"/>
      <c r="G18" s="2611" t="s">
        <v>3099</v>
      </c>
      <c r="H18" s="448"/>
      <c r="I18" s="2611" t="s">
        <v>3099</v>
      </c>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71.25" hidden="1">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9"/>
      <c r="Q19" s="1813" t="str">
        <f>B19</f>
        <v>办公集聚程度</v>
      </c>
      <c r="R19" s="774" t="s">
        <v>17</v>
      </c>
      <c r="S19" s="775">
        <f>F19</f>
        <v>100</v>
      </c>
      <c r="T19" s="774" t="s">
        <v>17</v>
      </c>
      <c r="U19" s="775">
        <f>H19</f>
        <v>100</v>
      </c>
      <c r="V19" s="774" t="s">
        <v>17</v>
      </c>
      <c r="W19" s="775">
        <f>J19</f>
        <v>100</v>
      </c>
      <c r="X19" s="1816"/>
      <c r="Y19" s="3259"/>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259"/>
      <c r="Q20" s="1813"/>
      <c r="R20" s="774"/>
      <c r="S20" s="775"/>
      <c r="T20" s="774"/>
      <c r="U20" s="775"/>
      <c r="V20" s="774"/>
      <c r="W20" s="775"/>
      <c r="X20" s="1816"/>
      <c r="Y20" s="3259"/>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3"/>
      <c r="M21" s="1134"/>
      <c r="N21" s="1134"/>
      <c r="O21" s="1142"/>
      <c r="P21" s="3259"/>
      <c r="Q21" s="1813" t="str">
        <f>B21</f>
        <v>交通便捷度</v>
      </c>
      <c r="R21" s="774" t="s">
        <v>17</v>
      </c>
      <c r="S21" s="775">
        <f>F21</f>
        <v>100</v>
      </c>
      <c r="T21" s="774" t="s">
        <v>17</v>
      </c>
      <c r="U21" s="775">
        <f>H21</f>
        <v>98</v>
      </c>
      <c r="V21" s="774" t="s">
        <v>17</v>
      </c>
      <c r="W21" s="775">
        <f>J21</f>
        <v>98</v>
      </c>
      <c r="X21" s="1816"/>
      <c r="Y21" s="3259"/>
      <c r="Z21" s="1817" t="str">
        <f>Q21</f>
        <v>交通便捷度</v>
      </c>
      <c r="AA21" s="1814">
        <f t="shared" si="3"/>
        <v>1</v>
      </c>
      <c r="AB21" s="1814">
        <f t="shared" si="4"/>
        <v>1.0204081632653061</v>
      </c>
      <c r="AC21" s="1814">
        <f t="shared" si="5"/>
        <v>1.0204081632653061</v>
      </c>
    </row>
    <row r="22" spans="1:29" ht="15">
      <c r="A22" s="428"/>
      <c r="B22" s="1387"/>
      <c r="C22" s="447" t="s">
        <v>3098</v>
      </c>
      <c r="D22" s="450"/>
      <c r="E22" s="2608" t="s">
        <v>3098</v>
      </c>
      <c r="F22" s="448"/>
      <c r="G22" s="2608" t="s">
        <v>3099</v>
      </c>
      <c r="H22" s="448"/>
      <c r="I22" s="2607" t="s">
        <v>3099</v>
      </c>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59"/>
      <c r="Q23" s="1813" t="str">
        <f t="shared" ref="Q23:Q37" si="8">B23</f>
        <v>区域土地利用方向</v>
      </c>
      <c r="R23" s="774" t="s">
        <v>17</v>
      </c>
      <c r="S23" s="775">
        <f>F23</f>
        <v>100</v>
      </c>
      <c r="T23" s="774" t="s">
        <v>17</v>
      </c>
      <c r="U23" s="775">
        <f>H23</f>
        <v>100</v>
      </c>
      <c r="V23" s="774" t="s">
        <v>17</v>
      </c>
      <c r="W23" s="775">
        <f>J23</f>
        <v>100</v>
      </c>
      <c r="X23" s="1816"/>
      <c r="Y23" s="3259"/>
      <c r="Z23" s="1817" t="str">
        <f>Q23</f>
        <v>区域土地利用方向</v>
      </c>
      <c r="AA23" s="1814">
        <f t="shared" si="3"/>
        <v>1</v>
      </c>
      <c r="AB23" s="1814">
        <f t="shared" si="4"/>
        <v>1</v>
      </c>
      <c r="AC23" s="1814">
        <f t="shared" si="5"/>
        <v>1</v>
      </c>
    </row>
    <row r="24" spans="1:29" ht="15">
      <c r="A24" s="404"/>
      <c r="B24" s="456"/>
      <c r="C24" s="616" t="s">
        <v>3099</v>
      </c>
      <c r="D24" s="448"/>
      <c r="E24" s="616" t="s">
        <v>3099</v>
      </c>
      <c r="F24" s="448"/>
      <c r="G24" s="616" t="s">
        <v>3099</v>
      </c>
      <c r="H24" s="448"/>
      <c r="I24" s="616" t="s">
        <v>3099</v>
      </c>
      <c r="J24" s="448"/>
      <c r="K24" s="812"/>
      <c r="L24" s="1143"/>
      <c r="M24" s="1134"/>
      <c r="N24" s="1134"/>
      <c r="O24" s="1142"/>
      <c r="P24" s="3259"/>
      <c r="Q24" s="1813"/>
      <c r="R24" s="774"/>
      <c r="S24" s="775"/>
      <c r="T24" s="774"/>
      <c r="U24" s="775"/>
      <c r="V24" s="774"/>
      <c r="W24" s="775"/>
      <c r="X24" s="1816"/>
      <c r="Y24" s="3259"/>
      <c r="Z24" s="1817"/>
      <c r="AA24" s="1814"/>
      <c r="AB24" s="1814"/>
      <c r="AC24" s="1814"/>
    </row>
    <row r="25" spans="1:29" ht="57">
      <c r="A25" s="404"/>
      <c r="B25" s="1387"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59"/>
      <c r="Q25" s="1813" t="str">
        <f t="shared" si="8"/>
        <v>自然及人文环境状况</v>
      </c>
      <c r="R25" s="774" t="s">
        <v>17</v>
      </c>
      <c r="S25" s="775">
        <f>F25</f>
        <v>100</v>
      </c>
      <c r="T25" s="774" t="s">
        <v>17</v>
      </c>
      <c r="U25" s="775">
        <f>H25</f>
        <v>100</v>
      </c>
      <c r="V25" s="774" t="s">
        <v>17</v>
      </c>
      <c r="W25" s="775">
        <f>J25</f>
        <v>100</v>
      </c>
      <c r="X25" s="1816"/>
      <c r="Y25" s="3259"/>
      <c r="Z25" s="1817" t="str">
        <f>Q25</f>
        <v>自然及人文环境状况</v>
      </c>
      <c r="AA25" s="1814">
        <f t="shared" si="3"/>
        <v>1</v>
      </c>
      <c r="AB25" s="1814">
        <f t="shared" si="4"/>
        <v>1</v>
      </c>
      <c r="AC25" s="1814">
        <f t="shared" si="5"/>
        <v>1</v>
      </c>
    </row>
    <row r="26" spans="1:29" ht="15">
      <c r="A26" s="404"/>
      <c r="B26" s="456"/>
      <c r="C26" s="447" t="s">
        <v>3099</v>
      </c>
      <c r="D26" s="448"/>
      <c r="E26" s="447" t="s">
        <v>3099</v>
      </c>
      <c r="F26" s="448"/>
      <c r="G26" s="447" t="s">
        <v>3099</v>
      </c>
      <c r="H26" s="448"/>
      <c r="I26" s="447" t="s">
        <v>3099</v>
      </c>
      <c r="J26" s="448"/>
      <c r="K26" s="672"/>
      <c r="L26" s="1143"/>
      <c r="M26" s="1134"/>
      <c r="N26" s="1134"/>
      <c r="O26" s="1142"/>
      <c r="P26" s="3259"/>
      <c r="Q26" s="1813"/>
      <c r="R26" s="774"/>
      <c r="S26" s="775"/>
      <c r="T26" s="774"/>
      <c r="U26" s="775"/>
      <c r="V26" s="774"/>
      <c r="W26" s="775"/>
      <c r="X26" s="1816"/>
      <c r="Y26" s="3259"/>
      <c r="Z26" s="1817"/>
      <c r="AA26" s="1814">
        <v>1</v>
      </c>
      <c r="AB26" s="1814">
        <v>1</v>
      </c>
      <c r="AC26" s="1814">
        <v>1</v>
      </c>
    </row>
    <row r="27" spans="1:29" s="117" customFormat="1" ht="42.75">
      <c r="A27" s="649"/>
      <c r="B27" s="1387"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5"/>
      <c r="M27" s="1136"/>
      <c r="N27" s="1136"/>
      <c r="O27" s="1137"/>
      <c r="P27" s="3259"/>
      <c r="Q27" s="1798" t="str">
        <f t="shared" si="8"/>
        <v>公共配套设施</v>
      </c>
      <c r="R27" s="770" t="s">
        <v>17</v>
      </c>
      <c r="S27" s="771">
        <f>F27</f>
        <v>100</v>
      </c>
      <c r="T27" s="770" t="s">
        <v>17</v>
      </c>
      <c r="U27" s="771">
        <f>H27</f>
        <v>98</v>
      </c>
      <c r="V27" s="770" t="s">
        <v>17</v>
      </c>
      <c r="W27" s="771">
        <f>J27</f>
        <v>98</v>
      </c>
      <c r="X27" s="772"/>
      <c r="Y27" s="3259"/>
      <c r="Z27" s="55" t="str">
        <f>Q27</f>
        <v>公共配套设施</v>
      </c>
      <c r="AA27" s="1814">
        <f>D27/F27</f>
        <v>1</v>
      </c>
      <c r="AB27" s="1814">
        <f>D27/H27</f>
        <v>1.0204081632653061</v>
      </c>
      <c r="AC27" s="1814">
        <f>D27/J27</f>
        <v>1.0204081632653061</v>
      </c>
    </row>
    <row r="28" spans="1:29" s="117" customFormat="1" ht="15">
      <c r="A28" s="649"/>
      <c r="B28" s="456"/>
      <c r="C28" s="2703" t="s">
        <v>3098</v>
      </c>
      <c r="D28" s="448"/>
      <c r="E28" s="2703" t="s">
        <v>3098</v>
      </c>
      <c r="F28" s="448"/>
      <c r="G28" s="2614" t="s">
        <v>3099</v>
      </c>
      <c r="H28" s="448"/>
      <c r="I28" s="447" t="s">
        <v>3099</v>
      </c>
      <c r="J28" s="448"/>
      <c r="K28" s="672"/>
      <c r="L28" s="1135"/>
      <c r="M28" s="1136"/>
      <c r="N28" s="1136"/>
      <c r="O28" s="1137"/>
      <c r="P28" s="3259"/>
      <c r="Q28" s="1798"/>
      <c r="R28" s="770"/>
      <c r="S28" s="771"/>
      <c r="T28" s="770"/>
      <c r="U28" s="771"/>
      <c r="V28" s="770"/>
      <c r="W28" s="771"/>
      <c r="X28" s="772"/>
      <c r="Y28" s="3259"/>
      <c r="Z28" s="55"/>
      <c r="AA28" s="1814">
        <v>1</v>
      </c>
      <c r="AB28" s="1814">
        <v>1</v>
      </c>
      <c r="AC28" s="1814">
        <v>1</v>
      </c>
    </row>
    <row r="29" spans="1:29" s="117" customFormat="1" ht="28.5">
      <c r="A29" s="649"/>
      <c r="B29" s="1387"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59"/>
      <c r="Q29" s="1798"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4">
        <f>D29/F29</f>
        <v>1</v>
      </c>
      <c r="AB29" s="1814">
        <f>D29/H29</f>
        <v>1</v>
      </c>
      <c r="AC29" s="1814">
        <f>D29/J29</f>
        <v>1</v>
      </c>
    </row>
    <row r="30" spans="1:29" s="117" customFormat="1" ht="15">
      <c r="A30" s="649"/>
      <c r="B30" s="456"/>
      <c r="C30" s="2703" t="s">
        <v>3100</v>
      </c>
      <c r="D30" s="448"/>
      <c r="E30" s="2703" t="s">
        <v>3100</v>
      </c>
      <c r="F30" s="448"/>
      <c r="G30" s="2703" t="s">
        <v>3100</v>
      </c>
      <c r="H30" s="448"/>
      <c r="I30" s="2703" t="s">
        <v>3100</v>
      </c>
      <c r="J30" s="448"/>
      <c r="K30" s="672"/>
      <c r="L30" s="1135"/>
      <c r="M30" s="1136"/>
      <c r="N30" s="1136"/>
      <c r="O30" s="1137"/>
      <c r="P30" s="3259"/>
      <c r="Q30" s="1798"/>
      <c r="R30" s="770"/>
      <c r="S30" s="771"/>
      <c r="T30" s="770"/>
      <c r="U30" s="771"/>
      <c r="V30" s="770"/>
      <c r="W30" s="771"/>
      <c r="X30" s="772"/>
      <c r="Y30" s="3259"/>
      <c r="Z30" s="55"/>
      <c r="AA30" s="1814">
        <v>1</v>
      </c>
      <c r="AB30" s="1814">
        <v>1</v>
      </c>
      <c r="AC30" s="1814">
        <v>1</v>
      </c>
    </row>
    <row r="31" spans="1:29" ht="15" hidden="1">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9"/>
      <c r="Z31" s="1817" t="str">
        <f t="shared" ref="Z31:Z45" si="13">Q31</f>
        <v>临街状况</v>
      </c>
      <c r="AA31" s="1814">
        <f t="shared" si="3"/>
        <v>1</v>
      </c>
      <c r="AB31" s="1814">
        <f t="shared" si="4"/>
        <v>1</v>
      </c>
      <c r="AC31" s="1814">
        <f t="shared" si="5"/>
        <v>1</v>
      </c>
    </row>
    <row r="32" spans="1:29" ht="27">
      <c r="A32" s="428"/>
      <c r="B32" s="1387" t="s">
        <v>2692</v>
      </c>
      <c r="C32" s="454" t="s">
        <v>3101</v>
      </c>
      <c r="D32" s="450">
        <v>100</v>
      </c>
      <c r="E32" s="452" t="s">
        <v>3102</v>
      </c>
      <c r="F32" s="450">
        <f>SUMIF(106:106,E33,107:107)-SUMIF(106:106,C33,107:107)+100</f>
        <v>102</v>
      </c>
      <c r="G32" s="452"/>
      <c r="H32" s="450">
        <f>SUMIF(106:106,G33,107:107)-SUMIF(106:106,C33,107:107)+100</f>
        <v>96</v>
      </c>
      <c r="I32" s="454" t="s">
        <v>3103</v>
      </c>
      <c r="J32" s="450">
        <f>SUMIF(106:106,I33,107:107)-SUMIF(106:106,C33,107:107)+100</f>
        <v>100</v>
      </c>
      <c r="K32" s="673">
        <v>2</v>
      </c>
      <c r="L32" s="1143"/>
      <c r="M32" s="1134"/>
      <c r="N32" s="1134"/>
      <c r="O32" s="1142"/>
      <c r="P32" s="3259"/>
      <c r="Q32" s="1813" t="str">
        <f t="shared" si="8"/>
        <v>毗邻道路的类型与等级</v>
      </c>
      <c r="R32" s="774" t="s">
        <v>17</v>
      </c>
      <c r="S32" s="775">
        <f t="shared" si="10"/>
        <v>102</v>
      </c>
      <c r="T32" s="774" t="s">
        <v>17</v>
      </c>
      <c r="U32" s="775">
        <f t="shared" si="11"/>
        <v>96</v>
      </c>
      <c r="V32" s="774" t="s">
        <v>17</v>
      </c>
      <c r="W32" s="775">
        <f t="shared" si="12"/>
        <v>100</v>
      </c>
      <c r="X32" s="1816"/>
      <c r="Y32" s="3259"/>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3109</v>
      </c>
      <c r="D33" s="448"/>
      <c r="E33" s="2614" t="s">
        <v>3110</v>
      </c>
      <c r="F33" s="448"/>
      <c r="G33" s="2614" t="s">
        <v>3111</v>
      </c>
      <c r="H33" s="448"/>
      <c r="I33" s="447" t="s">
        <v>3109</v>
      </c>
      <c r="J33" s="448"/>
      <c r="K33" s="613"/>
      <c r="L33" s="1143"/>
      <c r="M33" s="1134"/>
      <c r="N33" s="1134"/>
      <c r="O33" s="1142"/>
      <c r="P33" s="3259"/>
      <c r="Q33" s="1813"/>
      <c r="R33" s="774"/>
      <c r="S33" s="775"/>
      <c r="T33" s="774"/>
      <c r="U33" s="775"/>
      <c r="V33" s="774"/>
      <c r="W33" s="775"/>
      <c r="X33" s="1816"/>
      <c r="Y33" s="3259"/>
      <c r="Z33" s="1817"/>
      <c r="AA33" s="1814">
        <v>1</v>
      </c>
      <c r="AB33" s="1814">
        <v>1</v>
      </c>
      <c r="AC33" s="1814">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9"/>
      <c r="Q34" s="1813" t="str">
        <f t="shared" si="8"/>
        <v>土地级别</v>
      </c>
      <c r="R34" s="774" t="s">
        <v>17</v>
      </c>
      <c r="S34" s="775">
        <f t="shared" si="10"/>
        <v>100</v>
      </c>
      <c r="T34" s="774" t="s">
        <v>17</v>
      </c>
      <c r="U34" s="775">
        <f t="shared" si="11"/>
        <v>100</v>
      </c>
      <c r="V34" s="774" t="s">
        <v>17</v>
      </c>
      <c r="W34" s="775">
        <f t="shared" si="12"/>
        <v>100</v>
      </c>
      <c r="X34" s="1816"/>
      <c r="Y34" s="325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9"/>
      <c r="Q35" s="1813">
        <f t="shared" si="8"/>
        <v>111</v>
      </c>
      <c r="R35" s="774" t="s">
        <v>17</v>
      </c>
      <c r="S35" s="775">
        <f t="shared" si="10"/>
        <v>100</v>
      </c>
      <c r="T35" s="774" t="s">
        <v>17</v>
      </c>
      <c r="U35" s="775">
        <f t="shared" si="11"/>
        <v>100</v>
      </c>
      <c r="V35" s="774" t="s">
        <v>17</v>
      </c>
      <c r="W35" s="775">
        <f t="shared" si="12"/>
        <v>100</v>
      </c>
      <c r="X35" s="1816"/>
      <c r="Y35" s="325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2566</v>
      </c>
      <c r="Q36" s="1813">
        <f t="shared" si="8"/>
        <v>111</v>
      </c>
      <c r="R36" s="774" t="s">
        <v>17</v>
      </c>
      <c r="S36" s="775">
        <f t="shared" si="10"/>
        <v>100</v>
      </c>
      <c r="T36" s="774" t="s">
        <v>17</v>
      </c>
      <c r="U36" s="775">
        <f t="shared" si="11"/>
        <v>100</v>
      </c>
      <c r="V36" s="774" t="s">
        <v>17</v>
      </c>
      <c r="W36" s="775">
        <f t="shared" si="12"/>
        <v>100</v>
      </c>
      <c r="X36" s="1816"/>
      <c r="Y36" s="3261" t="s">
        <v>2566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1"/>
      <c r="Q37" s="1813">
        <f t="shared" si="8"/>
        <v>111</v>
      </c>
      <c r="R37" s="777" t="s">
        <v>17</v>
      </c>
      <c r="S37" s="778">
        <f t="shared" si="10"/>
        <v>100</v>
      </c>
      <c r="T37" s="777" t="s">
        <v>17</v>
      </c>
      <c r="U37" s="778">
        <f t="shared" si="11"/>
        <v>100</v>
      </c>
      <c r="V37" s="777" t="s">
        <v>17</v>
      </c>
      <c r="W37" s="778">
        <f t="shared" si="12"/>
        <v>100</v>
      </c>
      <c r="X37" s="779"/>
      <c r="Y37" s="3261"/>
      <c r="Z37" s="780">
        <f t="shared" si="13"/>
        <v>111</v>
      </c>
      <c r="AA37" s="1814">
        <f t="shared" si="3"/>
        <v>1</v>
      </c>
      <c r="AB37" s="1814">
        <f t="shared" si="4"/>
        <v>1</v>
      </c>
      <c r="AC37" s="1814">
        <f t="shared" si="5"/>
        <v>1</v>
      </c>
    </row>
    <row r="38" spans="1:29" ht="15">
      <c r="A38" s="472" t="s">
        <v>2564</v>
      </c>
      <c r="B38" s="456" t="s">
        <v>2752</v>
      </c>
      <c r="C38" s="679">
        <f>'数据-基础表'!A3</f>
        <v>31518.19</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261"/>
      <c r="Q38" s="1813" t="str">
        <f>B38</f>
        <v>宗地面积</v>
      </c>
      <c r="R38" s="774" t="s">
        <v>17</v>
      </c>
      <c r="S38" s="775">
        <f t="shared" si="10"/>
        <v>100</v>
      </c>
      <c r="T38" s="774" t="s">
        <v>17</v>
      </c>
      <c r="U38" s="775">
        <f t="shared" si="11"/>
        <v>100</v>
      </c>
      <c r="V38" s="774" t="s">
        <v>17</v>
      </c>
      <c r="W38" s="775">
        <f t="shared" si="12"/>
        <v>102</v>
      </c>
      <c r="X38" s="1816"/>
      <c r="Y38" s="3261"/>
      <c r="Z38" s="1817" t="str">
        <f t="shared" si="13"/>
        <v>宗地面积</v>
      </c>
      <c r="AA38" s="1814">
        <f t="shared" si="3"/>
        <v>1</v>
      </c>
      <c r="AB38" s="1814">
        <f t="shared" si="4"/>
        <v>1</v>
      </c>
      <c r="AC38" s="1814">
        <f t="shared" si="5"/>
        <v>0.98039215686274506</v>
      </c>
    </row>
    <row r="39" spans="1:29" ht="15">
      <c r="A39" s="472"/>
      <c r="B39" s="422" t="s">
        <v>2753</v>
      </c>
      <c r="C39" s="2616" t="s">
        <v>3125</v>
      </c>
      <c r="D39" s="435">
        <v>100</v>
      </c>
      <c r="E39" s="2616" t="s">
        <v>3127</v>
      </c>
      <c r="F39" s="435">
        <f>SUMIF(119:119,E39,120:120)-SUMIF(119:119,C39,120:120)+100</f>
        <v>98</v>
      </c>
      <c r="G39" s="2616" t="s">
        <v>3127</v>
      </c>
      <c r="H39" s="435">
        <f>SUMIF(119:119,G39,120:120)-SUMIF(119:119,C39,120:120)+100</f>
        <v>98</v>
      </c>
      <c r="I39" s="2616" t="s">
        <v>3125</v>
      </c>
      <c r="J39" s="435">
        <f>SUMIF(119:119,I39,120:120)-SUMIF(119:119,C39,120:120)+100</f>
        <v>100</v>
      </c>
      <c r="K39" s="612">
        <v>2</v>
      </c>
      <c r="L39" s="1143"/>
      <c r="M39" s="1134"/>
      <c r="N39" s="1134"/>
      <c r="O39" s="1142"/>
      <c r="P39" s="3261"/>
      <c r="Q39" s="1813" t="str">
        <f t="shared" ref="Q39:Q45" si="14">B39</f>
        <v>宗地形状</v>
      </c>
      <c r="R39" s="774" t="s">
        <v>17</v>
      </c>
      <c r="S39" s="775">
        <f t="shared" si="10"/>
        <v>98</v>
      </c>
      <c r="T39" s="774" t="s">
        <v>17</v>
      </c>
      <c r="U39" s="775">
        <f t="shared" si="11"/>
        <v>98</v>
      </c>
      <c r="V39" s="774" t="s">
        <v>17</v>
      </c>
      <c r="W39" s="775">
        <f t="shared" si="12"/>
        <v>100</v>
      </c>
      <c r="X39" s="1816"/>
      <c r="Y39" s="3261"/>
      <c r="Z39" s="1817" t="str">
        <f t="shared" si="13"/>
        <v>宗地形状</v>
      </c>
      <c r="AA39" s="1814">
        <f t="shared" si="3"/>
        <v>1.0204081632653061</v>
      </c>
      <c r="AB39" s="1814">
        <f t="shared" si="4"/>
        <v>1.0204081632653061</v>
      </c>
      <c r="AC39" s="1814">
        <f t="shared" si="5"/>
        <v>1</v>
      </c>
    </row>
    <row r="40" spans="1:29" ht="15">
      <c r="A40" s="472"/>
      <c r="B40" s="422" t="s">
        <v>2754</v>
      </c>
      <c r="C40" s="2616" t="s">
        <v>3098</v>
      </c>
      <c r="D40" s="435">
        <v>100</v>
      </c>
      <c r="E40" s="2616" t="s">
        <v>3099</v>
      </c>
      <c r="F40" s="435">
        <f>SUMIF(121:121,E40,122:122)-SUMIF(121:121,C40,122:122)+100</f>
        <v>98</v>
      </c>
      <c r="G40" s="2616" t="s">
        <v>3099</v>
      </c>
      <c r="H40" s="435">
        <f>SUMIF(121:121,G40,122:122)-SUMIF(121:121,C40,122:122)+100</f>
        <v>98</v>
      </c>
      <c r="I40" s="2616" t="s">
        <v>3098</v>
      </c>
      <c r="J40" s="435">
        <f>SUMIF(121:121,I40,122:122)-SUMIF(121:121,C40,122:122)+100</f>
        <v>100</v>
      </c>
      <c r="K40" s="612">
        <v>2</v>
      </c>
      <c r="L40" s="1143"/>
      <c r="M40" s="1134"/>
      <c r="N40" s="1134"/>
      <c r="O40" s="1142"/>
      <c r="P40" s="3261"/>
      <c r="Q40" s="1813" t="str">
        <f t="shared" si="14"/>
        <v>临街宽度及深度</v>
      </c>
      <c r="R40" s="774" t="s">
        <v>17</v>
      </c>
      <c r="S40" s="775">
        <f t="shared" si="10"/>
        <v>98</v>
      </c>
      <c r="T40" s="774" t="s">
        <v>17</v>
      </c>
      <c r="U40" s="775">
        <f t="shared" si="11"/>
        <v>98</v>
      </c>
      <c r="V40" s="774" t="s">
        <v>17</v>
      </c>
      <c r="W40" s="775">
        <f t="shared" si="12"/>
        <v>100</v>
      </c>
      <c r="X40" s="1816"/>
      <c r="Y40" s="3261"/>
      <c r="Z40" s="1817" t="str">
        <f t="shared" si="13"/>
        <v>临街宽度及深度</v>
      </c>
      <c r="AA40" s="1814">
        <f t="shared" si="3"/>
        <v>1.0204081632653061</v>
      </c>
      <c r="AB40" s="1814">
        <f t="shared" si="4"/>
        <v>1.0204081632653061</v>
      </c>
      <c r="AC40" s="1814">
        <f t="shared" si="5"/>
        <v>1</v>
      </c>
    </row>
    <row r="41" spans="1:29" s="117" customFormat="1" ht="15">
      <c r="A41" s="473"/>
      <c r="B41" s="422" t="s">
        <v>2755</v>
      </c>
      <c r="C41" s="2705" t="s">
        <v>3126</v>
      </c>
      <c r="D41" s="136">
        <v>100</v>
      </c>
      <c r="E41" s="2705" t="s">
        <v>3126</v>
      </c>
      <c r="F41" s="435">
        <f>SUMIF(123:123,E41,124:124)-SUMIF(123:123,C41,124:124)+100</f>
        <v>100</v>
      </c>
      <c r="G41" s="2705" t="s">
        <v>3126</v>
      </c>
      <c r="H41" s="435">
        <f>SUMIF(123:123,G41,124:124)-SUMIF(123:123,C41,124:124)+100</f>
        <v>100</v>
      </c>
      <c r="I41" s="2705" t="s">
        <v>3126</v>
      </c>
      <c r="J41" s="435">
        <f>SUMIF(123:123,I41,124:124)-SUMIF(123:123,C41,124:124)+100</f>
        <v>100</v>
      </c>
      <c r="K41" s="612">
        <v>1</v>
      </c>
      <c r="L41" s="1135"/>
      <c r="M41" s="1136"/>
      <c r="N41" s="1136"/>
      <c r="O41" s="1137"/>
      <c r="P41" s="3261"/>
      <c r="Q41" s="1813"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75" thickBot="1">
      <c r="A42" s="472"/>
      <c r="B42" s="422" t="s">
        <v>2756</v>
      </c>
      <c r="C42" s="2616" t="s">
        <v>3098</v>
      </c>
      <c r="D42" s="435">
        <v>100</v>
      </c>
      <c r="E42" s="2616" t="s">
        <v>3098</v>
      </c>
      <c r="F42" s="435">
        <f>SUMIF(125:125,E42,126:126)-SUMIF(125:125,C42,126:126)+100</f>
        <v>100</v>
      </c>
      <c r="G42" s="2616" t="s">
        <v>3098</v>
      </c>
      <c r="H42" s="435">
        <f>SUMIF(125:125,G42,126:126)-SUMIF(125:125,C42,126:126)+100</f>
        <v>100</v>
      </c>
      <c r="I42" s="2616" t="s">
        <v>3098</v>
      </c>
      <c r="J42" s="435">
        <f>SUMIF(125:125,I42,126:126)-SUMIF(125:125,C42,126:126)+100</f>
        <v>100</v>
      </c>
      <c r="K42" s="612">
        <v>2</v>
      </c>
      <c r="L42" s="1143"/>
      <c r="M42" s="1134"/>
      <c r="N42" s="1134"/>
      <c r="O42" s="1142"/>
      <c r="P42" s="3261" t="s">
        <v>2566</v>
      </c>
      <c r="Q42" s="1813" t="str">
        <f t="shared" si="14"/>
        <v>工程地质条件</v>
      </c>
      <c r="R42" s="774" t="s">
        <v>17</v>
      </c>
      <c r="S42" s="775">
        <f t="shared" si="10"/>
        <v>100</v>
      </c>
      <c r="T42" s="774" t="s">
        <v>17</v>
      </c>
      <c r="U42" s="775">
        <f t="shared" si="11"/>
        <v>100</v>
      </c>
      <c r="V42" s="774" t="s">
        <v>17</v>
      </c>
      <c r="W42" s="775">
        <f t="shared" si="12"/>
        <v>100</v>
      </c>
      <c r="X42" s="1816"/>
      <c r="Y42" s="3261" t="s">
        <v>2566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1"/>
      <c r="Q43" s="1813">
        <f t="shared" si="14"/>
        <v>111</v>
      </c>
      <c r="R43" s="774" t="s">
        <v>17</v>
      </c>
      <c r="S43" s="775">
        <f t="shared" si="10"/>
        <v>100</v>
      </c>
      <c r="T43" s="774" t="s">
        <v>17</v>
      </c>
      <c r="U43" s="775">
        <f t="shared" si="11"/>
        <v>100</v>
      </c>
      <c r="V43" s="774" t="s">
        <v>17</v>
      </c>
      <c r="W43" s="775">
        <f t="shared" si="12"/>
        <v>100</v>
      </c>
      <c r="X43" s="1816"/>
      <c r="Y43" s="326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1"/>
      <c r="Q44" s="1813">
        <f t="shared" si="14"/>
        <v>111</v>
      </c>
      <c r="R44" s="774" t="s">
        <v>17</v>
      </c>
      <c r="S44" s="775">
        <f t="shared" si="10"/>
        <v>100</v>
      </c>
      <c r="T44" s="774" t="s">
        <v>17</v>
      </c>
      <c r="U44" s="775">
        <f t="shared" si="11"/>
        <v>100</v>
      </c>
      <c r="V44" s="774" t="s">
        <v>17</v>
      </c>
      <c r="W44" s="775">
        <f t="shared" si="12"/>
        <v>100</v>
      </c>
      <c r="X44" s="1816"/>
      <c r="Y44" s="3261"/>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1"/>
      <c r="Q45" s="1813">
        <f t="shared" si="14"/>
        <v>111</v>
      </c>
      <c r="R45" s="777" t="s">
        <v>17</v>
      </c>
      <c r="S45" s="778">
        <f t="shared" si="10"/>
        <v>100</v>
      </c>
      <c r="T45" s="777" t="s">
        <v>17</v>
      </c>
      <c r="U45" s="778">
        <f t="shared" si="11"/>
        <v>100</v>
      </c>
      <c r="V45" s="777" t="s">
        <v>17</v>
      </c>
      <c r="W45" s="778">
        <f t="shared" si="12"/>
        <v>100</v>
      </c>
      <c r="X45" s="779"/>
      <c r="Y45" s="3261"/>
      <c r="Z45" s="780">
        <f t="shared" si="13"/>
        <v>111</v>
      </c>
      <c r="AA45" s="1814">
        <f t="shared" si="3"/>
        <v>1</v>
      </c>
      <c r="AB45" s="1814">
        <f t="shared" si="4"/>
        <v>1</v>
      </c>
      <c r="AC45" s="1814">
        <f t="shared" si="5"/>
        <v>1</v>
      </c>
    </row>
    <row r="46" spans="1:29" ht="15">
      <c r="A46" s="479" t="s">
        <v>2721</v>
      </c>
      <c r="B46" s="2707" t="s">
        <v>2757</v>
      </c>
      <c r="C46" s="682" t="s">
        <v>1</v>
      </c>
      <c r="D46" s="481"/>
      <c r="E46" s="482">
        <v>2813</v>
      </c>
      <c r="F46" s="483"/>
      <c r="G46" s="484">
        <v>2615</v>
      </c>
      <c r="H46" s="485"/>
      <c r="I46" s="482">
        <v>3000</v>
      </c>
      <c r="J46" s="485"/>
      <c r="K46" s="783"/>
      <c r="L46" s="1146"/>
      <c r="M46" s="1147"/>
      <c r="N46" s="1134"/>
      <c r="O46" s="1147"/>
      <c r="P46" s="3243" t="str">
        <f>A46</f>
        <v>成交单价</v>
      </c>
      <c r="Q46" s="3243"/>
      <c r="R46" s="3256">
        <f>E46</f>
        <v>2813</v>
      </c>
      <c r="S46" s="3256"/>
      <c r="T46" s="3256">
        <f>G46</f>
        <v>2615</v>
      </c>
      <c r="U46" s="3256"/>
      <c r="V46" s="3256">
        <f>I46</f>
        <v>3000</v>
      </c>
      <c r="W46" s="3256"/>
      <c r="X46" s="759"/>
      <c r="Y46" s="781"/>
      <c r="Z46" s="759"/>
      <c r="AA46" s="759"/>
      <c r="AB46" s="759"/>
      <c r="AC46" s="759"/>
    </row>
    <row r="47" spans="1:29" ht="15.75" thickBot="1">
      <c r="A47" s="486" t="s">
        <v>2670</v>
      </c>
      <c r="B47" s="683"/>
      <c r="C47" s="490">
        <f>R48</f>
        <v>2786</v>
      </c>
      <c r="D47" s="489"/>
      <c r="E47" s="490">
        <f>R47</f>
        <v>2598</v>
      </c>
      <c r="F47" s="491"/>
      <c r="G47" s="488">
        <f>T47</f>
        <v>2755</v>
      </c>
      <c r="H47" s="489"/>
      <c r="I47" s="490">
        <f>V47</f>
        <v>3004</v>
      </c>
      <c r="J47" s="489"/>
      <c r="K47" s="784"/>
      <c r="L47" s="1146"/>
      <c r="M47" s="1147"/>
      <c r="N47" s="1147"/>
      <c r="O47" s="1147"/>
      <c r="P47" s="3243" t="str">
        <f>A47</f>
        <v>比较价值（元/平方米）</v>
      </c>
      <c r="Q47" s="3243"/>
      <c r="R47" s="3262">
        <f>ROUND(PRODUCT(R46,AA7:AA45),0)</f>
        <v>2598</v>
      </c>
      <c r="S47" s="3262"/>
      <c r="T47" s="3262">
        <f>ROUND(PRODUCT(T46,AB7:AB45),0)</f>
        <v>2755</v>
      </c>
      <c r="U47" s="3262"/>
      <c r="V47" s="3262">
        <f>ROUND(PRODUCT(V46,AC7:AC45),0)</f>
        <v>3004</v>
      </c>
      <c r="W47" s="3262"/>
      <c r="X47" s="759"/>
      <c r="Y47" s="759"/>
      <c r="Z47" s="759"/>
      <c r="AA47" s="759"/>
      <c r="AB47" s="759"/>
      <c r="AC47" s="759"/>
    </row>
    <row r="48" spans="1:29" ht="15.75" thickBot="1">
      <c r="A48" s="492" t="s">
        <v>2758</v>
      </c>
      <c r="B48" s="493"/>
      <c r="C48" s="494">
        <f>R48</f>
        <v>2786</v>
      </c>
      <c r="D48" s="494"/>
      <c r="E48" s="494"/>
      <c r="F48" s="494"/>
      <c r="G48" s="494"/>
      <c r="H48" s="494"/>
      <c r="I48" s="494"/>
      <c r="J48" s="494"/>
      <c r="K48" s="785"/>
      <c r="L48" s="1146"/>
      <c r="M48" s="1147"/>
      <c r="N48" s="1147"/>
      <c r="O48" s="1147"/>
      <c r="P48" s="3263" t="str">
        <f>A48</f>
        <v>估价对象XX用房的比较价值（楼面单价，元/平方米）</v>
      </c>
      <c r="Q48" s="3264"/>
      <c r="R48" s="3265">
        <f>ROUND(AVERAGE(R47:V47),0)</f>
        <v>2786</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8.275596612779057E-2</v>
      </c>
      <c r="F51" s="500" t="str">
        <f>IF(OR(E51&gt;=0.3,E51&lt;=-0.3),"超过30%","")</f>
        <v/>
      </c>
      <c r="G51" s="499">
        <f>IF(G46&lt;G47,G47/G46-1,G46/G47-1)</f>
        <v>5.3537284894837445E-2</v>
      </c>
      <c r="H51" s="500" t="str">
        <f>IF(OR(G51&gt;=0.3,G51&lt;=-0.3),"超过30%","")</f>
        <v/>
      </c>
      <c r="I51" s="499">
        <f>IF(I46&lt;I47,I47/I46-1,I46/I47-1)</f>
        <v>1.3333333333334085E-3</v>
      </c>
      <c r="J51" s="500" t="str">
        <f>IF(OR(I51&gt;=0.3,I51&lt;=-0.3),"超过30%","")</f>
        <v/>
      </c>
      <c r="K51" s="1108"/>
      <c r="L51" s="1109"/>
      <c r="M51" s="1147"/>
      <c r="N51" s="1147"/>
      <c r="O51" s="1147"/>
    </row>
    <row r="52" spans="1:15" ht="13.5" customHeight="1">
      <c r="A52" s="1147"/>
      <c r="B52" s="1147"/>
      <c r="C52" s="497" t="s">
        <v>2673</v>
      </c>
      <c r="D52" s="501"/>
      <c r="E52" s="499">
        <f>IF(E47&lt;G47,G47/E47-1,E47/G47-1)</f>
        <v>6.0431100846805252E-2</v>
      </c>
      <c r="F52" s="500" t="str">
        <f>IF(OR(E52&gt;=0.2,E52&lt;=-0.2),"超过20%","")</f>
        <v/>
      </c>
      <c r="G52" s="499">
        <f>IF(G47&lt;I47,I47/G47-1,G47/I47-1)</f>
        <v>9.0381125226860259E-2</v>
      </c>
      <c r="H52" s="500" t="str">
        <f>IF(OR(G52&gt;=0.2,G52&lt;=-0.2),"超过20%","")</f>
        <v/>
      </c>
      <c r="I52" s="499">
        <f>IF(I47&lt;E47,E47/I47-1,I47/E47-1)</f>
        <v>0.15627405696689767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44" t="s">
        <v>2765</v>
      </c>
      <c r="H55" s="3266"/>
      <c r="I55" s="144" t="s">
        <v>2766</v>
      </c>
      <c r="J55" s="2710" t="str">
        <f>项目基本情况!F35</f>
        <v>山东省</v>
      </c>
      <c r="K55" s="2711" t="s">
        <v>2767</v>
      </c>
      <c r="L55" s="1109"/>
      <c r="M55" s="1147"/>
      <c r="N55" s="1147"/>
      <c r="O55" s="1147"/>
    </row>
    <row r="56" spans="1:15" s="692" customFormat="1">
      <c r="A56" s="688" t="s">
        <v>2768</v>
      </c>
      <c r="B56" s="689">
        <f>C48</f>
        <v>2786</v>
      </c>
      <c r="C56" s="690">
        <v>1</v>
      </c>
      <c r="D56" s="1166">
        <v>1</v>
      </c>
      <c r="E56" s="690">
        <f>'数据-汇总表'!E8+'数据-汇总表'!E9</f>
        <v>78327.300000000017</v>
      </c>
      <c r="F56" s="1106">
        <f t="shared" ref="F56:F65" si="15">ROUND(B56*E56/10000,0)</f>
        <v>21822</v>
      </c>
      <c r="G56" s="3267"/>
      <c r="H56" s="3243"/>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68"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68"/>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68"/>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68"/>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2"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10115.359999999986</v>
      </c>
      <c r="F63" s="1106">
        <f t="shared" si="15"/>
        <v>0</v>
      </c>
      <c r="G63" s="1112" t="s">
        <v>3260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3"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88442.66</v>
      </c>
      <c r="F66" s="697">
        <f>IF(B46="楼面地价",SUM(F56:F65),ROUND(C48*E66/10000,0))</f>
        <v>21822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5" t="s">
        <v>2784</v>
      </c>
      <c r="B71" s="332" t="str">
        <f>"北京市平均增长率"&amp;TEXT(SUMIF(基准地价修正!N21:N25,A71,基准地价修正!P21:P25),"0.00%")</f>
        <v>北京市平均增长率0.00%</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60" t="s">
        <v>3096</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2692</v>
      </c>
      <c r="C106" s="2961" t="s">
        <v>3104</v>
      </c>
      <c r="D106" s="2961" t="s">
        <v>3105</v>
      </c>
      <c r="E106" s="2961" t="s">
        <v>3106</v>
      </c>
      <c r="F106" s="2961" t="s">
        <v>3107</v>
      </c>
      <c r="G106" s="2961" t="s">
        <v>3108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2792</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2793</v>
      </c>
      <c r="C119" s="2962" t="s">
        <v>3112</v>
      </c>
      <c r="D119" s="2962" t="s">
        <v>3113</v>
      </c>
      <c r="E119" s="2962" t="s">
        <v>3114</v>
      </c>
      <c r="F119" s="2962" t="s">
        <v>3115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2794</v>
      </c>
      <c r="C121" s="2961" t="s">
        <v>3116</v>
      </c>
      <c r="D121" s="2961" t="s">
        <v>3117</v>
      </c>
      <c r="E121" s="2961" t="s">
        <v>3118</v>
      </c>
      <c r="F121" s="2962" t="s">
        <v>3119</v>
      </c>
      <c r="G121" s="2962" t="s">
        <v>3120</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2795</v>
      </c>
      <c r="C123" s="2963" t="s">
        <v>3121</v>
      </c>
      <c r="D123" s="2963" t="s">
        <v>3122</v>
      </c>
      <c r="E123" s="2963" t="s">
        <v>3123</v>
      </c>
      <c r="F123" s="2963" t="s">
        <v>3124</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2796</v>
      </c>
      <c r="C125" s="2961" t="s">
        <v>3116</v>
      </c>
      <c r="D125" s="2961" t="s">
        <v>3117</v>
      </c>
      <c r="E125" s="2962" t="s">
        <v>3118</v>
      </c>
      <c r="F125" s="2962" t="s">
        <v>3119</v>
      </c>
      <c r="G125" s="2962" t="s">
        <v>3120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H33" sqref="H3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104553</v>
      </c>
      <c r="C2" s="320" t="s">
        <v>2464</v>
      </c>
      <c r="D2" s="320"/>
      <c r="E2" s="320"/>
      <c r="F2" s="320"/>
      <c r="G2" s="320"/>
      <c r="H2" s="320"/>
      <c r="I2" s="320"/>
      <c r="J2" s="320"/>
      <c r="K2" s="320"/>
    </row>
    <row r="3" spans="1:33" ht="18" customHeight="1" thickBot="1">
      <c r="A3" s="247" t="s">
        <v>2333</v>
      </c>
      <c r="B3" s="248">
        <f ca="1">ROUND(B2*10000/IF(C1="",'数据-汇总表'!E3,INDIRECT("'数据-取费表'!K"&amp;$K$1)),0)</f>
        <v>10758</v>
      </c>
      <c r="C3" s="320" t="s">
        <v>2465</v>
      </c>
      <c r="D3" s="320"/>
      <c r="E3" s="320"/>
      <c r="F3" s="320"/>
      <c r="G3" s="320"/>
      <c r="H3" s="320"/>
      <c r="I3" s="320"/>
      <c r="J3" s="320"/>
      <c r="K3" s="320"/>
    </row>
    <row r="4" spans="1:33" s="959" customFormat="1" ht="16.5" customHeight="1">
      <c r="A4" s="956" t="s">
        <v>2466</v>
      </c>
      <c r="B4" s="957"/>
      <c r="C4" s="999">
        <f ca="1">SUM(C8:K8)</f>
        <v>131944</v>
      </c>
      <c r="D4" s="957"/>
      <c r="E4" s="957"/>
      <c r="F4" s="957"/>
      <c r="G4" s="957"/>
      <c r="H4" s="957"/>
      <c r="I4" s="957"/>
      <c r="J4" s="957"/>
      <c r="K4" s="958"/>
    </row>
    <row r="5" spans="1:33" s="963" customFormat="1" ht="15">
      <c r="A5" s="960" t="s">
        <v>2467</v>
      </c>
      <c r="B5" s="961" t="s">
        <v>2468</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15255</v>
      </c>
      <c r="D6" s="965">
        <f ca="1">'收益法 (地下车库)'!B3</f>
        <v>1224</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85679.560000000012</v>
      </c>
      <c r="D7" s="321">
        <f>SUMIF('数据-汇总表'!$C19:$C33,假设开发法!D5,'数据-汇总表'!$E19:$E33)</f>
        <v>10115.359999999986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f ca="1">收益法!B2</f>
        <v>130706</v>
      </c>
      <c r="D8" s="1000">
        <f ca="1">'收益法 (地下车库)'!B2</f>
        <v>1238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8360</v>
      </c>
      <c r="D11" s="976"/>
      <c r="E11" s="375"/>
      <c r="F11" s="977">
        <f ca="1">1-IF('数据-取费表'!B24=0,1,IF(C1="",'数据-取费表'!N16,INDIRECT("'数据-取费表'!n"&amp;$K$1)))</f>
        <v>0.25</v>
      </c>
      <c r="G11" s="8"/>
      <c r="H11" s="971"/>
      <c r="I11" s="971"/>
      <c r="J11" s="971"/>
      <c r="K11" s="972"/>
    </row>
    <row r="12" spans="1:33" s="978" customFormat="1" ht="13.5" customHeight="1">
      <c r="A12" s="974" t="s">
        <v>1335</v>
      </c>
      <c r="B12" s="975" t="s">
        <v>2482</v>
      </c>
      <c r="C12" s="24">
        <f ca="1">ROUND(C11*F12,0)</f>
        <v>251</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486</v>
      </c>
      <c r="D14" s="1036">
        <f ca="1">IF(C1="",'数据-汇总表'!E3,INDIRECT("'数据-取费表'!K"&amp;$K$1)+INDIRECT("'数据-取费表'!S"&amp;$K$1))</f>
        <v>97185.05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125</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9222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97185.05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9" t="s">
        <v>3088</v>
      </c>
      <c r="H18" s="1580"/>
      <c r="I18" s="2560"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1166</v>
      </c>
      <c r="D20" s="1036">
        <f ca="1">IF(C1="",'数据-汇总表'!E6,IF(INDIRECT("'数据-取费表'!c"&amp;$K$1)="住宅",INDIRECT("'数据-取费表'!s"&amp;$K$1),INDIRECT("'数据-取费表'!k"&amp;$K$1)+INDIRECT("'数据-取费表'!s"&amp;$K$1)))</f>
        <v>97185.05</v>
      </c>
      <c r="E20" s="24">
        <f>'数据-取费表'!B28</f>
        <v>120</v>
      </c>
      <c r="F20" s="979"/>
      <c r="G20" s="15"/>
      <c r="H20" s="984"/>
      <c r="I20" s="984"/>
      <c r="J20" s="984"/>
      <c r="K20" s="985"/>
    </row>
    <row r="21" spans="1:33" s="978" customFormat="1" ht="13.5" customHeight="1">
      <c r="A21" s="964" t="s">
        <v>802</v>
      </c>
      <c r="B21" s="988" t="s">
        <v>2497</v>
      </c>
      <c r="C21" s="989">
        <f ca="1">C16+C17+C18</f>
        <v>9222</v>
      </c>
      <c r="D21" s="990"/>
      <c r="E21" s="325"/>
      <c r="F21" s="325"/>
      <c r="G21" s="140" t="s">
        <v>2498</v>
      </c>
      <c r="H21" s="982"/>
      <c r="I21" s="982"/>
      <c r="J21" s="982"/>
      <c r="K21" s="983"/>
    </row>
    <row r="22" spans="1:33" s="978" customFormat="1" ht="13.5" customHeight="1">
      <c r="A22" s="964" t="s">
        <v>2470</v>
      </c>
      <c r="B22" s="988" t="s">
        <v>2499</v>
      </c>
      <c r="C22" s="989">
        <f ca="1">ROUND(C21*F22,0)</f>
        <v>184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660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70</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1.44E-2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70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1812</v>
      </c>
      <c r="D28" s="324">
        <f ca="1">C29</f>
        <v>3.6999999999999998E-2</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3.6999999999999998E-2</v>
      </c>
      <c r="D29" s="328"/>
      <c r="E29" s="329"/>
      <c r="F29" s="334"/>
      <c r="G29" s="140" t="s">
        <v>2513</v>
      </c>
      <c r="H29" s="982"/>
      <c r="I29" s="982"/>
      <c r="J29" s="982"/>
      <c r="K29" s="983"/>
    </row>
    <row r="30" spans="1:33" s="335" customFormat="1" ht="13.5" customHeight="1">
      <c r="A30" s="974" t="s">
        <v>804</v>
      </c>
      <c r="B30" s="997" t="s">
        <v>2514</v>
      </c>
      <c r="C30" s="336">
        <f ca="1">ROUND((C21+C22+C23)*F28,0)</f>
        <v>1812</v>
      </c>
      <c r="D30" s="328"/>
      <c r="E30" s="329"/>
      <c r="F30" s="334"/>
      <c r="G30" s="140"/>
      <c r="H30" s="982"/>
      <c r="I30" s="982"/>
      <c r="J30" s="982"/>
      <c r="K30" s="983"/>
    </row>
    <row r="31" spans="1:33" s="978" customFormat="1" ht="13.5" customHeight="1" thickBot="1">
      <c r="A31" s="2563" t="s">
        <v>2515</v>
      </c>
      <c r="B31" s="1008" t="s">
        <v>2516</v>
      </c>
      <c r="C31" s="1009">
        <f ca="1">ROUND(C4*F31/(1+'数据-取费表'!C42),0)</f>
        <v>7037</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104553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9" zoomScale="85" zoomScaleNormal="85"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3084</v>
      </c>
      <c r="E1" s="1824" t="s">
        <v>1387</v>
      </c>
      <c r="F1" s="1286">
        <f ca="1">J53</f>
        <v>31.66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130706</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15255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8539</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8528</v>
      </c>
      <c r="D6" s="164" t="s">
        <v>3035</v>
      </c>
      <c r="E6" s="347" t="s">
        <v>1405</v>
      </c>
      <c r="F6" s="348">
        <f ca="1">INDIRECT("'数据-取费表'!u"&amp;$G$1)</f>
        <v>3.03</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85679.560000000012</v>
      </c>
      <c r="G7" s="1854"/>
      <c r="H7" s="349"/>
      <c r="I7" s="3272"/>
      <c r="J7" s="351"/>
      <c r="K7" s="352"/>
      <c r="L7" s="347" t="s">
        <v>1406</v>
      </c>
      <c r="M7" s="348">
        <f ca="1">F7</f>
        <v>85679.560000000012</v>
      </c>
    </row>
    <row r="8" spans="1:37" ht="18" customHeight="1">
      <c r="A8" s="349"/>
      <c r="B8" s="3272"/>
      <c r="C8" s="351"/>
      <c r="D8" s="352"/>
      <c r="E8" s="347" t="s">
        <v>1407</v>
      </c>
      <c r="F8" s="348">
        <f ca="1">INDIRECT("'数据-取费表'!ai"&amp;$G$1)</f>
        <v>365</v>
      </c>
      <c r="G8" s="1854"/>
      <c r="H8" s="349"/>
      <c r="I8" s="3272"/>
      <c r="J8" s="351"/>
      <c r="K8" s="352"/>
      <c r="L8" s="347" t="s">
        <v>1407</v>
      </c>
      <c r="M8" s="348">
        <f ca="1">INDIRECT("'数据-取费表'!ai"&amp;$G$1)</f>
        <v>365</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3044</v>
      </c>
      <c r="E10" s="358" t="s">
        <v>1410</v>
      </c>
      <c r="F10" s="1369" t="s">
        <v>3080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45738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30361</v>
      </c>
      <c r="D14" s="1803" t="s">
        <v>1418</v>
      </c>
      <c r="E14" s="1797"/>
      <c r="F14" s="364"/>
      <c r="G14" s="1854"/>
      <c r="H14" s="1204" t="s">
        <v>1035</v>
      </c>
      <c r="I14" s="347" t="s">
        <v>1419</v>
      </c>
      <c r="J14" s="24">
        <f ca="1">C29</f>
        <v>45738</v>
      </c>
      <c r="K14" s="15"/>
      <c r="L14" s="982"/>
      <c r="M14" s="983"/>
    </row>
    <row r="15" spans="1:37" s="1861" customFormat="1" ht="18" customHeight="1" thickBot="1">
      <c r="A15" s="1204" t="s">
        <v>1036</v>
      </c>
      <c r="B15" s="347" t="s">
        <v>1420</v>
      </c>
      <c r="C15" s="24">
        <f ca="1">ROUND(C14*F15,0)</f>
        <v>911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1084</v>
      </c>
      <c r="K16" s="1340" t="s">
        <v>1425</v>
      </c>
      <c r="L16" s="1341"/>
      <c r="M16" s="1297"/>
    </row>
    <row r="17" spans="1:37" s="1861" customFormat="1" ht="18" customHeight="1">
      <c r="A17" s="1204" t="s">
        <v>1390</v>
      </c>
      <c r="B17" s="347" t="s">
        <v>1426</v>
      </c>
      <c r="C17" s="24">
        <f ca="1">ROUND(F17*(F43+INDIRECT("'数据-取费表'!S"&amp;$G$1))/10000,0)</f>
        <v>1738</v>
      </c>
      <c r="D17" s="347" t="s">
        <v>1427</v>
      </c>
      <c r="E17" s="347" t="s">
        <v>1428</v>
      </c>
      <c r="F17" s="26">
        <f>'数据-取费表'!B35</f>
        <v>200</v>
      </c>
      <c r="G17" s="1857"/>
      <c r="H17" s="1204" t="s">
        <v>1035</v>
      </c>
      <c r="I17" s="347" t="s">
        <v>1429</v>
      </c>
      <c r="J17" s="24">
        <f ca="1">ROUND(IF(项目基本情况!B11="自然人",J5*M17,J18+J19+J20),1)</f>
        <v>398.3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455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33465</v>
      </c>
      <c r="D19" s="140" t="s">
        <v>1436</v>
      </c>
      <c r="E19" s="1821"/>
      <c r="F19" s="26"/>
      <c r="G19" s="1854"/>
      <c r="H19" s="1204" t="s">
        <v>1036</v>
      </c>
      <c r="I19" s="347" t="s">
        <v>1437</v>
      </c>
      <c r="J19" s="24">
        <f ca="1">IF(K19="按租金收入计税",ROUND(J5*M19,2),ROUND(C29*M19*0.7,2))</f>
        <v>384.2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14.1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28190.06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686.1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1209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-1084</v>
      </c>
      <c r="K25" s="1348" t="s">
        <v>1464</v>
      </c>
      <c r="L25" s="1349"/>
      <c r="M25" s="1350"/>
    </row>
    <row r="26" spans="1:37">
      <c r="A26" s="1204" t="s">
        <v>1034</v>
      </c>
      <c r="B26" s="347" t="s">
        <v>1465</v>
      </c>
      <c r="C26" s="24">
        <f ca="1">ROUND((C19+C20)*F26,0)</f>
        <v>6827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45738</v>
      </c>
      <c r="D29" s="1345"/>
      <c r="E29" s="1343"/>
      <c r="F29" s="1346"/>
      <c r="G29" s="1857"/>
      <c r="H29" s="380" t="s">
        <v>1033</v>
      </c>
      <c r="I29" s="381" t="s">
        <v>1479</v>
      </c>
      <c r="J29" s="382">
        <f ca="1">ROUND(J26/(1+F40)^F41,0)</f>
        <v>0</v>
      </c>
      <c r="K29" s="383" t="s">
        <v>1480</v>
      </c>
      <c r="L29" s="384"/>
      <c r="M29" s="385">
        <f ca="1">INDIRECT("'数据-取费表'!k"&amp;$G$1)</f>
        <v>85679.560000000012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2377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1494.2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455.41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1024.68</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28190.06</v>
      </c>
      <c r="G35" s="1854"/>
      <c r="H35" s="745"/>
      <c r="I35" s="1863"/>
      <c r="J35" s="1864"/>
      <c r="K35" s="1865"/>
      <c r="L35" s="1862"/>
      <c r="M35" s="1862"/>
    </row>
    <row r="36" spans="1:18" ht="18" customHeight="1">
      <c r="A36" s="1355" t="s">
        <v>1039</v>
      </c>
      <c r="B36" s="347" t="s">
        <v>1449</v>
      </c>
      <c r="C36" s="24">
        <f ca="1">ROUND(C29*F36,1)</f>
        <v>686.1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68.599999999999994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128.1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6162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130706</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15255</v>
      </c>
      <c r="D43" s="383" t="s">
        <v>1488</v>
      </c>
      <c r="E43" s="384" t="s">
        <v>1489</v>
      </c>
      <c r="F43" s="385">
        <f ca="1">INDIRECT("'数据-取费表'!k"&amp;$G$1)</f>
        <v>85679.560000000012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-195409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40</v>
      </c>
      <c r="M47" s="1841" t="str">
        <f>IF(ISNUMBER(FIND("住宅",C1)),"住宅","非住宅")</f>
        <v>非住宅</v>
      </c>
      <c r="O47" s="1887" t="s">
        <v>1040</v>
      </c>
      <c r="P47" s="1888" t="s">
        <v>1528</v>
      </c>
      <c r="Q47" s="1889">
        <f ca="1">C40+J29</f>
        <v>130706</v>
      </c>
      <c r="R47" s="1889" t="s">
        <v>1529</v>
      </c>
    </row>
    <row r="48" spans="1:18" s="1845" customFormat="1" ht="28.5"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45738</v>
      </c>
      <c r="R49" s="1889" t="s">
        <v>1529</v>
      </c>
    </row>
    <row r="50" spans="1:18" s="1845" customFormat="1" ht="13.5" thickBot="1">
      <c r="A50" s="1198"/>
      <c r="B50" s="1201"/>
      <c r="C50" s="1371"/>
      <c r="D50" s="1175"/>
      <c r="E50" s="1280" t="s">
        <v>1406</v>
      </c>
      <c r="F50" s="1281">
        <f ca="1">F7</f>
        <v>85679.560000000012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38161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130706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45738</v>
      </c>
      <c r="D56" s="1917"/>
      <c r="E56" s="1918"/>
      <c r="F56" s="1910"/>
      <c r="I56" s="1919" t="s">
        <v>1554</v>
      </c>
      <c r="J56" s="1920" t="s">
        <v>3067</v>
      </c>
      <c r="K56" s="1890" t="s">
        <v>1555</v>
      </c>
      <c r="L56" s="1893" t="str">
        <f ca="1">IF(L48&lt;J51,"——",L48-J53)</f>
        <v>——</v>
      </c>
      <c r="O56" s="1887" t="s">
        <v>1040</v>
      </c>
      <c r="P56" s="1888" t="s">
        <v>1528</v>
      </c>
      <c r="Q56" s="1889">
        <f ca="1">C40+J29</f>
        <v>130706</v>
      </c>
      <c r="R56" s="1889" t="s">
        <v>1529</v>
      </c>
    </row>
    <row r="57" spans="1:18" s="1845" customFormat="1" ht="24.75" thickBot="1">
      <c r="A57" s="1921"/>
      <c r="B57" s="1172" t="s">
        <v>1478</v>
      </c>
      <c r="C57" s="282">
        <f ca="1">C29</f>
        <v>45738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4611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3856.1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3841.99</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14.1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130706</v>
      </c>
      <c r="R62" s="1889" t="s">
        <v>1047</v>
      </c>
    </row>
    <row r="63" spans="1:18" s="1845" customFormat="1" ht="13.5" thickBot="1">
      <c r="A63" s="372"/>
      <c r="B63" s="1178"/>
      <c r="C63" s="29"/>
      <c r="D63" s="1188"/>
      <c r="E63" s="1172" t="s">
        <v>1499</v>
      </c>
      <c r="F63" s="348">
        <f t="shared" ca="1" si="0"/>
        <v>28190.06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686.1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68.599999999999994</v>
      </c>
      <c r="D65" s="1186" t="s">
        <v>1454</v>
      </c>
      <c r="E65" s="1172" t="s">
        <v>1455</v>
      </c>
      <c r="F65" s="376">
        <f t="shared" ca="1" si="0"/>
        <v>1.5E-3</v>
      </c>
      <c r="I65" s="1932" t="s">
        <v>1579</v>
      </c>
      <c r="J65" s="1933">
        <v>40</v>
      </c>
      <c r="K65" s="1933">
        <v>30</v>
      </c>
      <c r="L65" s="1933">
        <v>50</v>
      </c>
      <c r="M65" s="1935">
        <v>0.02</v>
      </c>
      <c r="O65" s="1887" t="s">
        <v>1040</v>
      </c>
      <c r="P65" s="1888" t="s">
        <v>1580</v>
      </c>
      <c r="Q65" s="1889">
        <f ca="1">C40+J29</f>
        <v>130706</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-4611</v>
      </c>
      <c r="D67" s="1185" t="s">
        <v>1464</v>
      </c>
      <c r="E67" s="1190"/>
      <c r="F67" s="1191"/>
      <c r="O67" s="1897" t="s">
        <v>1042</v>
      </c>
      <c r="P67" s="1888" t="s">
        <v>1562</v>
      </c>
      <c r="Q67" s="1936">
        <f ca="1">L51</f>
        <v>38161</v>
      </c>
      <c r="R67" s="1889" t="s">
        <v>1582</v>
      </c>
    </row>
    <row r="68" spans="1:18" s="1845" customFormat="1" ht="16.5" thickBot="1">
      <c r="A68" s="1169" t="s">
        <v>1032</v>
      </c>
      <c r="B68" s="1170" t="s">
        <v>1485</v>
      </c>
      <c r="C68" s="346">
        <f ca="1">ROUND(C67*(1-((1+F70)/(1+F68))^F69)/(F68-F70),0)</f>
        <v>-64703</v>
      </c>
      <c r="D68" s="1187" t="s">
        <v>1469</v>
      </c>
      <c r="E68" s="1172" t="s">
        <v>1470</v>
      </c>
      <c r="F68" s="357">
        <f ca="1">F40</f>
        <v>0.06</v>
      </c>
      <c r="O68" s="1897" t="s">
        <v>1043</v>
      </c>
      <c r="P68" s="1937" t="s">
        <v>1583</v>
      </c>
      <c r="Q68" s="1889">
        <f ca="1">ROUND(Q69-Q70*Q71,0)</f>
        <v>2274</v>
      </c>
      <c r="R68" s="1889" t="s">
        <v>1051</v>
      </c>
    </row>
    <row r="69" spans="1:18" s="1845" customFormat="1" ht="13.5" thickBot="1">
      <c r="A69" s="1173"/>
      <c r="B69" s="1174"/>
      <c r="C69" s="351"/>
      <c r="D69" s="1192" t="s">
        <v>1473</v>
      </c>
      <c r="E69" s="1172" t="s">
        <v>1474</v>
      </c>
      <c r="F69" s="379">
        <f ca="1">F41</f>
        <v>31.66</v>
      </c>
      <c r="O69" s="1897" t="s">
        <v>1048</v>
      </c>
      <c r="P69" s="1937" t="s">
        <v>1584</v>
      </c>
      <c r="Q69" s="1889">
        <f ca="1">C39</f>
        <v>6162</v>
      </c>
      <c r="R69" s="1889" t="s">
        <v>1529</v>
      </c>
    </row>
    <row r="70" spans="1:18" s="1845" customFormat="1" ht="13.5" thickBot="1">
      <c r="A70" s="1176"/>
      <c r="B70" s="1177"/>
      <c r="C70" s="355"/>
      <c r="D70" s="1188"/>
      <c r="E70" s="1172" t="s">
        <v>1477</v>
      </c>
      <c r="F70" s="1278"/>
      <c r="O70" s="1897" t="s">
        <v>1049</v>
      </c>
      <c r="P70" s="1937" t="s">
        <v>1585</v>
      </c>
      <c r="Q70" s="1889">
        <f ca="1">C13</f>
        <v>45738</v>
      </c>
      <c r="R70" s="1889" t="s">
        <v>1529</v>
      </c>
    </row>
    <row r="71" spans="1:18" s="1845" customFormat="1" ht="13.5" thickBot="1">
      <c r="A71" s="1193" t="s">
        <v>1033</v>
      </c>
      <c r="B71" s="1194" t="s">
        <v>1487</v>
      </c>
      <c r="C71" s="382">
        <f ca="1">ROUND(C68*10000/F71,0)</f>
        <v>-7552</v>
      </c>
      <c r="D71" s="1195" t="s">
        <v>1488</v>
      </c>
      <c r="E71" s="1196" t="s">
        <v>1489</v>
      </c>
      <c r="F71" s="385">
        <f ca="1">F43</f>
        <v>85679.560000000012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3888</v>
      </c>
      <c r="D75" s="1845"/>
      <c r="E75" s="1845"/>
      <c r="F75" s="1845"/>
      <c r="K75" s="1871"/>
      <c r="L75" s="1845"/>
      <c r="O75" s="1887" t="s">
        <v>1046</v>
      </c>
      <c r="P75" s="1888" t="s">
        <v>1549</v>
      </c>
      <c r="Q75" s="1889">
        <f ca="1">Q65+Q66</f>
        <v>130706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0.36899999999999999</v>
      </c>
    </row>
    <row r="80" spans="1:18">
      <c r="B80" s="386" t="s">
        <v>1511</v>
      </c>
      <c r="C80" s="318">
        <f ca="1">ROUND(C75/C39,3)</f>
        <v>0.63100000000000001</v>
      </c>
    </row>
    <row r="81" spans="2:3">
      <c r="B81" s="314" t="s">
        <v>1512</v>
      </c>
      <c r="C81" s="282"/>
    </row>
    <row r="82" spans="2:3">
      <c r="B82" s="317" t="s">
        <v>1513</v>
      </c>
      <c r="C82" s="319">
        <f ca="1">1-C83</f>
        <v>0.65</v>
      </c>
    </row>
    <row r="83" spans="2:3">
      <c r="B83" s="317" t="s">
        <v>1514</v>
      </c>
      <c r="C83" s="318">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8"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3084</v>
      </c>
      <c r="E1" s="1824" t="s">
        <v>1387</v>
      </c>
      <c r="F1" s="1286">
        <f ca="1">J53</f>
        <v>31.66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1238</v>
      </c>
      <c r="C2" s="1848" t="s">
        <v>1516</v>
      </c>
      <c r="D2" s="1848"/>
      <c r="E2" s="1849"/>
      <c r="F2" s="1850"/>
      <c r="G2" s="1851"/>
      <c r="H2" s="1843"/>
      <c r="I2" s="1843"/>
      <c r="J2" s="1843"/>
      <c r="K2" s="1844"/>
      <c r="L2" s="1843"/>
      <c r="M2" s="1843"/>
    </row>
    <row r="3" spans="1:37" ht="18" customHeight="1" thickBot="1">
      <c r="A3" s="1852" t="s">
        <v>1517</v>
      </c>
      <c r="B3" s="1853">
        <f ca="1">IF(ISERROR(B2*10000/F43),0,ROUND(B2*10000/F43,0))</f>
        <v>1224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156</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156</v>
      </c>
      <c r="D6" s="164" t="s">
        <v>3035</v>
      </c>
      <c r="E6" s="347" t="s">
        <v>1405</v>
      </c>
      <c r="F6" s="348">
        <f ca="1">INDIRECT("'数据-取费表'!u"&amp;$G$1)</f>
        <v>500</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2948" t="s">
        <v>1406</v>
      </c>
      <c r="F7" s="348">
        <f ca="1">IF(INDIRECT("'数据-取费表'!ah"&amp;$G$1)="",INDIRECT("'数据-取费表'!k"&amp;$G$1),INDIRECT("'数据-取费表'!ah"&amp;$G$1))</f>
        <v>289</v>
      </c>
      <c r="G7" s="1854"/>
      <c r="H7" s="349"/>
      <c r="I7" s="3272"/>
      <c r="J7" s="351"/>
      <c r="K7" s="352"/>
      <c r="L7" s="347" t="s">
        <v>1406</v>
      </c>
      <c r="M7" s="348">
        <f ca="1">F7</f>
        <v>289</v>
      </c>
    </row>
    <row r="8" spans="1:37" ht="18" customHeight="1">
      <c r="A8" s="349"/>
      <c r="B8" s="3272"/>
      <c r="C8" s="351"/>
      <c r="D8" s="352"/>
      <c r="E8" s="347" t="s">
        <v>1407</v>
      </c>
      <c r="F8" s="348">
        <f ca="1">INDIRECT("'数据-取费表'!ai"&amp;$G$1)</f>
        <v>12</v>
      </c>
      <c r="G8" s="1854"/>
      <c r="H8" s="349"/>
      <c r="I8" s="3272"/>
      <c r="J8" s="351"/>
      <c r="K8" s="352"/>
      <c r="L8" s="347" t="s">
        <v>1407</v>
      </c>
      <c r="M8" s="348">
        <f ca="1">INDIRECT("'数据-取费表'!ai"&amp;$G$1)</f>
        <v>12</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3085</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4095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3079</v>
      </c>
      <c r="D14" s="2951" t="s">
        <v>1418</v>
      </c>
      <c r="E14" s="2950"/>
      <c r="F14" s="364"/>
      <c r="G14" s="1854"/>
      <c r="H14" s="1204" t="s">
        <v>1035</v>
      </c>
      <c r="I14" s="347" t="s">
        <v>1419</v>
      </c>
      <c r="J14" s="24">
        <f ca="1">C29</f>
        <v>4095</v>
      </c>
      <c r="K14" s="2947"/>
      <c r="L14" s="982"/>
      <c r="M14" s="983"/>
    </row>
    <row r="15" spans="1:37" s="1861" customFormat="1" ht="18" customHeight="1" thickBot="1">
      <c r="A15" s="1204" t="s">
        <v>1036</v>
      </c>
      <c r="B15" s="347" t="s">
        <v>1420</v>
      </c>
      <c r="C15" s="24">
        <f ca="1">ROUND(C14*F15,0)</f>
        <v>92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98</v>
      </c>
      <c r="K16" s="1340" t="s">
        <v>1425</v>
      </c>
      <c r="L16" s="2953"/>
      <c r="M16" s="1297"/>
    </row>
    <row r="17" spans="1:37" s="1861" customFormat="1" ht="18" customHeight="1">
      <c r="A17" s="1204" t="s">
        <v>1390</v>
      </c>
      <c r="B17" s="347" t="s">
        <v>1426</v>
      </c>
      <c r="C17" s="24">
        <f ca="1">ROUND(F17*(F43+INDIRECT("'数据-取费表'!S"&amp;$G$1))/10000,0)</f>
        <v>205</v>
      </c>
      <c r="D17" s="347" t="s">
        <v>1427</v>
      </c>
      <c r="E17" s="347" t="s">
        <v>1428</v>
      </c>
      <c r="F17" s="26">
        <f>'数据-取费表'!B35</f>
        <v>200</v>
      </c>
      <c r="G17" s="1857"/>
      <c r="H17" s="1204" t="s">
        <v>1035</v>
      </c>
      <c r="I17" s="347" t="s">
        <v>1429</v>
      </c>
      <c r="J17" s="24">
        <f ca="1">ROUND(IF(项目基本情况!B11="自然人",J5*M17,J18+J19+J20),1)</f>
        <v>36.1</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3422</v>
      </c>
      <c r="D19" s="140" t="s">
        <v>1436</v>
      </c>
      <c r="E19" s="2946"/>
      <c r="F19" s="26"/>
      <c r="G19" s="1854"/>
      <c r="H19" s="1204" t="s">
        <v>1036</v>
      </c>
      <c r="I19" s="347" t="s">
        <v>1437</v>
      </c>
      <c r="J19" s="24">
        <f ca="1">IF(K19="按租金收入计税",ROUND(J5*M19,2),ROUND(C29*M19*0.7,2))</f>
        <v>34.4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68</v>
      </c>
      <c r="D20" s="369" t="s">
        <v>1440</v>
      </c>
      <c r="E20" s="347" t="s">
        <v>1422</v>
      </c>
      <c r="F20" s="367">
        <f>'数据-取费表'!B37</f>
        <v>0.02</v>
      </c>
      <c r="G20" s="1857"/>
      <c r="H20" s="1204" t="s">
        <v>1389</v>
      </c>
      <c r="I20" s="164" t="s">
        <v>1441</v>
      </c>
      <c r="J20" s="25">
        <f ca="1">ROUND(M20*M21/10000,2)</f>
        <v>1.66</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3328.13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61.4</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-98</v>
      </c>
      <c r="K25" s="1348" t="s">
        <v>1464</v>
      </c>
      <c r="L25" s="1349"/>
      <c r="M25" s="1350"/>
    </row>
    <row r="26" spans="1:37">
      <c r="A26" s="1204" t="s">
        <v>1034</v>
      </c>
      <c r="B26" s="347" t="s">
        <v>1465</v>
      </c>
      <c r="C26" s="24">
        <f ca="1">ROUND((C19+C20)*F26,0)</f>
        <v>175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4095</v>
      </c>
      <c r="D29" s="1345"/>
      <c r="E29" s="1343"/>
      <c r="F29" s="1346"/>
      <c r="G29" s="1857"/>
      <c r="H29" s="380" t="s">
        <v>1033</v>
      </c>
      <c r="I29" s="381" t="s">
        <v>1479</v>
      </c>
      <c r="J29" s="382">
        <f ca="1">ROUND(J26/(1+F40)^F41,0)</f>
        <v>0</v>
      </c>
      <c r="K29" s="383" t="s">
        <v>1480</v>
      </c>
      <c r="L29" s="384"/>
      <c r="M29" s="385">
        <f ca="1">INDIRECT("'数据-取费表'!k"&amp;$G$1)</f>
        <v>10115.359999999986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98</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28.7</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8.32</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18.72</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1.66</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3328.13</v>
      </c>
      <c r="G35" s="1854"/>
      <c r="H35" s="745"/>
      <c r="I35" s="1863"/>
      <c r="J35" s="1864"/>
      <c r="K35" s="1865"/>
      <c r="L35" s="1862"/>
      <c r="M35" s="1862"/>
    </row>
    <row r="36" spans="1:18" ht="18" customHeight="1">
      <c r="A36" s="1355" t="s">
        <v>1039</v>
      </c>
      <c r="B36" s="347" t="s">
        <v>1449</v>
      </c>
      <c r="C36" s="24">
        <f ca="1">ROUND(C29*F36,1)</f>
        <v>61.4</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1238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1224</v>
      </c>
      <c r="D43" s="383" t="s">
        <v>1488</v>
      </c>
      <c r="E43" s="384" t="s">
        <v>1489</v>
      </c>
      <c r="F43" s="385">
        <f ca="1">INDIRECT("'数据-取费表'!k"&amp;$G$1)</f>
        <v>10115.359999999986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-7736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50</v>
      </c>
      <c r="M47" s="1841" t="str">
        <f>IF(ISNUMBER(FIND("住宅",C1)),"住宅","非住宅")</f>
        <v>非住宅</v>
      </c>
      <c r="O47" s="1887" t="s">
        <v>1040</v>
      </c>
      <c r="P47" s="1888" t="s">
        <v>1528</v>
      </c>
      <c r="Q47" s="1889">
        <f ca="1">C40+J29</f>
        <v>1238</v>
      </c>
      <c r="R47" s="1889" t="s">
        <v>1529</v>
      </c>
    </row>
    <row r="48" spans="1:18" s="1845" customFormat="1" ht="28.5" thickBot="1">
      <c r="A48" s="1363" t="s">
        <v>1135</v>
      </c>
      <c r="B48" s="345" t="s">
        <v>1401</v>
      </c>
      <c r="C48" s="2945">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4095</v>
      </c>
      <c r="R49" s="1889" t="s">
        <v>1529</v>
      </c>
    </row>
    <row r="50" spans="1:18" s="1845" customFormat="1" ht="13.5" thickBot="1">
      <c r="A50" s="1198"/>
      <c r="B50" s="1201"/>
      <c r="C50" s="1371"/>
      <c r="D50" s="1175"/>
      <c r="E50" s="1280" t="s">
        <v>1406</v>
      </c>
      <c r="F50" s="1281">
        <f ca="1">F7</f>
        <v>289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-4867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1238</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4095</v>
      </c>
      <c r="D56" s="1917"/>
      <c r="E56" s="1918"/>
      <c r="F56" s="1910"/>
      <c r="I56" s="1919" t="s">
        <v>1554</v>
      </c>
      <c r="J56" s="1920" t="s">
        <v>3067</v>
      </c>
      <c r="K56" s="1890" t="s">
        <v>1555</v>
      </c>
      <c r="L56" s="1893" t="str">
        <f ca="1">IF(L48&lt;J51,"——",L48-J53)</f>
        <v>——</v>
      </c>
      <c r="O56" s="1887" t="s">
        <v>1040</v>
      </c>
      <c r="P56" s="1888" t="s">
        <v>1528</v>
      </c>
      <c r="Q56" s="1889">
        <f ca="1">C40+J29</f>
        <v>1238</v>
      </c>
      <c r="R56" s="1889" t="s">
        <v>1529</v>
      </c>
    </row>
    <row r="57" spans="1:18" s="1845" customFormat="1" ht="24.75" thickBot="1">
      <c r="A57" s="1921"/>
      <c r="B57" s="1172" t="s">
        <v>1478</v>
      </c>
      <c r="C57" s="282">
        <f ca="1">C29</f>
        <v>4095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413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345.6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343.98</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1.66</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1238</v>
      </c>
      <c r="R62" s="1889" t="s">
        <v>1047</v>
      </c>
    </row>
    <row r="63" spans="1:18" s="1845" customFormat="1" ht="13.5" thickBot="1">
      <c r="A63" s="372"/>
      <c r="B63" s="1178"/>
      <c r="C63" s="29"/>
      <c r="D63" s="1188"/>
      <c r="E63" s="1172" t="s">
        <v>1447</v>
      </c>
      <c r="F63" s="348">
        <f t="shared" ca="1" si="0"/>
        <v>3328.13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61.4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6.1</v>
      </c>
      <c r="D65" s="1186" t="s">
        <v>1454</v>
      </c>
      <c r="E65" s="1172" t="s">
        <v>1455</v>
      </c>
      <c r="F65" s="376">
        <f t="shared" ca="1" si="0"/>
        <v>1.5E-3</v>
      </c>
      <c r="I65" s="1932" t="s">
        <v>1579</v>
      </c>
      <c r="J65" s="1933">
        <v>40</v>
      </c>
      <c r="K65" s="1933">
        <v>30</v>
      </c>
      <c r="L65" s="1933">
        <v>50</v>
      </c>
      <c r="M65" s="1935">
        <v>0.02</v>
      </c>
      <c r="O65" s="1887" t="s">
        <v>1040</v>
      </c>
      <c r="P65" s="1888" t="s">
        <v>1528</v>
      </c>
      <c r="Q65" s="1889">
        <f ca="1">C40+J29</f>
        <v>1238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-413</v>
      </c>
      <c r="D67" s="1185" t="s">
        <v>1464</v>
      </c>
      <c r="E67" s="1190"/>
      <c r="F67" s="1191"/>
      <c r="O67" s="1897" t="s">
        <v>1042</v>
      </c>
      <c r="P67" s="1888" t="s">
        <v>1562</v>
      </c>
      <c r="Q67" s="1936">
        <f ca="1">L51</f>
        <v>-4867</v>
      </c>
      <c r="R67" s="1889" t="s">
        <v>1582</v>
      </c>
    </row>
    <row r="68" spans="1:18" s="1845" customFormat="1" ht="16.5" thickBot="1">
      <c r="A68" s="1169" t="s">
        <v>1032</v>
      </c>
      <c r="B68" s="1170" t="s">
        <v>1485</v>
      </c>
      <c r="C68" s="346">
        <f ca="1">ROUND(C67*(1-((1+F70)/(1+F68))^F69)/(F68-F70),0)</f>
        <v>-6498</v>
      </c>
      <c r="D68" s="1187" t="s">
        <v>1469</v>
      </c>
      <c r="E68" s="1172" t="s">
        <v>1470</v>
      </c>
      <c r="F68" s="357">
        <f ca="1">F40</f>
        <v>0.05</v>
      </c>
      <c r="O68" s="1897" t="s">
        <v>1043</v>
      </c>
      <c r="P68" s="1937" t="s">
        <v>1583</v>
      </c>
      <c r="Q68" s="1889">
        <f ca="1">ROUND(Q69-Q70*Q71,0)</f>
        <v>-290</v>
      </c>
      <c r="R68" s="1889" t="s">
        <v>1051</v>
      </c>
    </row>
    <row r="69" spans="1:18" s="1845" customFormat="1" ht="13.5" thickBot="1">
      <c r="A69" s="1173"/>
      <c r="B69" s="1174"/>
      <c r="C69" s="351"/>
      <c r="D69" s="1192" t="s">
        <v>1473</v>
      </c>
      <c r="E69" s="1172" t="s">
        <v>1474</v>
      </c>
      <c r="F69" s="379">
        <f ca="1">F41</f>
        <v>31.66</v>
      </c>
      <c r="O69" s="1897" t="s">
        <v>1048</v>
      </c>
      <c r="P69" s="1937" t="s">
        <v>1584</v>
      </c>
      <c r="Q69" s="1889">
        <f ca="1">C39</f>
        <v>58</v>
      </c>
      <c r="R69" s="1889" t="s">
        <v>1529</v>
      </c>
    </row>
    <row r="70" spans="1:18" s="1845" customFormat="1" ht="13.5" thickBot="1">
      <c r="A70" s="1176"/>
      <c r="B70" s="1177"/>
      <c r="C70" s="355"/>
      <c r="D70" s="1188"/>
      <c r="E70" s="1172" t="s">
        <v>1477</v>
      </c>
      <c r="F70" s="1278"/>
      <c r="O70" s="1897" t="s">
        <v>1049</v>
      </c>
      <c r="P70" s="1937" t="s">
        <v>1585</v>
      </c>
      <c r="Q70" s="1889">
        <f ca="1">C13</f>
        <v>4095</v>
      </c>
      <c r="R70" s="1889" t="s">
        <v>1529</v>
      </c>
    </row>
    <row r="71" spans="1:18" s="1845" customFormat="1" ht="13.5" thickBot="1">
      <c r="A71" s="1193" t="s">
        <v>1033</v>
      </c>
      <c r="B71" s="1194" t="s">
        <v>1487</v>
      </c>
      <c r="C71" s="382">
        <f ca="1">ROUND(C68*10000/F71,0)</f>
        <v>-6424</v>
      </c>
      <c r="D71" s="1195" t="s">
        <v>1488</v>
      </c>
      <c r="E71" s="1196" t="s">
        <v>1489</v>
      </c>
      <c r="F71" s="385">
        <f ca="1">F43</f>
        <v>10115.359999999986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348</v>
      </c>
      <c r="D75" s="1845"/>
      <c r="E75" s="1845"/>
      <c r="F75" s="1845"/>
      <c r="K75" s="1871"/>
      <c r="L75" s="1845"/>
      <c r="O75" s="1887" t="s">
        <v>1046</v>
      </c>
      <c r="P75" s="1888" t="s">
        <v>1549</v>
      </c>
      <c r="Q75" s="1889">
        <f ca="1">Q65+Q66</f>
        <v>1238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v>
      </c>
    </row>
    <row r="80" spans="1:18">
      <c r="B80" s="386" t="s">
        <v>1511</v>
      </c>
      <c r="C80" s="318">
        <f ca="1">ROUND(C75/C39,3)</f>
        <v>6</v>
      </c>
    </row>
    <row r="81" spans="2:3">
      <c r="B81" s="314" t="s">
        <v>1512</v>
      </c>
      <c r="C81" s="282"/>
    </row>
    <row r="82" spans="2:3">
      <c r="B82" s="317" t="s">
        <v>1513</v>
      </c>
      <c r="C82" s="319">
        <f ca="1">1-C83</f>
        <v>-2.3079999999999998</v>
      </c>
    </row>
    <row r="83" spans="2:3">
      <c r="B83" s="317" t="s">
        <v>1514</v>
      </c>
      <c r="C83" s="318">
        <f ca="1">ROUND(C13/C40,3)</f>
        <v>3.3079999999999998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71" t="s">
        <v>1403</v>
      </c>
      <c r="C6" s="1299">
        <f ca="1">ROUND(F6*F8*F7*(1-F9),0)</f>
        <v>0</v>
      </c>
      <c r="D6" s="164" t="s">
        <v>3032</v>
      </c>
      <c r="E6" s="347" t="s">
        <v>1405</v>
      </c>
      <c r="F6" s="348">
        <f ca="1">INDIRECT("'数据-取费表'!u"&amp;$G$1)</f>
        <v>0</v>
      </c>
      <c r="G6" s="1854"/>
      <c r="H6" s="1294" t="s">
        <v>1035</v>
      </c>
      <c r="I6" s="3271" t="s">
        <v>1403</v>
      </c>
      <c r="J6" s="346">
        <f ca="1">ROUND(M6*M8*M7*(1-M9),0)</f>
        <v>0</v>
      </c>
      <c r="K6" s="1837" t="s">
        <v>3033</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0</v>
      </c>
      <c r="G7" s="1854"/>
      <c r="H7" s="349"/>
      <c r="I7" s="3272"/>
      <c r="J7" s="351"/>
      <c r="K7" s="352"/>
      <c r="L7" s="347" t="s">
        <v>1406</v>
      </c>
      <c r="M7" s="348">
        <f ca="1">F7</f>
        <v>0</v>
      </c>
    </row>
    <row r="8" spans="1:37" ht="18" customHeight="1">
      <c r="A8" s="349"/>
      <c r="B8" s="3272"/>
      <c r="C8" s="351"/>
      <c r="D8" s="352"/>
      <c r="E8" s="347" t="s">
        <v>1407</v>
      </c>
      <c r="F8" s="348">
        <f ca="1">INDIRECT("'数据-取费表'!ai"&amp;$G$1)</f>
        <v>0</v>
      </c>
      <c r="G8" s="1854"/>
      <c r="H8" s="349"/>
      <c r="I8" s="3272"/>
      <c r="J8" s="351"/>
      <c r="K8" s="352"/>
      <c r="L8" s="347" t="s">
        <v>1407</v>
      </c>
      <c r="M8" s="348">
        <f ca="1">INDIRECT("'数据-取费表'!ai"&amp;$G$1)</f>
        <v>0</v>
      </c>
    </row>
    <row r="9" spans="1:37" ht="18" customHeight="1">
      <c r="A9" s="349"/>
      <c r="B9" s="3273"/>
      <c r="C9" s="351"/>
      <c r="D9" s="352"/>
      <c r="E9" s="347" t="s">
        <v>1408</v>
      </c>
      <c r="F9" s="357">
        <f ca="1">INDIRECT("'数据-取费表'!w"&amp;$G$1)</f>
        <v>0</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9" t="s">
        <v>1548</v>
      </c>
      <c r="L53" s="327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2331</v>
      </c>
      <c r="B2" s="2568">
        <f ca="1">SUMIF(B6:B13,"&lt;&gt;#ref!",B6:B13)</f>
        <v>131944</v>
      </c>
      <c r="C2" s="2569" t="s">
        <v>2520</v>
      </c>
      <c r="D2" s="2570" t="s">
        <v>2521</v>
      </c>
      <c r="E2" s="2571">
        <f>SUM(E6:E13)</f>
        <v>97185.049999999988</v>
      </c>
    </row>
    <row r="3" spans="1:6" ht="15.75">
      <c r="A3" s="2567" t="s">
        <v>1395</v>
      </c>
      <c r="B3" s="2568">
        <f ca="1">ROUND(B2*10000/E2,0)</f>
        <v>13577</v>
      </c>
      <c r="C3" s="2569" t="s">
        <v>2528</v>
      </c>
      <c r="D3" s="2572"/>
      <c r="E3" s="2573"/>
    </row>
    <row r="4" spans="1:6" ht="15.75">
      <c r="A4" s="2574"/>
      <c r="B4" s="2572"/>
      <c r="C4" s="2572"/>
      <c r="D4" s="2572"/>
      <c r="E4" s="2573"/>
    </row>
    <row r="5" spans="1:6" ht="15">
      <c r="A5" s="2575" t="s">
        <v>2522</v>
      </c>
      <c r="B5" s="3274" t="s">
        <v>2523</v>
      </c>
      <c r="C5" s="3274"/>
      <c r="D5" s="2576"/>
      <c r="E5" s="2577" t="s">
        <v>2524</v>
      </c>
      <c r="F5" s="2578" t="s">
        <v>2525</v>
      </c>
    </row>
    <row r="6" spans="1:6">
      <c r="A6" s="2579" t="str">
        <f>'数据-取费表'!AN6</f>
        <v>收益法</v>
      </c>
      <c r="B6" s="2578">
        <f ca="1">IF(F6="是",'数据-取费表'!AO6,0)</f>
        <v>130706</v>
      </c>
      <c r="C6" s="2569" t="s">
        <v>2520</v>
      </c>
      <c r="D6" s="2572"/>
      <c r="E6" s="2580">
        <f>IF(OR(A6=0,F6="否"),0,'数据-取费表'!K6+'数据-取费表'!S6)</f>
        <v>86922.900000000009</v>
      </c>
      <c r="F6" s="2581" t="s">
        <v>2526</v>
      </c>
    </row>
    <row r="7" spans="1:6">
      <c r="A7" s="2579" t="str">
        <f>'数据-取费表'!AN7</f>
        <v>收益法 (地下车库)</v>
      </c>
      <c r="B7" s="2578">
        <f ca="1">IF(F7="是",'数据-取费表'!AO7,0)</f>
        <v>1238</v>
      </c>
      <c r="C7" s="2569" t="s">
        <v>2520</v>
      </c>
      <c r="D7" s="2572"/>
      <c r="E7" s="2580">
        <f>IF(OR(A7=0,F7="否"),0,'数据-取费表'!K7+'数据-取费表'!S7)</f>
        <v>10262.149999999987</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1076</v>
      </c>
      <c r="B1" s="3276"/>
      <c r="C1" s="3277"/>
      <c r="D1" s="3278">
        <f>SUM(I10,I15,I20,I21,I23)</f>
        <v>0</v>
      </c>
      <c r="E1" s="3278"/>
      <c r="F1" s="3278"/>
      <c r="G1" s="3278"/>
      <c r="H1" s="3278"/>
      <c r="I1" s="3279"/>
    </row>
    <row r="2" spans="1:9">
      <c r="A2" s="3280" t="s">
        <v>1077</v>
      </c>
      <c r="B2" s="3281" t="s">
        <v>1078</v>
      </c>
      <c r="C2" s="3281"/>
      <c r="D2" s="1304" t="s">
        <v>1079</v>
      </c>
      <c r="E2" s="1304" t="s">
        <v>1080</v>
      </c>
      <c r="F2" s="1304" t="s">
        <v>1081</v>
      </c>
      <c r="G2" s="1304" t="s">
        <v>1082</v>
      </c>
      <c r="H2" s="1304" t="s">
        <v>1083</v>
      </c>
      <c r="I2" s="1305" t="s">
        <v>1084</v>
      </c>
    </row>
    <row r="3" spans="1:9">
      <c r="A3" s="3280"/>
      <c r="B3" s="3281" t="s">
        <v>1085</v>
      </c>
      <c r="C3" s="3281"/>
      <c r="D3" s="1306"/>
      <c r="E3" s="1304"/>
      <c r="F3" s="1307"/>
      <c r="G3" s="1307"/>
      <c r="H3" s="1308"/>
      <c r="I3" s="1309">
        <f>ROUND(D3*E3*F3*G3*H3/10000,0)</f>
        <v>0</v>
      </c>
    </row>
    <row r="4" spans="1:9">
      <c r="A4" s="3280"/>
      <c r="B4" s="3281" t="s">
        <v>1086</v>
      </c>
      <c r="C4" s="3281"/>
      <c r="D4" s="1306"/>
      <c r="E4" s="1304"/>
      <c r="F4" s="1307"/>
      <c r="G4" s="1307"/>
      <c r="H4" s="1308"/>
      <c r="I4" s="1309">
        <f t="shared" ref="I4:I9" si="0">ROUND(D4*E4*F4*G4*H4/10000,0)</f>
        <v>0</v>
      </c>
    </row>
    <row r="5" spans="1:9">
      <c r="A5" s="3280"/>
      <c r="B5" s="3281" t="s">
        <v>1087</v>
      </c>
      <c r="C5" s="3281"/>
      <c r="D5" s="1306"/>
      <c r="E5" s="1304"/>
      <c r="F5" s="1307"/>
      <c r="G5" s="1307"/>
      <c r="H5" s="1308"/>
      <c r="I5" s="1309">
        <f t="shared" si="0"/>
        <v>0</v>
      </c>
    </row>
    <row r="6" spans="1:9">
      <c r="A6" s="3280"/>
      <c r="B6" s="3281" t="s">
        <v>1088</v>
      </c>
      <c r="C6" s="3281"/>
      <c r="D6" s="1306"/>
      <c r="E6" s="1304"/>
      <c r="F6" s="1307"/>
      <c r="G6" s="1307"/>
      <c r="H6" s="1308"/>
      <c r="I6" s="1309">
        <f t="shared" si="0"/>
        <v>0</v>
      </c>
    </row>
    <row r="7" spans="1:9">
      <c r="A7" s="3280"/>
      <c r="B7" s="3281" t="s">
        <v>1089</v>
      </c>
      <c r="C7" s="3281"/>
      <c r="D7" s="1306"/>
      <c r="E7" s="1304"/>
      <c r="F7" s="1307"/>
      <c r="G7" s="1307"/>
      <c r="H7" s="1308"/>
      <c r="I7" s="1309">
        <f t="shared" si="0"/>
        <v>0</v>
      </c>
    </row>
    <row r="8" spans="1:9">
      <c r="A8" s="3280"/>
      <c r="B8" s="3281" t="s">
        <v>1090</v>
      </c>
      <c r="C8" s="3281"/>
      <c r="D8" s="1306"/>
      <c r="E8" s="1304"/>
      <c r="F8" s="1307"/>
      <c r="G8" s="1307"/>
      <c r="H8" s="1308"/>
      <c r="I8" s="1309">
        <f t="shared" si="0"/>
        <v>0</v>
      </c>
    </row>
    <row r="9" spans="1:9">
      <c r="A9" s="3280"/>
      <c r="B9" s="3281" t="s">
        <v>1091</v>
      </c>
      <c r="C9" s="3281"/>
      <c r="D9" s="1306"/>
      <c r="E9" s="1304"/>
      <c r="F9" s="1307"/>
      <c r="G9" s="1307"/>
      <c r="H9" s="1308"/>
      <c r="I9" s="1309">
        <f t="shared" si="0"/>
        <v>0</v>
      </c>
    </row>
    <row r="10" spans="1:9">
      <c r="A10" s="3280"/>
      <c r="B10" s="3282" t="s">
        <v>1092</v>
      </c>
      <c r="C10" s="3282"/>
      <c r="D10" s="1310"/>
      <c r="E10" s="1310" t="e">
        <f>ROUND(D1*10000/D10/H9,0)</f>
        <v>#DIV/0!</v>
      </c>
      <c r="F10" s="1311"/>
      <c r="G10" s="1311"/>
      <c r="H10" s="1312"/>
      <c r="I10" s="1313">
        <f>SUM(I3:I9)</f>
        <v>0</v>
      </c>
    </row>
    <row r="11" spans="1:9" ht="14.25">
      <c r="A11" s="3280" t="s">
        <v>1093</v>
      </c>
      <c r="B11" s="3281" t="s">
        <v>1094</v>
      </c>
      <c r="C11" s="3281"/>
      <c r="D11" s="1306" t="s">
        <v>1095</v>
      </c>
      <c r="E11" s="1306" t="s">
        <v>1096</v>
      </c>
      <c r="F11" s="1307" t="s">
        <v>1097</v>
      </c>
      <c r="G11" s="1307" t="s">
        <v>1083</v>
      </c>
      <c r="H11" s="1314" t="s">
        <v>1098</v>
      </c>
      <c r="I11" s="1305" t="s">
        <v>1084</v>
      </c>
    </row>
    <row r="12" spans="1:9">
      <c r="A12" s="3280"/>
      <c r="B12" s="3281" t="s">
        <v>1099</v>
      </c>
      <c r="C12" s="3281"/>
      <c r="D12" s="1306"/>
      <c r="E12" s="1306"/>
      <c r="F12" s="1307"/>
      <c r="G12" s="1308"/>
      <c r="H12" s="1315"/>
      <c r="I12" s="1305">
        <f>ROUND(D12*E12*F12*G12/10000,0)</f>
        <v>0</v>
      </c>
    </row>
    <row r="13" spans="1:9">
      <c r="A13" s="3280"/>
      <c r="B13" s="3281" t="s">
        <v>1100</v>
      </c>
      <c r="C13" s="3281"/>
      <c r="D13" s="1306"/>
      <c r="E13" s="1306"/>
      <c r="F13" s="1307"/>
      <c r="G13" s="1308"/>
      <c r="H13" s="1315"/>
      <c r="I13" s="1305">
        <f>ROUND(D13*E13*F13*G13/10000,0)</f>
        <v>0</v>
      </c>
    </row>
    <row r="14" spans="1:9">
      <c r="A14" s="3280"/>
      <c r="B14" s="3281" t="s">
        <v>1101</v>
      </c>
      <c r="C14" s="3281"/>
      <c r="D14" s="1306"/>
      <c r="E14" s="1306"/>
      <c r="F14" s="1307"/>
      <c r="G14" s="1308"/>
      <c r="H14" s="1315"/>
      <c r="I14" s="1305">
        <f>ROUND(D14*E14*F14*G14/10000,0)</f>
        <v>0</v>
      </c>
    </row>
    <row r="15" spans="1:9">
      <c r="A15" s="3280"/>
      <c r="B15" s="3282" t="s">
        <v>1092</v>
      </c>
      <c r="C15" s="3282"/>
      <c r="D15" s="1310"/>
      <c r="E15" s="1310">
        <f>SUM(E12:E14)</f>
        <v>0</v>
      </c>
      <c r="F15" s="1311"/>
      <c r="G15" s="1308"/>
      <c r="H15" s="1315"/>
      <c r="I15" s="1316">
        <f>SUM(I12:I14)</f>
        <v>0</v>
      </c>
    </row>
    <row r="16" spans="1:9" ht="24">
      <c r="A16" s="3280" t="s">
        <v>1102</v>
      </c>
      <c r="B16" s="3281" t="s">
        <v>1103</v>
      </c>
      <c r="C16" s="3281"/>
      <c r="D16" s="1306" t="s">
        <v>1079</v>
      </c>
      <c r="E16" s="1317" t="s">
        <v>1104</v>
      </c>
      <c r="F16" s="1307" t="s">
        <v>1105</v>
      </c>
      <c r="G16" s="1308" t="s">
        <v>1083</v>
      </c>
      <c r="H16" s="1314" t="s">
        <v>1098</v>
      </c>
      <c r="I16" s="1305" t="s">
        <v>1084</v>
      </c>
    </row>
    <row r="17" spans="1:9" ht="14.25">
      <c r="A17" s="3280"/>
      <c r="B17" s="3281" t="s">
        <v>1106</v>
      </c>
      <c r="C17" s="3281"/>
      <c r="D17" s="1306"/>
      <c r="E17" s="1306"/>
      <c r="F17" s="1307"/>
      <c r="G17" s="1308"/>
      <c r="H17" s="1318"/>
      <c r="I17" s="1319">
        <f>ROUND(D17*E17*F17*G17/10000,0)</f>
        <v>0</v>
      </c>
    </row>
    <row r="18" spans="1:9" ht="14.25">
      <c r="A18" s="3280"/>
      <c r="B18" s="3281" t="s">
        <v>1107</v>
      </c>
      <c r="C18" s="3281"/>
      <c r="D18" s="1306"/>
      <c r="E18" s="1306"/>
      <c r="F18" s="1307"/>
      <c r="G18" s="1308"/>
      <c r="H18" s="1318"/>
      <c r="I18" s="1319">
        <f>ROUND(D18*E18*F18*G18/10000,0)</f>
        <v>0</v>
      </c>
    </row>
    <row r="19" spans="1:9" ht="14.25">
      <c r="A19" s="3280"/>
      <c r="B19" s="3281" t="s">
        <v>1108</v>
      </c>
      <c r="C19" s="3281"/>
      <c r="D19" s="1306"/>
      <c r="E19" s="1306"/>
      <c r="F19" s="1307"/>
      <c r="G19" s="1308"/>
      <c r="H19" s="1318"/>
      <c r="I19" s="1319">
        <f>ROUND(D19*E19*F19*G19/10000,0)</f>
        <v>0</v>
      </c>
    </row>
    <row r="20" spans="1:9">
      <c r="A20" s="3280"/>
      <c r="B20" s="3282" t="s">
        <v>1092</v>
      </c>
      <c r="C20" s="3282"/>
      <c r="D20" s="1310">
        <f>SUM(D17:D19)</f>
        <v>0</v>
      </c>
      <c r="E20" s="1310"/>
      <c r="F20" s="1311"/>
      <c r="G20" s="1308"/>
      <c r="H20" s="1315"/>
      <c r="I20" s="1316">
        <f>SUM(I17:I19)</f>
        <v>0</v>
      </c>
    </row>
    <row r="21" spans="1:9">
      <c r="A21" s="3280" t="s">
        <v>1109</v>
      </c>
      <c r="B21" s="3284"/>
      <c r="C21" s="3284"/>
      <c r="D21" s="3284"/>
      <c r="E21" s="3284"/>
      <c r="F21" s="3284"/>
      <c r="G21" s="3284"/>
      <c r="H21" s="1768">
        <v>0.1</v>
      </c>
      <c r="I21" s="1313">
        <f>ROUND(I10*H21,0)</f>
        <v>0</v>
      </c>
    </row>
    <row r="22" spans="1:9" ht="14.25">
      <c r="A22" s="3285" t="s">
        <v>1110</v>
      </c>
      <c r="B22" s="3286"/>
      <c r="C22" s="3287"/>
      <c r="D22" s="1320" t="s">
        <v>1111</v>
      </c>
      <c r="E22" s="1320" t="s">
        <v>1112</v>
      </c>
      <c r="F22" s="1321" t="s">
        <v>1113</v>
      </c>
      <c r="G22" s="1321" t="s">
        <v>1114</v>
      </c>
      <c r="H22" s="1314" t="s">
        <v>1115</v>
      </c>
      <c r="I22" s="1305" t="s">
        <v>1116</v>
      </c>
    </row>
    <row r="23" spans="1:9" ht="14.25" thickBot="1">
      <c r="A23" s="3288"/>
      <c r="B23" s="3289"/>
      <c r="C23" s="3290"/>
      <c r="D23" s="1322"/>
      <c r="E23" s="1322"/>
      <c r="F23" s="1322"/>
      <c r="G23" s="1323"/>
      <c r="H23" s="1324"/>
      <c r="I23" s="1325">
        <f>ROUND(E23*D23*F23*(1-G23)/10000,0)</f>
        <v>0</v>
      </c>
    </row>
    <row r="26" spans="1:9">
      <c r="A26" s="1326" t="s">
        <v>1117</v>
      </c>
      <c r="B26" s="1326"/>
      <c r="C26" s="1326"/>
      <c r="D26" s="1326"/>
      <c r="E26" s="3291">
        <f>C27-C30-C31-C32</f>
        <v>0</v>
      </c>
      <c r="F26" s="3291"/>
      <c r="G26" s="3291"/>
      <c r="H26" s="1740" t="s">
        <v>1340</v>
      </c>
    </row>
    <row r="27" spans="1:9">
      <c r="A27" s="1327">
        <v>1</v>
      </c>
      <c r="B27" s="1328" t="s">
        <v>1118</v>
      </c>
      <c r="C27" s="1328">
        <f>C28+C29</f>
        <v>0</v>
      </c>
      <c r="D27" s="1328"/>
      <c r="E27" s="3292"/>
      <c r="F27" s="3292"/>
      <c r="G27" s="3292"/>
    </row>
    <row r="28" spans="1:9">
      <c r="A28" s="1329" t="s">
        <v>1119</v>
      </c>
      <c r="B28" s="1328" t="s">
        <v>1120</v>
      </c>
      <c r="C28" s="1328"/>
      <c r="D28" s="1328"/>
      <c r="E28" s="3292"/>
      <c r="F28" s="3292"/>
      <c r="G28" s="32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93" t="s">
        <v>1129</v>
      </c>
      <c r="B33" s="3294"/>
      <c r="C33" s="3294"/>
      <c r="D33" s="3295"/>
      <c r="E33" s="3291"/>
      <c r="F33" s="3291"/>
      <c r="G33" s="3291"/>
    </row>
    <row r="34" spans="1:7" hidden="1">
      <c r="A34" s="1331">
        <v>1</v>
      </c>
      <c r="B34" s="1328" t="s">
        <v>1130</v>
      </c>
      <c r="C34" s="1328"/>
      <c r="D34" s="1328"/>
      <c r="E34" s="3292"/>
      <c r="F34" s="3292"/>
      <c r="G34" s="3292"/>
    </row>
    <row r="35" spans="1:7" hidden="1">
      <c r="A35" s="1331">
        <v>2</v>
      </c>
      <c r="B35" s="1328" t="s">
        <v>1131</v>
      </c>
      <c r="C35" s="1328"/>
      <c r="D35" s="1328"/>
      <c r="E35" s="3292"/>
      <c r="F35" s="3292"/>
      <c r="G35" s="3292"/>
    </row>
    <row r="36" spans="1:7" hidden="1">
      <c r="A36" s="1331">
        <v>3</v>
      </c>
      <c r="B36" s="1328" t="s">
        <v>1132</v>
      </c>
      <c r="C36" s="1328"/>
      <c r="D36" s="1328"/>
      <c r="E36" s="3292"/>
      <c r="F36" s="3292"/>
      <c r="G36" s="3292"/>
    </row>
    <row r="37" spans="1:7" hidden="1">
      <c r="A37" s="1331">
        <v>4</v>
      </c>
      <c r="B37" s="1328" t="s">
        <v>1133</v>
      </c>
      <c r="C37" s="1328"/>
      <c r="D37" s="1328"/>
      <c r="E37" s="3292"/>
      <c r="F37" s="3292"/>
      <c r="G37" s="3292"/>
    </row>
    <row r="38" spans="1:7" hidden="1">
      <c r="A38" s="3293" t="s">
        <v>1134</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2535</v>
      </c>
      <c r="D3" s="399">
        <f>IF(D1="",'数据-汇总表'!E3,SUMIF('数据-汇总表'!$C19:$C33,D1,'数据-汇总表'!$E19:$E33))</f>
        <v>97185.05</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244" t="s">
        <v>2537</v>
      </c>
      <c r="D4" s="3245"/>
      <c r="E4" s="3246" t="s">
        <v>2538</v>
      </c>
      <c r="F4" s="3247"/>
      <c r="G4" s="3244" t="s">
        <v>2539</v>
      </c>
      <c r="H4" s="3245"/>
      <c r="I4" s="3244" t="s">
        <v>2540</v>
      </c>
      <c r="J4" s="3245"/>
      <c r="K4" s="2599" t="s">
        <v>2541</v>
      </c>
      <c r="L4" s="1133"/>
      <c r="M4" s="1134"/>
      <c r="N4" s="1134"/>
      <c r="O4" s="1134"/>
      <c r="P4" s="3248" t="s">
        <v>2542</v>
      </c>
      <c r="Q4" s="3249"/>
      <c r="R4" s="3231" t="s">
        <v>2538</v>
      </c>
      <c r="S4" s="3232"/>
      <c r="T4" s="3231" t="s">
        <v>2539</v>
      </c>
      <c r="U4" s="3232"/>
      <c r="V4" s="3256" t="s">
        <v>2540</v>
      </c>
      <c r="W4" s="3256"/>
      <c r="X4" s="1816"/>
      <c r="Y4" s="3231" t="s">
        <v>2542</v>
      </c>
      <c r="Z4" s="3232"/>
      <c r="AA4" s="3226" t="s">
        <v>2538</v>
      </c>
      <c r="AB4" s="3226" t="s">
        <v>2539</v>
      </c>
      <c r="AC4" s="3226" t="s">
        <v>2540</v>
      </c>
    </row>
    <row r="5" spans="1:29" ht="15">
      <c r="A5" s="404"/>
      <c r="B5" s="405"/>
      <c r="C5" s="3237" t="s">
        <v>2543</v>
      </c>
      <c r="D5" s="3238"/>
      <c r="E5" s="3235" t="s">
        <v>2544</v>
      </c>
      <c r="F5" s="3236"/>
      <c r="G5" s="3237" t="s">
        <v>2545</v>
      </c>
      <c r="H5" s="3238"/>
      <c r="I5" s="3237" t="s">
        <v>2546</v>
      </c>
      <c r="J5" s="3238"/>
      <c r="K5" s="260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260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9" t="s">
        <v>2550</v>
      </c>
      <c r="Q7" s="3257"/>
      <c r="R7" s="770" t="s">
        <v>23</v>
      </c>
      <c r="S7" s="771">
        <f t="shared" ref="S7:S15" si="0">F7</f>
        <v>0</v>
      </c>
      <c r="T7" s="770" t="s">
        <v>23</v>
      </c>
      <c r="U7" s="771">
        <f t="shared" ref="U7:U15" si="1">H7</f>
        <v>0</v>
      </c>
      <c r="V7" s="770" t="s">
        <v>23</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9" t="s">
        <v>2553</v>
      </c>
      <c r="Q8" s="3230"/>
      <c r="R8" s="770" t="s">
        <v>23</v>
      </c>
      <c r="S8" s="771">
        <f t="shared" si="0"/>
        <v>0</v>
      </c>
      <c r="T8" s="770" t="s">
        <v>23</v>
      </c>
      <c r="U8" s="771">
        <f t="shared" si="1"/>
        <v>0</v>
      </c>
      <c r="V8" s="770" t="s">
        <v>23</v>
      </c>
      <c r="W8" s="771">
        <f t="shared" si="2"/>
        <v>0</v>
      </c>
      <c r="X8" s="772"/>
      <c r="Y8" s="3229" t="s">
        <v>2553</v>
      </c>
      <c r="Z8" s="323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7"/>
      <c r="Q11" s="1798" t="str">
        <f t="shared" si="6"/>
        <v>容积率</v>
      </c>
      <c r="R11" s="770" t="s">
        <v>21</v>
      </c>
      <c r="S11" s="771" t="e">
        <f t="shared" si="0"/>
        <v>#N/A</v>
      </c>
      <c r="T11" s="770" t="s">
        <v>21</v>
      </c>
      <c r="U11" s="771" t="e">
        <f t="shared" si="1"/>
        <v>#N/A</v>
      </c>
      <c r="V11" s="770" t="s">
        <v>21</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67"/>
      <c r="Q12" s="1798">
        <f t="shared" si="6"/>
        <v>111</v>
      </c>
      <c r="R12" s="770" t="s">
        <v>21</v>
      </c>
      <c r="S12" s="771">
        <f t="shared" si="0"/>
        <v>100</v>
      </c>
      <c r="T12" s="770" t="s">
        <v>21</v>
      </c>
      <c r="U12" s="771">
        <f t="shared" si="1"/>
        <v>100</v>
      </c>
      <c r="V12" s="770" t="s">
        <v>21</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67"/>
      <c r="Q13" s="1798">
        <f t="shared" si="6"/>
        <v>111</v>
      </c>
      <c r="R13" s="770" t="s">
        <v>21</v>
      </c>
      <c r="S13" s="771">
        <f t="shared" si="0"/>
        <v>100</v>
      </c>
      <c r="T13" s="770" t="s">
        <v>21</v>
      </c>
      <c r="U13" s="771">
        <f t="shared" si="1"/>
        <v>100</v>
      </c>
      <c r="V13" s="770" t="s">
        <v>21</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67"/>
      <c r="Q14" s="1798">
        <f t="shared" si="6"/>
        <v>111</v>
      </c>
      <c r="R14" s="770" t="s">
        <v>21</v>
      </c>
      <c r="S14" s="771">
        <f t="shared" si="0"/>
        <v>100</v>
      </c>
      <c r="T14" s="770" t="s">
        <v>21</v>
      </c>
      <c r="U14" s="771">
        <f t="shared" si="1"/>
        <v>100</v>
      </c>
      <c r="V14" s="770" t="s">
        <v>21</v>
      </c>
      <c r="W14" s="771">
        <f t="shared" si="2"/>
        <v>100</v>
      </c>
      <c r="X14" s="772"/>
      <c r="Y14" s="3103"/>
      <c r="Z14" s="55">
        <f t="shared" si="7"/>
        <v>111</v>
      </c>
      <c r="AA14" s="773">
        <f t="shared" si="3"/>
        <v>1</v>
      </c>
      <c r="AB14" s="773">
        <f t="shared" si="4"/>
        <v>1</v>
      </c>
      <c r="AC14" s="773">
        <f t="shared" si="5"/>
        <v>1</v>
      </c>
    </row>
    <row r="15" spans="1:29" ht="99.75">
      <c r="A15" s="440" t="s">
        <v>2560</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2" t="s">
        <v>2561</v>
      </c>
      <c r="Q15" s="1813" t="str">
        <f t="shared" si="6"/>
        <v>居住社区成熟度</v>
      </c>
      <c r="R15" s="774" t="s">
        <v>21</v>
      </c>
      <c r="S15" s="775">
        <f t="shared" si="0"/>
        <v>100</v>
      </c>
      <c r="T15" s="774" t="s">
        <v>21</v>
      </c>
      <c r="U15" s="775">
        <f t="shared" si="1"/>
        <v>100</v>
      </c>
      <c r="V15" s="774" t="s">
        <v>21</v>
      </c>
      <c r="W15" s="775">
        <f t="shared" si="2"/>
        <v>100</v>
      </c>
      <c r="X15" s="1816"/>
      <c r="Y15" s="3258"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3"/>
      <c r="Q17" s="1813" t="str">
        <f>B17</f>
        <v>交通便捷度</v>
      </c>
      <c r="R17" s="774" t="s">
        <v>21</v>
      </c>
      <c r="S17" s="775">
        <f>F17</f>
        <v>100</v>
      </c>
      <c r="T17" s="774" t="s">
        <v>21</v>
      </c>
      <c r="U17" s="775">
        <f>H17</f>
        <v>100</v>
      </c>
      <c r="V17" s="774" t="s">
        <v>21</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3"/>
      <c r="Q19" s="1813" t="str">
        <f>B19</f>
        <v>公共配套设施</v>
      </c>
      <c r="R19" s="774" t="s">
        <v>21</v>
      </c>
      <c r="S19" s="775">
        <f>F19</f>
        <v>100</v>
      </c>
      <c r="T19" s="774" t="s">
        <v>21</v>
      </c>
      <c r="U19" s="775">
        <f>H19</f>
        <v>100</v>
      </c>
      <c r="V19" s="774" t="s">
        <v>21</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3"/>
      <c r="Q23" s="1813" t="str">
        <f>B23</f>
        <v>自然及人文环境</v>
      </c>
      <c r="R23" s="774" t="s">
        <v>21</v>
      </c>
      <c r="S23" s="775">
        <f>F23</f>
        <v>100</v>
      </c>
      <c r="T23" s="774" t="s">
        <v>21</v>
      </c>
      <c r="U23" s="775">
        <f>H23</f>
        <v>100</v>
      </c>
      <c r="V23" s="774" t="s">
        <v>21</v>
      </c>
      <c r="W23" s="775">
        <f>J23</f>
        <v>100</v>
      </c>
      <c r="X23" s="1816"/>
      <c r="Y23" s="325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30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9"/>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303"/>
      <c r="Q26" s="1813" t="str">
        <f t="shared" si="11"/>
        <v>朝向</v>
      </c>
      <c r="R26" s="774" t="s">
        <v>21</v>
      </c>
      <c r="S26" s="775">
        <f t="shared" si="12"/>
        <v>100</v>
      </c>
      <c r="T26" s="774" t="s">
        <v>21</v>
      </c>
      <c r="U26" s="775">
        <f t="shared" si="13"/>
        <v>100</v>
      </c>
      <c r="V26" s="774" t="s">
        <v>21</v>
      </c>
      <c r="W26" s="775">
        <f t="shared" si="14"/>
        <v>100</v>
      </c>
      <c r="X26" s="1816"/>
      <c r="Y26" s="325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303"/>
      <c r="Q27" s="1798">
        <f t="shared" si="11"/>
        <v>111</v>
      </c>
      <c r="R27" s="770" t="s">
        <v>21</v>
      </c>
      <c r="S27" s="771">
        <f t="shared" si="12"/>
        <v>100</v>
      </c>
      <c r="T27" s="770" t="s">
        <v>21</v>
      </c>
      <c r="U27" s="771">
        <f t="shared" si="13"/>
        <v>100</v>
      </c>
      <c r="V27" s="770" t="s">
        <v>21</v>
      </c>
      <c r="W27" s="771">
        <f t="shared" si="14"/>
        <v>100</v>
      </c>
      <c r="X27" s="772"/>
      <c r="Y27" s="325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303"/>
      <c r="Q28" s="1813">
        <f t="shared" si="11"/>
        <v>111</v>
      </c>
      <c r="R28" s="774" t="s">
        <v>21</v>
      </c>
      <c r="S28" s="775">
        <f t="shared" si="12"/>
        <v>100</v>
      </c>
      <c r="T28" s="774" t="s">
        <v>21</v>
      </c>
      <c r="U28" s="775">
        <f t="shared" si="13"/>
        <v>100</v>
      </c>
      <c r="V28" s="774" t="s">
        <v>21</v>
      </c>
      <c r="W28" s="775">
        <f t="shared" si="14"/>
        <v>100</v>
      </c>
      <c r="X28" s="1816"/>
      <c r="Y28" s="325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303"/>
      <c r="Q29" s="1813">
        <f t="shared" si="11"/>
        <v>111</v>
      </c>
      <c r="R29" s="774" t="s">
        <v>21</v>
      </c>
      <c r="S29" s="775">
        <f t="shared" si="12"/>
        <v>100</v>
      </c>
      <c r="T29" s="774" t="s">
        <v>21</v>
      </c>
      <c r="U29" s="775">
        <f t="shared" si="13"/>
        <v>100</v>
      </c>
      <c r="V29" s="774" t="s">
        <v>21</v>
      </c>
      <c r="W29" s="775">
        <f t="shared" si="14"/>
        <v>100</v>
      </c>
      <c r="X29" s="1816"/>
      <c r="Y29" s="325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303"/>
      <c r="Q30" s="1813">
        <f t="shared" si="11"/>
        <v>111</v>
      </c>
      <c r="R30" s="774" t="s">
        <v>21</v>
      </c>
      <c r="S30" s="775">
        <f t="shared" si="12"/>
        <v>100</v>
      </c>
      <c r="T30" s="774" t="s">
        <v>21</v>
      </c>
      <c r="U30" s="775">
        <f t="shared" si="13"/>
        <v>100</v>
      </c>
      <c r="V30" s="774" t="s">
        <v>21</v>
      </c>
      <c r="W30" s="775">
        <f t="shared" si="14"/>
        <v>100</v>
      </c>
      <c r="X30" s="1816"/>
      <c r="Y30" s="325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303"/>
      <c r="Q31" s="1813">
        <f t="shared" si="11"/>
        <v>111</v>
      </c>
      <c r="R31" s="774" t="s">
        <v>21</v>
      </c>
      <c r="S31" s="775">
        <f t="shared" si="12"/>
        <v>100</v>
      </c>
      <c r="T31" s="774" t="s">
        <v>21</v>
      </c>
      <c r="U31" s="775">
        <f t="shared" si="13"/>
        <v>100</v>
      </c>
      <c r="V31" s="774" t="s">
        <v>21</v>
      </c>
      <c r="W31" s="775">
        <f t="shared" si="14"/>
        <v>100</v>
      </c>
      <c r="X31" s="1816"/>
      <c r="Y31" s="3259"/>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8" t="s">
        <v>2566</v>
      </c>
      <c r="Q32" s="1813" t="str">
        <f t="shared" si="11"/>
        <v>建筑类型</v>
      </c>
      <c r="R32" s="774" t="s">
        <v>21</v>
      </c>
      <c r="S32" s="775">
        <f t="shared" si="12"/>
        <v>100</v>
      </c>
      <c r="T32" s="774" t="s">
        <v>21</v>
      </c>
      <c r="U32" s="775">
        <f t="shared" si="13"/>
        <v>100</v>
      </c>
      <c r="V32" s="774" t="s">
        <v>21</v>
      </c>
      <c r="W32" s="775">
        <f t="shared" si="14"/>
        <v>100</v>
      </c>
      <c r="X32" s="1816"/>
      <c r="Y32" s="326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4" t="e">
        <f t="shared" si="15"/>
        <v>#N/A</v>
      </c>
      <c r="AB33" s="1814" t="e">
        <f t="shared" si="16"/>
        <v>#N/A</v>
      </c>
      <c r="AC33" s="1814"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9"/>
      <c r="Q34" s="1813" t="str">
        <f t="shared" si="11"/>
        <v>建筑结构</v>
      </c>
      <c r="R34" s="774" t="s">
        <v>21</v>
      </c>
      <c r="S34" s="775">
        <f t="shared" si="12"/>
        <v>100</v>
      </c>
      <c r="T34" s="774" t="s">
        <v>21</v>
      </c>
      <c r="U34" s="775">
        <f t="shared" si="13"/>
        <v>100</v>
      </c>
      <c r="V34" s="774" t="s">
        <v>21</v>
      </c>
      <c r="W34" s="775">
        <f t="shared" si="14"/>
        <v>100</v>
      </c>
      <c r="X34" s="1816"/>
      <c r="Y34" s="3261"/>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9"/>
      <c r="Q35" s="1813" t="str">
        <f t="shared" si="11"/>
        <v>建筑品质</v>
      </c>
      <c r="R35" s="774" t="s">
        <v>21</v>
      </c>
      <c r="S35" s="775">
        <f t="shared" si="12"/>
        <v>100</v>
      </c>
      <c r="T35" s="774" t="s">
        <v>21</v>
      </c>
      <c r="U35" s="775">
        <f t="shared" si="13"/>
        <v>100</v>
      </c>
      <c r="V35" s="774" t="s">
        <v>21</v>
      </c>
      <c r="W35" s="775">
        <f t="shared" si="14"/>
        <v>100</v>
      </c>
      <c r="X35" s="1816"/>
      <c r="Y35" s="3261"/>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9"/>
      <c r="Q36" s="1813" t="str">
        <f t="shared" si="11"/>
        <v>公共部分装修</v>
      </c>
      <c r="R36" s="774" t="s">
        <v>21</v>
      </c>
      <c r="S36" s="775">
        <f t="shared" si="12"/>
        <v>100</v>
      </c>
      <c r="T36" s="774" t="s">
        <v>21</v>
      </c>
      <c r="U36" s="775">
        <f t="shared" si="13"/>
        <v>100</v>
      </c>
      <c r="V36" s="774" t="s">
        <v>21</v>
      </c>
      <c r="W36" s="775">
        <f t="shared" si="14"/>
        <v>100</v>
      </c>
      <c r="X36" s="1816"/>
      <c r="Y36" s="326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9"/>
      <c r="Q37" s="1798"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9" t="s">
        <v>2566</v>
      </c>
      <c r="Q38" s="1813" t="str">
        <f t="shared" si="11"/>
        <v>物业管理</v>
      </c>
      <c r="R38" s="774" t="s">
        <v>21</v>
      </c>
      <c r="S38" s="775">
        <f t="shared" si="12"/>
        <v>100</v>
      </c>
      <c r="T38" s="774" t="s">
        <v>21</v>
      </c>
      <c r="U38" s="775">
        <f t="shared" si="13"/>
        <v>100</v>
      </c>
      <c r="V38" s="774" t="s">
        <v>21</v>
      </c>
      <c r="W38" s="775">
        <f t="shared" si="14"/>
        <v>100</v>
      </c>
      <c r="X38" s="1816"/>
      <c r="Y38" s="3261"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9"/>
      <c r="Q39" s="1813" t="str">
        <f t="shared" si="11"/>
        <v>市政基础设施</v>
      </c>
      <c r="R39" s="774" t="s">
        <v>21</v>
      </c>
      <c r="S39" s="775">
        <f t="shared" si="12"/>
        <v>100</v>
      </c>
      <c r="T39" s="774" t="s">
        <v>21</v>
      </c>
      <c r="U39" s="775">
        <f t="shared" si="13"/>
        <v>100</v>
      </c>
      <c r="V39" s="774" t="s">
        <v>21</v>
      </c>
      <c r="W39" s="775">
        <f t="shared" si="14"/>
        <v>100</v>
      </c>
      <c r="X39" s="1816"/>
      <c r="Y39" s="3261"/>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9"/>
      <c r="Q40" s="1813" t="str">
        <f t="shared" si="11"/>
        <v>房型</v>
      </c>
      <c r="R40" s="774" t="s">
        <v>21</v>
      </c>
      <c r="S40" s="775">
        <f t="shared" si="12"/>
        <v>100</v>
      </c>
      <c r="T40" s="774" t="s">
        <v>21</v>
      </c>
      <c r="U40" s="775">
        <f t="shared" si="13"/>
        <v>100</v>
      </c>
      <c r="V40" s="774" t="s">
        <v>21</v>
      </c>
      <c r="W40" s="775">
        <f t="shared" si="14"/>
        <v>100</v>
      </c>
      <c r="X40" s="1816"/>
      <c r="Y40" s="326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9"/>
      <c r="Q42" s="1813" t="str">
        <f t="shared" si="11"/>
        <v>内部装修</v>
      </c>
      <c r="R42" s="774" t="s">
        <v>21</v>
      </c>
      <c r="S42" s="775">
        <f t="shared" si="12"/>
        <v>100</v>
      </c>
      <c r="T42" s="774" t="s">
        <v>21</v>
      </c>
      <c r="U42" s="775">
        <f t="shared" si="13"/>
        <v>100</v>
      </c>
      <c r="V42" s="774" t="s">
        <v>21</v>
      </c>
      <c r="W42" s="775">
        <f t="shared" si="14"/>
        <v>100</v>
      </c>
      <c r="X42" s="1816"/>
      <c r="Y42" s="3261"/>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9"/>
      <c r="Q43" s="1813" t="str">
        <f t="shared" si="11"/>
        <v>内部装修维护情况</v>
      </c>
      <c r="R43" s="774" t="s">
        <v>21</v>
      </c>
      <c r="S43" s="775">
        <f t="shared" si="12"/>
        <v>100</v>
      </c>
      <c r="T43" s="774" t="s">
        <v>21</v>
      </c>
      <c r="U43" s="775">
        <f t="shared" si="13"/>
        <v>100</v>
      </c>
      <c r="V43" s="774" t="s">
        <v>21</v>
      </c>
      <c r="W43" s="775">
        <f t="shared" si="14"/>
        <v>100</v>
      </c>
      <c r="X43" s="1816"/>
      <c r="Y43" s="326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9"/>
      <c r="Q44" s="1798">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9"/>
      <c r="Q45" s="1813">
        <f t="shared" si="11"/>
        <v>111</v>
      </c>
      <c r="R45" s="774" t="s">
        <v>21</v>
      </c>
      <c r="S45" s="775">
        <f t="shared" si="12"/>
        <v>100</v>
      </c>
      <c r="T45" s="774" t="s">
        <v>21</v>
      </c>
      <c r="U45" s="775">
        <f t="shared" si="13"/>
        <v>100</v>
      </c>
      <c r="V45" s="774" t="s">
        <v>21</v>
      </c>
      <c r="W45" s="775">
        <f t="shared" si="14"/>
        <v>100</v>
      </c>
      <c r="X45" s="1816"/>
      <c r="Y45" s="326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300"/>
      <c r="Q46" s="1813">
        <f t="shared" si="11"/>
        <v>111</v>
      </c>
      <c r="R46" s="774" t="s">
        <v>20</v>
      </c>
      <c r="S46" s="775">
        <f t="shared" si="12"/>
        <v>100</v>
      </c>
      <c r="T46" s="774" t="s">
        <v>20</v>
      </c>
      <c r="U46" s="775">
        <f t="shared" si="13"/>
        <v>100</v>
      </c>
      <c r="V46" s="774" t="s">
        <v>20</v>
      </c>
      <c r="W46" s="775">
        <f t="shared" si="14"/>
        <v>100</v>
      </c>
      <c r="X46" s="1816"/>
      <c r="Y46" s="330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4"/>
      <c r="L47" s="1146"/>
      <c r="M47" s="1147"/>
      <c r="N47" s="1134"/>
      <c r="O47" s="1147"/>
      <c r="P47" s="3243" t="str">
        <f>A47</f>
        <v>成交单价（元/平方米）</v>
      </c>
      <c r="Q47" s="3243"/>
      <c r="R47" s="3297">
        <f>E47</f>
        <v>0</v>
      </c>
      <c r="S47" s="3297"/>
      <c r="T47" s="3297">
        <f>G47</f>
        <v>0</v>
      </c>
      <c r="U47" s="3297"/>
      <c r="V47" s="3297">
        <f>I47</f>
        <v>0</v>
      </c>
      <c r="W47" s="329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5"/>
      <c r="L48" s="1146"/>
      <c r="M48" s="1147"/>
      <c r="N48" s="1147"/>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6"/>
      <c r="L49" s="1146"/>
      <c r="M49" s="1147"/>
      <c r="N49" s="1147"/>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9"/>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2605</v>
      </c>
      <c r="D82" s="539" t="s">
        <v>2606</v>
      </c>
      <c r="E82" s="539" t="s">
        <v>2607</v>
      </c>
      <c r="F82" s="539" t="s">
        <v>2608</v>
      </c>
      <c r="G82" s="539" t="s">
        <v>2609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2564</v>
      </c>
      <c r="B100" s="528" t="s">
        <v>2613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7">
        <v>6</v>
      </c>
      <c r="C139" s="1088">
        <v>96</v>
      </c>
      <c r="D139" s="2651" t="s">
        <v>2632</v>
      </c>
      <c r="E139" s="1089">
        <v>100</v>
      </c>
      <c r="F139" s="1090">
        <v>102.5</v>
      </c>
      <c r="G139" s="2651" t="s">
        <v>2632</v>
      </c>
      <c r="H139" s="1091">
        <v>105</v>
      </c>
      <c r="I139" s="2652" t="s">
        <v>2633</v>
      </c>
      <c r="J139" s="1088">
        <v>20</v>
      </c>
      <c r="K139" s="1092">
        <f>C145/(J139-2)</f>
        <v>4.0555555555555553E-3</v>
      </c>
    </row>
    <row r="140" spans="1:17" ht="15">
      <c r="B140" s="1093">
        <v>5</v>
      </c>
      <c r="C140" s="1094">
        <v>100</v>
      </c>
      <c r="D140" s="1094"/>
      <c r="E140" s="1095"/>
      <c r="F140" s="1096">
        <v>102</v>
      </c>
      <c r="G140" s="1094"/>
      <c r="H140" s="1097"/>
      <c r="I140" s="2653" t="s">
        <v>2634</v>
      </c>
      <c r="J140" s="315">
        <f>ROUNDUP((J139-1)/2,0)</f>
        <v>10</v>
      </c>
      <c r="K140" s="1098">
        <v>100</v>
      </c>
    </row>
    <row r="141" spans="1:17" ht="15">
      <c r="B141" s="1093">
        <v>4</v>
      </c>
      <c r="C141" s="1094">
        <v>102</v>
      </c>
      <c r="D141" s="1094"/>
      <c r="E141" s="1095"/>
      <c r="F141" s="1096">
        <v>101.5</v>
      </c>
      <c r="G141" s="1094"/>
      <c r="H141" s="1097"/>
      <c r="I141" s="2653" t="s">
        <v>2635</v>
      </c>
      <c r="J141" s="315">
        <v>1</v>
      </c>
      <c r="K141" s="1099">
        <f>ROUND(100+(J141-J140)*K139*100,1)</f>
        <v>96.4</v>
      </c>
    </row>
    <row r="142" spans="1:17" ht="15">
      <c r="B142" s="1093">
        <v>3</v>
      </c>
      <c r="C142" s="1094">
        <v>103</v>
      </c>
      <c r="D142" s="1094"/>
      <c r="E142" s="1095"/>
      <c r="F142" s="1096">
        <v>101</v>
      </c>
      <c r="G142" s="1094"/>
      <c r="H142" s="1097"/>
      <c r="I142" s="2653" t="s">
        <v>2636</v>
      </c>
      <c r="J142" s="315">
        <f>J139</f>
        <v>20</v>
      </c>
      <c r="K142" s="1100">
        <v>95</v>
      </c>
    </row>
    <row r="143" spans="1:17" ht="15">
      <c r="B143" s="1093">
        <v>2</v>
      </c>
      <c r="C143" s="1094">
        <v>100</v>
      </c>
      <c r="D143" s="1094"/>
      <c r="E143" s="1095"/>
      <c r="F143" s="1096">
        <v>100.5</v>
      </c>
      <c r="G143" s="1094"/>
      <c r="H143" s="1097"/>
      <c r="I143" s="2653" t="s">
        <v>2637</v>
      </c>
      <c r="J143" s="1094">
        <v>15</v>
      </c>
      <c r="K143" s="1099">
        <f>ROUND(100+(J143-J140)*K139*100,1)</f>
        <v>102</v>
      </c>
    </row>
    <row r="144" spans="1:17" ht="15">
      <c r="B144" s="1093">
        <v>1</v>
      </c>
      <c r="C144" s="1094">
        <v>98</v>
      </c>
      <c r="D144" s="2654" t="s">
        <v>2638</v>
      </c>
      <c r="E144" s="1095">
        <v>102</v>
      </c>
      <c r="F144" s="1101">
        <v>100</v>
      </c>
      <c r="G144" s="2654" t="s">
        <v>2638</v>
      </c>
      <c r="H144" s="1097">
        <v>105</v>
      </c>
      <c r="I144" s="2653" t="s">
        <v>2637</v>
      </c>
      <c r="J144" s="1094">
        <v>18</v>
      </c>
      <c r="K144" s="1099">
        <f>ROUND(100+(J144-J140)*K139*100,1)</f>
        <v>103.2</v>
      </c>
    </row>
    <row r="145" spans="2:11" ht="15.75" thickBot="1">
      <c r="B145" s="2655" t="s">
        <v>2639</v>
      </c>
      <c r="C145" s="1102">
        <f>ROUND(MAX(C139:C144)/MIN(C139:C144)-1,3)</f>
        <v>7.2999999999999995E-2</v>
      </c>
      <c r="D145" s="1103"/>
      <c r="E145" s="1103"/>
      <c r="F145" s="2656" t="s">
        <v>2640</v>
      </c>
      <c r="G145" s="2657"/>
      <c r="H145" s="2658"/>
      <c r="I145" s="2659" t="s">
        <v>2637</v>
      </c>
      <c r="J145" s="1104">
        <v>8</v>
      </c>
      <c r="K145" s="1105">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2331</v>
      </c>
      <c r="B2" s="1421" t="e">
        <f ca="1">IF(C2="——",ROUND(C49*D3/10000,0),ROUND(C49*D3/10000,0)-D2)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2333</v>
      </c>
      <c r="B3" s="609" t="e">
        <f ca="1">IF(C2="——",C49,ROUND(B2*10000/D3,0))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56"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56"/>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56"/>
      <c r="AC6" s="3228"/>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2" t="s">
        <v>2561</v>
      </c>
      <c r="Q15" s="1813" t="str">
        <f t="shared" si="6"/>
        <v>商业繁华度</v>
      </c>
      <c r="R15" s="774" t="s">
        <v>17</v>
      </c>
      <c r="S15" s="775">
        <f t="shared" si="0"/>
        <v>100</v>
      </c>
      <c r="T15" s="774" t="s">
        <v>17</v>
      </c>
      <c r="U15" s="775">
        <f t="shared" si="1"/>
        <v>100</v>
      </c>
      <c r="V15" s="774" t="s">
        <v>17</v>
      </c>
      <c r="W15" s="775">
        <f t="shared" si="2"/>
        <v>100</v>
      </c>
      <c r="X15" s="1816"/>
      <c r="Y15" s="32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1814">
        <v>1</v>
      </c>
    </row>
    <row r="21" spans="1:29" ht="28.5">
      <c r="A21" s="428"/>
      <c r="B21" s="1387"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303"/>
      <c r="Q22" s="1813"/>
      <c r="R22" s="774"/>
      <c r="S22" s="775"/>
      <c r="T22" s="774"/>
      <c r="U22" s="775"/>
      <c r="V22" s="774"/>
      <c r="W22" s="775"/>
      <c r="X22" s="1816"/>
      <c r="Y22" s="3259"/>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3"/>
      <c r="Q23" s="1813" t="str">
        <f>B23</f>
        <v>自然及人文环境</v>
      </c>
      <c r="R23" s="774" t="s">
        <v>17</v>
      </c>
      <c r="S23" s="775">
        <f>F23</f>
        <v>100</v>
      </c>
      <c r="T23" s="774" t="s">
        <v>17</v>
      </c>
      <c r="U23" s="775">
        <f>H23</f>
        <v>100</v>
      </c>
      <c r="V23" s="774" t="s">
        <v>17</v>
      </c>
      <c r="W23" s="775">
        <f>J23</f>
        <v>100</v>
      </c>
      <c r="X23" s="1816"/>
      <c r="Y23" s="325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3"/>
      <c r="Q25" s="1813" t="str">
        <f t="shared" ref="Q25:Q46" si="11">B25</f>
        <v>临街状况</v>
      </c>
      <c r="R25" s="774" t="s">
        <v>17</v>
      </c>
      <c r="S25" s="775">
        <f>F25</f>
        <v>100</v>
      </c>
      <c r="T25" s="774" t="s">
        <v>17</v>
      </c>
      <c r="U25" s="775">
        <f>H25</f>
        <v>100</v>
      </c>
      <c r="V25" s="774" t="s">
        <v>17</v>
      </c>
      <c r="W25" s="775">
        <f>J25</f>
        <v>100</v>
      </c>
      <c r="X25" s="1816"/>
      <c r="Y25" s="32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3"/>
      <c r="Q26" s="1813" t="str">
        <f t="shared" si="11"/>
        <v>平面位置/可视性</v>
      </c>
      <c r="R26" s="774" t="s">
        <v>17</v>
      </c>
      <c r="S26" s="775">
        <f>F26</f>
        <v>100</v>
      </c>
      <c r="T26" s="774" t="s">
        <v>17</v>
      </c>
      <c r="U26" s="775">
        <f>H26</f>
        <v>100</v>
      </c>
      <c r="V26" s="774" t="s">
        <v>17</v>
      </c>
      <c r="W26" s="775">
        <f>J26</f>
        <v>100</v>
      </c>
      <c r="X26" s="1816"/>
      <c r="Y26" s="3259"/>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303"/>
      <c r="Q27" s="1798" t="str">
        <f t="shared" si="11"/>
        <v>人流量</v>
      </c>
      <c r="R27" s="770" t="s">
        <v>17</v>
      </c>
      <c r="S27" s="771">
        <f>F27</f>
        <v>100</v>
      </c>
      <c r="T27" s="770" t="s">
        <v>17</v>
      </c>
      <c r="U27" s="771">
        <f>H27</f>
        <v>100</v>
      </c>
      <c r="V27" s="770" t="s">
        <v>17</v>
      </c>
      <c r="W27" s="771">
        <f>J27</f>
        <v>100</v>
      </c>
      <c r="X27" s="772"/>
      <c r="Y27" s="32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3"/>
      <c r="Q29" s="1813">
        <f t="shared" si="11"/>
        <v>111</v>
      </c>
      <c r="R29" s="774" t="s">
        <v>17</v>
      </c>
      <c r="S29" s="775">
        <f t="shared" si="12"/>
        <v>100</v>
      </c>
      <c r="T29" s="774" t="s">
        <v>17</v>
      </c>
      <c r="U29" s="775">
        <f t="shared" si="13"/>
        <v>100</v>
      </c>
      <c r="V29" s="774" t="s">
        <v>17</v>
      </c>
      <c r="W29" s="775">
        <f t="shared" si="14"/>
        <v>100</v>
      </c>
      <c r="X29" s="1816"/>
      <c r="Y29" s="32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8" t="s">
        <v>2566</v>
      </c>
      <c r="Q32" s="1813" t="str">
        <f t="shared" si="11"/>
        <v>商业类型</v>
      </c>
      <c r="R32" s="774" t="s">
        <v>17</v>
      </c>
      <c r="S32" s="775">
        <f t="shared" si="12"/>
        <v>100</v>
      </c>
      <c r="T32" s="774" t="s">
        <v>17</v>
      </c>
      <c r="U32" s="775">
        <f t="shared" si="13"/>
        <v>100</v>
      </c>
      <c r="V32" s="774" t="s">
        <v>17</v>
      </c>
      <c r="W32" s="775">
        <f t="shared" si="14"/>
        <v>100</v>
      </c>
      <c r="X32" s="1816"/>
      <c r="Y32" s="326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9"/>
      <c r="Q34" s="1813" t="str">
        <f t="shared" si="11"/>
        <v>建筑结构</v>
      </c>
      <c r="R34" s="774" t="s">
        <v>17</v>
      </c>
      <c r="S34" s="775">
        <f t="shared" si="12"/>
        <v>100</v>
      </c>
      <c r="T34" s="774" t="s">
        <v>17</v>
      </c>
      <c r="U34" s="775">
        <f t="shared" si="13"/>
        <v>100</v>
      </c>
      <c r="V34" s="774" t="s">
        <v>17</v>
      </c>
      <c r="W34" s="775">
        <f t="shared" si="14"/>
        <v>100</v>
      </c>
      <c r="X34" s="1816"/>
      <c r="Y34" s="3261"/>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9"/>
      <c r="Q35" s="1813" t="str">
        <f t="shared" si="11"/>
        <v>公共部分装修</v>
      </c>
      <c r="R35" s="774" t="s">
        <v>17</v>
      </c>
      <c r="S35" s="775">
        <f t="shared" si="12"/>
        <v>100</v>
      </c>
      <c r="T35" s="774" t="s">
        <v>17</v>
      </c>
      <c r="U35" s="775">
        <f t="shared" si="13"/>
        <v>100</v>
      </c>
      <c r="V35" s="774" t="s">
        <v>17</v>
      </c>
      <c r="W35" s="775">
        <f t="shared" si="14"/>
        <v>100</v>
      </c>
      <c r="X35" s="1816"/>
      <c r="Y35" s="326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9"/>
      <c r="Q36" s="1813" t="str">
        <f t="shared" si="11"/>
        <v>成新度</v>
      </c>
      <c r="R36" s="774" t="s">
        <v>17</v>
      </c>
      <c r="S36" s="775" t="e">
        <f t="shared" si="12"/>
        <v>#N/A</v>
      </c>
      <c r="T36" s="774" t="s">
        <v>17</v>
      </c>
      <c r="U36" s="775" t="e">
        <f t="shared" si="13"/>
        <v>#N/A</v>
      </c>
      <c r="V36" s="774" t="s">
        <v>17</v>
      </c>
      <c r="W36" s="775" t="e">
        <f t="shared" si="14"/>
        <v>#N/A</v>
      </c>
      <c r="X36" s="1816"/>
      <c r="Y36" s="3261"/>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9"/>
      <c r="Q37" s="1798"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9" t="s">
        <v>2566</v>
      </c>
      <c r="Q38" s="1813" t="str">
        <f t="shared" si="11"/>
        <v>业态</v>
      </c>
      <c r="R38" s="774" t="s">
        <v>17</v>
      </c>
      <c r="S38" s="775">
        <f t="shared" si="12"/>
        <v>100</v>
      </c>
      <c r="T38" s="774" t="s">
        <v>17</v>
      </c>
      <c r="U38" s="775">
        <f t="shared" si="13"/>
        <v>100</v>
      </c>
      <c r="V38" s="774" t="s">
        <v>17</v>
      </c>
      <c r="W38" s="775">
        <f t="shared" si="14"/>
        <v>100</v>
      </c>
      <c r="X38" s="1816"/>
      <c r="Y38" s="3261"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9"/>
      <c r="Q39" s="1813" t="str">
        <f t="shared" si="11"/>
        <v>层高</v>
      </c>
      <c r="R39" s="774" t="s">
        <v>17</v>
      </c>
      <c r="S39" s="775">
        <f t="shared" si="12"/>
        <v>100</v>
      </c>
      <c r="T39" s="774" t="s">
        <v>17</v>
      </c>
      <c r="U39" s="775">
        <f t="shared" si="13"/>
        <v>100</v>
      </c>
      <c r="V39" s="774" t="s">
        <v>17</v>
      </c>
      <c r="W39" s="775">
        <f t="shared" si="14"/>
        <v>100</v>
      </c>
      <c r="X39" s="1816"/>
      <c r="Y39" s="326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9"/>
      <c r="Q40" s="1813" t="str">
        <f t="shared" si="11"/>
        <v>单套建筑面积</v>
      </c>
      <c r="R40" s="774" t="s">
        <v>17</v>
      </c>
      <c r="S40" s="775">
        <f t="shared" si="12"/>
        <v>100</v>
      </c>
      <c r="T40" s="774" t="s">
        <v>17</v>
      </c>
      <c r="U40" s="775">
        <f t="shared" si="13"/>
        <v>100</v>
      </c>
      <c r="V40" s="774" t="s">
        <v>17</v>
      </c>
      <c r="W40" s="775">
        <f t="shared" si="14"/>
        <v>100</v>
      </c>
      <c r="X40" s="1816"/>
      <c r="Y40" s="326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9"/>
      <c r="Q42" s="1813" t="str">
        <f t="shared" si="11"/>
        <v>内部装修</v>
      </c>
      <c r="R42" s="774" t="s">
        <v>17</v>
      </c>
      <c r="S42" s="775">
        <f t="shared" si="12"/>
        <v>100</v>
      </c>
      <c r="T42" s="774" t="s">
        <v>17</v>
      </c>
      <c r="U42" s="775">
        <f t="shared" si="13"/>
        <v>100</v>
      </c>
      <c r="V42" s="774" t="s">
        <v>17</v>
      </c>
      <c r="W42" s="775">
        <f t="shared" si="14"/>
        <v>100</v>
      </c>
      <c r="X42" s="1816"/>
      <c r="Y42" s="3261"/>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9"/>
      <c r="Q43" s="1813" t="str">
        <f t="shared" si="11"/>
        <v>内部装修维护情况</v>
      </c>
      <c r="R43" s="774" t="s">
        <v>17</v>
      </c>
      <c r="S43" s="775">
        <f t="shared" si="12"/>
        <v>100</v>
      </c>
      <c r="T43" s="774" t="s">
        <v>17</v>
      </c>
      <c r="U43" s="775">
        <f t="shared" si="13"/>
        <v>100</v>
      </c>
      <c r="V43" s="774" t="s">
        <v>17</v>
      </c>
      <c r="W43" s="775">
        <f t="shared" si="14"/>
        <v>100</v>
      </c>
      <c r="X43" s="1816"/>
      <c r="Y43" s="32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9"/>
      <c r="Q44" s="1798">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9"/>
      <c r="Q45" s="1813">
        <f t="shared" si="11"/>
        <v>111</v>
      </c>
      <c r="R45" s="774" t="s">
        <v>17</v>
      </c>
      <c r="S45" s="775">
        <f t="shared" si="12"/>
        <v>100</v>
      </c>
      <c r="T45" s="774" t="s">
        <v>17</v>
      </c>
      <c r="U45" s="775">
        <f t="shared" si="13"/>
        <v>100</v>
      </c>
      <c r="V45" s="774" t="s">
        <v>17</v>
      </c>
      <c r="W45" s="775">
        <f t="shared" si="14"/>
        <v>100</v>
      </c>
      <c r="X45" s="1816"/>
      <c r="Y45" s="326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0"/>
      <c r="Q46" s="1813">
        <f t="shared" si="11"/>
        <v>111</v>
      </c>
      <c r="R46" s="774" t="s">
        <v>17</v>
      </c>
      <c r="S46" s="775">
        <f t="shared" si="12"/>
        <v>100</v>
      </c>
      <c r="T46" s="774" t="s">
        <v>17</v>
      </c>
      <c r="U46" s="775">
        <f t="shared" si="13"/>
        <v>100</v>
      </c>
      <c r="V46" s="774" t="s">
        <v>17</v>
      </c>
      <c r="W46" s="775">
        <f t="shared" si="14"/>
        <v>100</v>
      </c>
      <c r="X46" s="1816"/>
      <c r="Y46" s="330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43" t="str">
        <f>A47</f>
        <v>成交单价（元/平方米）</v>
      </c>
      <c r="Q47" s="3243"/>
      <c r="R47" s="3256">
        <f>E47</f>
        <v>0</v>
      </c>
      <c r="S47" s="3256"/>
      <c r="T47" s="3256">
        <f>G47</f>
        <v>0</v>
      </c>
      <c r="U47" s="3256"/>
      <c r="V47" s="3256">
        <f>I47</f>
        <v>0</v>
      </c>
      <c r="W47" s="325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2564</v>
      </c>
      <c r="B100" s="528" t="s">
        <v>2682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2019年5月10日（评估专业人员实地查勘之日）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310" t="s">
        <v>2652</v>
      </c>
      <c r="Q4" s="3311"/>
      <c r="R4" s="3305" t="s">
        <v>2648</v>
      </c>
      <c r="S4" s="3306"/>
      <c r="T4" s="3305" t="s">
        <v>2649</v>
      </c>
      <c r="U4" s="3306"/>
      <c r="V4" s="3314" t="s">
        <v>2650</v>
      </c>
      <c r="W4" s="3314"/>
      <c r="X4" s="2673"/>
      <c r="Y4" s="3305" t="s">
        <v>2652</v>
      </c>
      <c r="Z4" s="3306"/>
      <c r="AA4" s="3304" t="s">
        <v>2648</v>
      </c>
      <c r="AB4" s="3304" t="s">
        <v>2649</v>
      </c>
      <c r="AC4" s="3307" t="s">
        <v>2650</v>
      </c>
    </row>
    <row r="5" spans="1:29" ht="15">
      <c r="A5" s="404"/>
      <c r="B5" s="405"/>
      <c r="C5" s="3237" t="s">
        <v>2543</v>
      </c>
      <c r="D5" s="3238"/>
      <c r="E5" s="3235" t="s">
        <v>2544</v>
      </c>
      <c r="F5" s="3236"/>
      <c r="G5" s="3237" t="s">
        <v>2545</v>
      </c>
      <c r="H5" s="3238"/>
      <c r="I5" s="3237" t="s">
        <v>2546</v>
      </c>
      <c r="J5" s="3238"/>
      <c r="K5" s="610"/>
      <c r="L5" s="1133"/>
      <c r="M5" s="1134"/>
      <c r="N5" s="1134"/>
      <c r="O5" s="1134"/>
      <c r="P5" s="3312"/>
      <c r="Q5" s="3251"/>
      <c r="R5" s="3233"/>
      <c r="S5" s="3234"/>
      <c r="T5" s="3233"/>
      <c r="U5" s="3234"/>
      <c r="V5" s="3256"/>
      <c r="W5" s="3256"/>
      <c r="X5" s="1816"/>
      <c r="Y5" s="3233"/>
      <c r="Z5" s="3234"/>
      <c r="AA5" s="3227"/>
      <c r="AB5" s="3227"/>
      <c r="AC5" s="3308"/>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313"/>
      <c r="Q6" s="3253"/>
      <c r="R6" s="3233"/>
      <c r="S6" s="3234"/>
      <c r="T6" s="3254"/>
      <c r="U6" s="3255"/>
      <c r="V6" s="3256"/>
      <c r="W6" s="3256"/>
      <c r="X6" s="1816"/>
      <c r="Y6" s="3254"/>
      <c r="Z6" s="3255"/>
      <c r="AA6" s="3228"/>
      <c r="AB6" s="3228"/>
      <c r="AC6" s="3309"/>
    </row>
    <row r="7" spans="1:29" s="117" customFormat="1" ht="15.75" thickBot="1">
      <c r="A7" s="408" t="s">
        <v>2549</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5"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5" t="s">
        <v>2553</v>
      </c>
      <c r="Q8" s="3230"/>
      <c r="R8" s="770" t="s">
        <v>17</v>
      </c>
      <c r="S8" s="771">
        <f t="shared" si="0"/>
        <v>0</v>
      </c>
      <c r="T8" s="770" t="s">
        <v>17</v>
      </c>
      <c r="U8" s="771">
        <f t="shared" si="1"/>
        <v>0</v>
      </c>
      <c r="V8" s="770" t="s">
        <v>17</v>
      </c>
      <c r="W8" s="771">
        <f t="shared" si="2"/>
        <v>0</v>
      </c>
      <c r="X8" s="772"/>
      <c r="Y8" s="3229" t="s">
        <v>2553</v>
      </c>
      <c r="Z8" s="3230"/>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7"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7"/>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7"/>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67"/>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67"/>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67"/>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2" t="s">
        <v>2561</v>
      </c>
      <c r="Q15" s="1813" t="str">
        <f t="shared" si="6"/>
        <v>办公集聚程度</v>
      </c>
      <c r="R15" s="774" t="s">
        <v>17</v>
      </c>
      <c r="S15" s="775">
        <f t="shared" si="0"/>
        <v>100</v>
      </c>
      <c r="T15" s="774" t="s">
        <v>17</v>
      </c>
      <c r="U15" s="775">
        <f t="shared" si="1"/>
        <v>100</v>
      </c>
      <c r="V15" s="774" t="s">
        <v>17</v>
      </c>
      <c r="W15" s="775">
        <f t="shared" si="2"/>
        <v>100</v>
      </c>
      <c r="X15" s="1816"/>
      <c r="Y15" s="3258"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303"/>
      <c r="Q16" s="1813"/>
      <c r="R16" s="774"/>
      <c r="S16" s="775"/>
      <c r="T16" s="774"/>
      <c r="U16" s="775"/>
      <c r="V16" s="774"/>
      <c r="W16" s="775"/>
      <c r="X16" s="1816"/>
      <c r="Y16" s="3259"/>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303"/>
      <c r="Q18" s="1813"/>
      <c r="R18" s="774"/>
      <c r="S18" s="775"/>
      <c r="T18" s="774"/>
      <c r="U18" s="775"/>
      <c r="V18" s="774"/>
      <c r="W18" s="775"/>
      <c r="X18" s="1816"/>
      <c r="Y18" s="3259"/>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303"/>
      <c r="Q20" s="1813"/>
      <c r="R20" s="774"/>
      <c r="S20" s="775"/>
      <c r="T20" s="774"/>
      <c r="U20" s="775"/>
      <c r="V20" s="774"/>
      <c r="W20" s="775"/>
      <c r="X20" s="1816"/>
      <c r="Y20" s="3259"/>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303"/>
      <c r="Q22" s="1813"/>
      <c r="R22" s="774"/>
      <c r="S22" s="775"/>
      <c r="T22" s="774"/>
      <c r="U22" s="775"/>
      <c r="V22" s="774"/>
      <c r="W22" s="775"/>
      <c r="X22" s="1816"/>
      <c r="Y22" s="3259"/>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3"/>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303"/>
      <c r="Q24" s="1813"/>
      <c r="R24" s="774"/>
      <c r="S24" s="775"/>
      <c r="T24" s="774"/>
      <c r="U24" s="775"/>
      <c r="V24" s="774"/>
      <c r="W24" s="775"/>
      <c r="X24" s="1816"/>
      <c r="Y24" s="3259"/>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303"/>
      <c r="Q25" s="1813" t="str">
        <f>B25</f>
        <v>毗邻道路的类型与等级</v>
      </c>
      <c r="R25" s="774" t="s">
        <v>17</v>
      </c>
      <c r="S25" s="775">
        <f>F25</f>
        <v>100</v>
      </c>
      <c r="T25" s="774" t="s">
        <v>17</v>
      </c>
      <c r="U25" s="775">
        <f>H25</f>
        <v>100</v>
      </c>
      <c r="V25" s="774" t="s">
        <v>17</v>
      </c>
      <c r="W25" s="775">
        <f>J25</f>
        <v>100</v>
      </c>
      <c r="X25" s="1816"/>
      <c r="Y25" s="3259"/>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303"/>
      <c r="Q26" s="1813"/>
      <c r="R26" s="774"/>
      <c r="S26" s="775"/>
      <c r="T26" s="774"/>
      <c r="U26" s="775"/>
      <c r="V26" s="774"/>
      <c r="W26" s="775"/>
      <c r="X26" s="1816"/>
      <c r="Y26" s="3259"/>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3"/>
      <c r="Q27" s="1813" t="str">
        <f t="shared" ref="Q27:Q47" si="11">B27</f>
        <v>楼层</v>
      </c>
      <c r="R27" s="774" t="s">
        <v>17</v>
      </c>
      <c r="S27" s="775">
        <f>F27</f>
        <v>100</v>
      </c>
      <c r="T27" s="774" t="s">
        <v>17</v>
      </c>
      <c r="U27" s="775">
        <f>H27</f>
        <v>100</v>
      </c>
      <c r="V27" s="774" t="s">
        <v>17</v>
      </c>
      <c r="W27" s="775">
        <f>J27</f>
        <v>100</v>
      </c>
      <c r="X27" s="1816"/>
      <c r="Y27" s="3259"/>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303"/>
      <c r="Q28" s="1798" t="str">
        <f t="shared" si="11"/>
        <v>朝向</v>
      </c>
      <c r="R28" s="770" t="s">
        <v>17</v>
      </c>
      <c r="S28" s="771">
        <f>F28</f>
        <v>100</v>
      </c>
      <c r="T28" s="770" t="s">
        <v>17</v>
      </c>
      <c r="U28" s="771">
        <f>H28</f>
        <v>100</v>
      </c>
      <c r="V28" s="770" t="s">
        <v>17</v>
      </c>
      <c r="W28" s="771">
        <f>J28</f>
        <v>100</v>
      </c>
      <c r="X28" s="772"/>
      <c r="Y28" s="325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303"/>
      <c r="Q29" s="1813">
        <f t="shared" si="11"/>
        <v>111</v>
      </c>
      <c r="R29" s="774" t="s">
        <v>17</v>
      </c>
      <c r="S29" s="775">
        <f t="shared" ref="S29:S47" si="12">F29</f>
        <v>100</v>
      </c>
      <c r="T29" s="774" t="s">
        <v>17</v>
      </c>
      <c r="U29" s="775">
        <f t="shared" ref="U29:U47" si="13">H29</f>
        <v>100</v>
      </c>
      <c r="V29" s="774" t="s">
        <v>17</v>
      </c>
      <c r="W29" s="775">
        <f t="shared" ref="W29:W47" si="14">J29</f>
        <v>100</v>
      </c>
      <c r="X29" s="1816"/>
      <c r="Y29" s="325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5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59"/>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303"/>
      <c r="Q32" s="1813">
        <f t="shared" si="11"/>
        <v>111</v>
      </c>
      <c r="R32" s="774" t="s">
        <v>17</v>
      </c>
      <c r="S32" s="775">
        <f t="shared" si="12"/>
        <v>100</v>
      </c>
      <c r="T32" s="774" t="s">
        <v>17</v>
      </c>
      <c r="U32" s="775">
        <f t="shared" si="13"/>
        <v>100</v>
      </c>
      <c r="V32" s="774" t="s">
        <v>17</v>
      </c>
      <c r="W32" s="775">
        <f t="shared" si="14"/>
        <v>100</v>
      </c>
      <c r="X32" s="1816"/>
      <c r="Y32" s="3259"/>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8" t="s">
        <v>2566</v>
      </c>
      <c r="Q33" s="1813" t="str">
        <f t="shared" si="11"/>
        <v>建筑类型</v>
      </c>
      <c r="R33" s="774" t="s">
        <v>17</v>
      </c>
      <c r="S33" s="775">
        <f t="shared" si="12"/>
        <v>100</v>
      </c>
      <c r="T33" s="774" t="s">
        <v>17</v>
      </c>
      <c r="U33" s="775">
        <f t="shared" si="13"/>
        <v>100</v>
      </c>
      <c r="V33" s="774" t="s">
        <v>17</v>
      </c>
      <c r="W33" s="775">
        <f t="shared" si="14"/>
        <v>100</v>
      </c>
      <c r="X33" s="1816"/>
      <c r="Y33" s="3261"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9"/>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9"/>
      <c r="Q35" s="1813" t="str">
        <f t="shared" si="11"/>
        <v>建筑结构</v>
      </c>
      <c r="R35" s="774" t="s">
        <v>17</v>
      </c>
      <c r="S35" s="775">
        <f t="shared" si="12"/>
        <v>100</v>
      </c>
      <c r="T35" s="774" t="s">
        <v>17</v>
      </c>
      <c r="U35" s="775">
        <f t="shared" si="13"/>
        <v>100</v>
      </c>
      <c r="V35" s="774" t="s">
        <v>17</v>
      </c>
      <c r="W35" s="775">
        <f t="shared" si="14"/>
        <v>100</v>
      </c>
      <c r="X35" s="1816"/>
      <c r="Y35" s="3261"/>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9"/>
      <c r="Q36" s="1813" t="str">
        <f t="shared" si="11"/>
        <v>公共部分装修</v>
      </c>
      <c r="R36" s="774" t="s">
        <v>17</v>
      </c>
      <c r="S36" s="775">
        <f t="shared" si="12"/>
        <v>100</v>
      </c>
      <c r="T36" s="774" t="s">
        <v>17</v>
      </c>
      <c r="U36" s="775">
        <f t="shared" si="13"/>
        <v>100</v>
      </c>
      <c r="V36" s="774" t="s">
        <v>17</v>
      </c>
      <c r="W36" s="775">
        <f t="shared" si="14"/>
        <v>100</v>
      </c>
      <c r="X36" s="1816"/>
      <c r="Y36" s="3261"/>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9"/>
      <c r="Q37" s="1813" t="str">
        <f t="shared" si="11"/>
        <v>成新度</v>
      </c>
      <c r="R37" s="774" t="s">
        <v>17</v>
      </c>
      <c r="S37" s="775" t="e">
        <f t="shared" si="12"/>
        <v>#N/A</v>
      </c>
      <c r="T37" s="774" t="s">
        <v>17</v>
      </c>
      <c r="U37" s="775" t="e">
        <f t="shared" si="13"/>
        <v>#N/A</v>
      </c>
      <c r="V37" s="774" t="s">
        <v>17</v>
      </c>
      <c r="W37" s="775" t="e">
        <f t="shared" si="14"/>
        <v>#N/A</v>
      </c>
      <c r="X37" s="1816"/>
      <c r="Y37" s="3261"/>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9"/>
      <c r="Q38" s="1798"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9" t="s">
        <v>2566</v>
      </c>
      <c r="Q39" s="1813" t="str">
        <f t="shared" si="11"/>
        <v>物业管理</v>
      </c>
      <c r="R39" s="774" t="s">
        <v>17</v>
      </c>
      <c r="S39" s="775">
        <f t="shared" si="12"/>
        <v>100</v>
      </c>
      <c r="T39" s="774" t="s">
        <v>17</v>
      </c>
      <c r="U39" s="775">
        <f t="shared" si="13"/>
        <v>100</v>
      </c>
      <c r="V39" s="774" t="s">
        <v>17</v>
      </c>
      <c r="W39" s="775">
        <f t="shared" si="14"/>
        <v>100</v>
      </c>
      <c r="X39" s="1816"/>
      <c r="Y39" s="3261"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9"/>
      <c r="Q40" s="1813" t="str">
        <f t="shared" si="11"/>
        <v>市政基础设施</v>
      </c>
      <c r="R40" s="774" t="s">
        <v>17</v>
      </c>
      <c r="S40" s="775">
        <f t="shared" si="12"/>
        <v>100</v>
      </c>
      <c r="T40" s="774" t="s">
        <v>17</v>
      </c>
      <c r="U40" s="775">
        <f t="shared" si="13"/>
        <v>100</v>
      </c>
      <c r="V40" s="774" t="s">
        <v>17</v>
      </c>
      <c r="W40" s="775">
        <f t="shared" si="14"/>
        <v>100</v>
      </c>
      <c r="X40" s="1816"/>
      <c r="Y40" s="3261"/>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9"/>
      <c r="Q41" s="1813" t="str">
        <f t="shared" si="11"/>
        <v>层高</v>
      </c>
      <c r="R41" s="774" t="s">
        <v>17</v>
      </c>
      <c r="S41" s="775">
        <f t="shared" si="12"/>
        <v>100</v>
      </c>
      <c r="T41" s="774" t="s">
        <v>17</v>
      </c>
      <c r="U41" s="775">
        <f t="shared" si="13"/>
        <v>100</v>
      </c>
      <c r="V41" s="774" t="s">
        <v>17</v>
      </c>
      <c r="W41" s="775">
        <f t="shared" si="14"/>
        <v>100</v>
      </c>
      <c r="X41" s="1816"/>
      <c r="Y41" s="3261"/>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9"/>
      <c r="Q43" s="1813" t="str">
        <f t="shared" si="11"/>
        <v>内部装修</v>
      </c>
      <c r="R43" s="774" t="s">
        <v>17</v>
      </c>
      <c r="S43" s="775">
        <f t="shared" si="12"/>
        <v>100</v>
      </c>
      <c r="T43" s="774" t="s">
        <v>17</v>
      </c>
      <c r="U43" s="775">
        <f t="shared" si="13"/>
        <v>100</v>
      </c>
      <c r="V43" s="774" t="s">
        <v>17</v>
      </c>
      <c r="W43" s="775">
        <f t="shared" si="14"/>
        <v>100</v>
      </c>
      <c r="X43" s="1816"/>
      <c r="Y43" s="3261"/>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9"/>
      <c r="Q44" s="1813" t="str">
        <f t="shared" si="11"/>
        <v>内部装修维护情况</v>
      </c>
      <c r="R44" s="774" t="s">
        <v>17</v>
      </c>
      <c r="S44" s="775">
        <f t="shared" si="12"/>
        <v>100</v>
      </c>
      <c r="T44" s="774" t="s">
        <v>17</v>
      </c>
      <c r="U44" s="775">
        <f t="shared" si="13"/>
        <v>100</v>
      </c>
      <c r="V44" s="774" t="s">
        <v>17</v>
      </c>
      <c r="W44" s="775">
        <f t="shared" si="14"/>
        <v>100</v>
      </c>
      <c r="X44" s="1816"/>
      <c r="Y44" s="326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9"/>
      <c r="Q45" s="1798">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9"/>
      <c r="Q46" s="1813">
        <f t="shared" si="11"/>
        <v>111</v>
      </c>
      <c r="R46" s="774" t="s">
        <v>17</v>
      </c>
      <c r="S46" s="775">
        <f t="shared" si="12"/>
        <v>100</v>
      </c>
      <c r="T46" s="774" t="s">
        <v>17</v>
      </c>
      <c r="U46" s="775">
        <f t="shared" si="13"/>
        <v>100</v>
      </c>
      <c r="V46" s="774" t="s">
        <v>17</v>
      </c>
      <c r="W46" s="775">
        <f t="shared" si="14"/>
        <v>100</v>
      </c>
      <c r="X46" s="1816"/>
      <c r="Y46" s="326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0"/>
      <c r="Q47" s="1813">
        <f t="shared" si="11"/>
        <v>111</v>
      </c>
      <c r="R47" s="774" t="s">
        <v>17</v>
      </c>
      <c r="S47" s="775">
        <f t="shared" si="12"/>
        <v>100</v>
      </c>
      <c r="T47" s="774" t="s">
        <v>17</v>
      </c>
      <c r="U47" s="775">
        <f t="shared" si="13"/>
        <v>100</v>
      </c>
      <c r="V47" s="774" t="s">
        <v>17</v>
      </c>
      <c r="W47" s="775">
        <f t="shared" si="14"/>
        <v>100</v>
      </c>
      <c r="X47" s="1816"/>
      <c r="Y47" s="3301"/>
      <c r="Z47" s="1817">
        <f t="shared" si="15"/>
        <v>111</v>
      </c>
      <c r="AA47" s="1814">
        <f t="shared" si="3"/>
        <v>1</v>
      </c>
      <c r="AB47" s="1814">
        <f t="shared" si="4"/>
        <v>1</v>
      </c>
      <c r="AC47" s="2677">
        <f t="shared" si="5"/>
        <v>1</v>
      </c>
    </row>
    <row r="48" spans="1:29" ht="15">
      <c r="A48" s="479" t="s">
        <v>2578</v>
      </c>
      <c r="B48" s="480"/>
      <c r="C48" s="1410" t="s">
        <v>1</v>
      </c>
      <c r="D48" s="1411"/>
      <c r="E48" s="1412"/>
      <c r="F48" s="1413"/>
      <c r="G48" s="1414"/>
      <c r="H48" s="1415"/>
      <c r="I48" s="1412"/>
      <c r="J48" s="485"/>
      <c r="K48" s="783"/>
      <c r="L48" s="1146"/>
      <c r="M48" s="1134"/>
      <c r="N48" s="1134"/>
      <c r="O48" s="1134"/>
      <c r="P48" s="3267" t="str">
        <f>A48</f>
        <v>成交单价（元/平方米）</v>
      </c>
      <c r="Q48" s="3243"/>
      <c r="R48" s="3297">
        <f>E48</f>
        <v>0</v>
      </c>
      <c r="S48" s="3297"/>
      <c r="T48" s="3297">
        <f>G48</f>
        <v>0</v>
      </c>
      <c r="U48" s="3297"/>
      <c r="V48" s="3297">
        <f>I48</f>
        <v>0</v>
      </c>
      <c r="W48" s="329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67" t="str">
        <f>A49</f>
        <v>比较价值（元/平方米）</v>
      </c>
      <c r="Q49" s="3243"/>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16" t="str">
        <f>A50</f>
        <v>估价对象XX用房的比较价值（楼面单价，元/平方米）</v>
      </c>
      <c r="Q50" s="3317"/>
      <c r="R50" s="3318" t="e">
        <f>IF(F1="售价",ROUND(AVERAGE(R49:V49),0),ROUND(AVERAGE(R49:V49),1))</f>
        <v>#DIV/0!</v>
      </c>
      <c r="S50" s="3318"/>
      <c r="T50" s="3318"/>
      <c r="U50" s="3318"/>
      <c r="V50" s="3318"/>
      <c r="W50" s="331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4"/>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2589</v>
      </c>
      <c r="B64" s="528" t="s">
        <v>2555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2564</v>
      </c>
      <c r="B101" s="528" t="s">
        <v>2613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89"/>
      <c r="D2" s="1127"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97185.05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59"/>
      <c r="Q18" s="1813"/>
      <c r="R18" s="774"/>
      <c r="S18" s="775"/>
      <c r="T18" s="774"/>
      <c r="U18" s="775"/>
      <c r="V18" s="774"/>
      <c r="W18" s="775"/>
      <c r="X18" s="1816"/>
      <c r="Y18" s="3259"/>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9"/>
      <c r="Q19" s="1813" t="str">
        <f>B19</f>
        <v>公共配套设施</v>
      </c>
      <c r="R19" s="774" t="s">
        <v>17</v>
      </c>
      <c r="S19" s="775">
        <f>F19</f>
        <v>100</v>
      </c>
      <c r="T19" s="774" t="s">
        <v>17</v>
      </c>
      <c r="U19" s="775">
        <f>H19</f>
        <v>100</v>
      </c>
      <c r="V19" s="774" t="s">
        <v>17</v>
      </c>
      <c r="W19" s="775">
        <f>J19</f>
        <v>100</v>
      </c>
      <c r="X19" s="1816"/>
      <c r="Y19" s="325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59"/>
      <c r="Q20" s="1813"/>
      <c r="R20" s="774"/>
      <c r="S20" s="775"/>
      <c r="T20" s="774"/>
      <c r="U20" s="775"/>
      <c r="V20" s="774"/>
      <c r="W20" s="775"/>
      <c r="X20" s="1816"/>
      <c r="Y20" s="3259"/>
      <c r="Z20" s="1817"/>
      <c r="AA20" s="1814">
        <v>1</v>
      </c>
      <c r="AB20" s="1814">
        <v>1</v>
      </c>
      <c r="AC20" s="1814">
        <v>1</v>
      </c>
    </row>
    <row r="21" spans="1:29" ht="28.5">
      <c r="A21" s="428"/>
      <c r="B21" s="1387"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9"/>
      <c r="Q21" s="1813" t="str">
        <f>B21</f>
        <v>基础设施水平</v>
      </c>
      <c r="R21" s="774" t="s">
        <v>17</v>
      </c>
      <c r="S21" s="775">
        <f>F21</f>
        <v>100</v>
      </c>
      <c r="T21" s="774" t="s">
        <v>17</v>
      </c>
      <c r="U21" s="775">
        <f>H21</f>
        <v>100</v>
      </c>
      <c r="V21" s="774" t="s">
        <v>17</v>
      </c>
      <c r="W21" s="775">
        <f>J21</f>
        <v>100</v>
      </c>
      <c r="X21" s="1816"/>
      <c r="Y21" s="325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59"/>
      <c r="Q22" s="1813"/>
      <c r="R22" s="774"/>
      <c r="S22" s="775"/>
      <c r="T22" s="774"/>
      <c r="U22" s="775"/>
      <c r="V22" s="774"/>
      <c r="W22" s="775"/>
      <c r="X22" s="1816"/>
      <c r="Y22" s="3259"/>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9"/>
      <c r="Q23" s="1813" t="str">
        <f>B23</f>
        <v>环境质量</v>
      </c>
      <c r="R23" s="774" t="s">
        <v>17</v>
      </c>
      <c r="S23" s="775">
        <f>F23</f>
        <v>100</v>
      </c>
      <c r="T23" s="774" t="s">
        <v>17</v>
      </c>
      <c r="U23" s="775">
        <f>H23</f>
        <v>100</v>
      </c>
      <c r="V23" s="774" t="s">
        <v>17</v>
      </c>
      <c r="W23" s="775">
        <f>J23</f>
        <v>100</v>
      </c>
      <c r="X23" s="1816"/>
      <c r="Y23" s="3259"/>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59"/>
      <c r="Q24" s="1813"/>
      <c r="R24" s="774"/>
      <c r="S24" s="775"/>
      <c r="T24" s="774"/>
      <c r="U24" s="775"/>
      <c r="V24" s="774"/>
      <c r="W24" s="775"/>
      <c r="X24" s="1816"/>
      <c r="Y24" s="32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9"/>
      <c r="Q25" s="1813">
        <f>B25</f>
        <v>111</v>
      </c>
      <c r="R25" s="774" t="s">
        <v>17</v>
      </c>
      <c r="S25" s="775">
        <f>F25</f>
        <v>100</v>
      </c>
      <c r="T25" s="774" t="s">
        <v>17</v>
      </c>
      <c r="U25" s="775">
        <f>H25</f>
        <v>100</v>
      </c>
      <c r="V25" s="774" t="s">
        <v>17</v>
      </c>
      <c r="W25" s="775">
        <f>J25</f>
        <v>100</v>
      </c>
      <c r="X25" s="1816"/>
      <c r="Y25" s="32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9"/>
      <c r="Q26" s="1813">
        <f t="shared" ref="Q26:Q40" si="11">B26</f>
        <v>111</v>
      </c>
      <c r="R26" s="774" t="s">
        <v>17</v>
      </c>
      <c r="S26" s="775">
        <f>F26</f>
        <v>100</v>
      </c>
      <c r="T26" s="774" t="s">
        <v>17</v>
      </c>
      <c r="U26" s="775">
        <f>H26</f>
        <v>100</v>
      </c>
      <c r="V26" s="774" t="s">
        <v>17</v>
      </c>
      <c r="W26" s="775">
        <f>J26</f>
        <v>100</v>
      </c>
      <c r="X26" s="1816"/>
      <c r="Y26" s="32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9"/>
      <c r="Q27" s="1798">
        <f t="shared" si="11"/>
        <v>111</v>
      </c>
      <c r="R27" s="770" t="s">
        <v>17</v>
      </c>
      <c r="S27" s="771">
        <f>F27</f>
        <v>100</v>
      </c>
      <c r="T27" s="770" t="s">
        <v>17</v>
      </c>
      <c r="U27" s="771">
        <f>H27</f>
        <v>100</v>
      </c>
      <c r="V27" s="770" t="s">
        <v>17</v>
      </c>
      <c r="W27" s="771">
        <f>J27</f>
        <v>100</v>
      </c>
      <c r="X27" s="772"/>
      <c r="Y27" s="32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9"/>
      <c r="Q28" s="1813">
        <f t="shared" si="11"/>
        <v>111</v>
      </c>
      <c r="R28" s="774" t="s">
        <v>17</v>
      </c>
      <c r="S28" s="775">
        <f t="shared" ref="S28:S40" si="12">F28</f>
        <v>100</v>
      </c>
      <c r="T28" s="774" t="s">
        <v>17</v>
      </c>
      <c r="U28" s="775">
        <f t="shared" ref="U28:U40" si="13">H28</f>
        <v>100</v>
      </c>
      <c r="V28" s="774" t="s">
        <v>17</v>
      </c>
      <c r="W28" s="775">
        <f t="shared" ref="W28:W40" si="14">J28</f>
        <v>100</v>
      </c>
      <c r="X28" s="1816"/>
      <c r="Y28" s="3259"/>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0" t="s">
        <v>2566</v>
      </c>
      <c r="Q29" s="1813" t="str">
        <f t="shared" si="11"/>
        <v>建筑类型</v>
      </c>
      <c r="R29" s="774" t="s">
        <v>17</v>
      </c>
      <c r="S29" s="775">
        <f t="shared" si="12"/>
        <v>100</v>
      </c>
      <c r="T29" s="774" t="s">
        <v>17</v>
      </c>
      <c r="U29" s="775">
        <f t="shared" si="13"/>
        <v>100</v>
      </c>
      <c r="V29" s="774" t="s">
        <v>17</v>
      </c>
      <c r="W29" s="775">
        <f t="shared" si="14"/>
        <v>100</v>
      </c>
      <c r="X29" s="1816"/>
      <c r="Y29" s="326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1"/>
      <c r="Q31" s="1813" t="str">
        <f t="shared" si="11"/>
        <v>建筑结构</v>
      </c>
      <c r="R31" s="774" t="s">
        <v>17</v>
      </c>
      <c r="S31" s="775">
        <f t="shared" si="12"/>
        <v>100</v>
      </c>
      <c r="T31" s="774" t="s">
        <v>17</v>
      </c>
      <c r="U31" s="775">
        <f t="shared" si="13"/>
        <v>100</v>
      </c>
      <c r="V31" s="774" t="s">
        <v>17</v>
      </c>
      <c r="W31" s="775">
        <f t="shared" si="14"/>
        <v>100</v>
      </c>
      <c r="X31" s="1816"/>
      <c r="Y31" s="326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1"/>
      <c r="Q32" s="1813" t="str">
        <f t="shared" si="11"/>
        <v>公共部分装修</v>
      </c>
      <c r="R32" s="774" t="s">
        <v>17</v>
      </c>
      <c r="S32" s="775">
        <f t="shared" si="12"/>
        <v>100</v>
      </c>
      <c r="T32" s="774" t="s">
        <v>17</v>
      </c>
      <c r="U32" s="775">
        <f t="shared" si="13"/>
        <v>100</v>
      </c>
      <c r="V32" s="774" t="s">
        <v>17</v>
      </c>
      <c r="W32" s="775">
        <f t="shared" si="14"/>
        <v>100</v>
      </c>
      <c r="X32" s="1816"/>
      <c r="Y32" s="326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1"/>
      <c r="Q33" s="1813" t="str">
        <f t="shared" si="11"/>
        <v>成新度</v>
      </c>
      <c r="R33" s="774" t="s">
        <v>17</v>
      </c>
      <c r="S33" s="775" t="e">
        <f t="shared" si="12"/>
        <v>#N/A</v>
      </c>
      <c r="T33" s="774" t="s">
        <v>17</v>
      </c>
      <c r="U33" s="775" t="e">
        <f t="shared" si="13"/>
        <v>#N/A</v>
      </c>
      <c r="V33" s="774" t="s">
        <v>17</v>
      </c>
      <c r="W33" s="775" t="e">
        <f t="shared" si="14"/>
        <v>#N/A</v>
      </c>
      <c r="X33" s="1816"/>
      <c r="Y33" s="326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1"/>
      <c r="Q34" s="1798"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1" t="s">
        <v>2566</v>
      </c>
      <c r="Q35" s="1813" t="str">
        <f t="shared" si="11"/>
        <v>市政基础设施</v>
      </c>
      <c r="R35" s="774" t="s">
        <v>17</v>
      </c>
      <c r="S35" s="775">
        <f t="shared" si="12"/>
        <v>100</v>
      </c>
      <c r="T35" s="774" t="s">
        <v>17</v>
      </c>
      <c r="U35" s="775">
        <f t="shared" si="13"/>
        <v>100</v>
      </c>
      <c r="V35" s="774" t="s">
        <v>17</v>
      </c>
      <c r="W35" s="775">
        <f t="shared" si="14"/>
        <v>100</v>
      </c>
      <c r="X35" s="1816"/>
      <c r="Y35" s="326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1"/>
      <c r="Q36" s="1813" t="str">
        <f t="shared" si="11"/>
        <v>内部装修</v>
      </c>
      <c r="R36" s="774" t="s">
        <v>17</v>
      </c>
      <c r="S36" s="775">
        <f t="shared" si="12"/>
        <v>100</v>
      </c>
      <c r="T36" s="774" t="s">
        <v>17</v>
      </c>
      <c r="U36" s="775">
        <f t="shared" si="13"/>
        <v>100</v>
      </c>
      <c r="V36" s="774" t="s">
        <v>17</v>
      </c>
      <c r="W36" s="775">
        <f t="shared" si="14"/>
        <v>100</v>
      </c>
      <c r="X36" s="1816"/>
      <c r="Y36" s="326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1"/>
      <c r="Q37" s="1813" t="str">
        <f t="shared" si="11"/>
        <v>内部装修状况</v>
      </c>
      <c r="R37" s="774" t="s">
        <v>17</v>
      </c>
      <c r="S37" s="775">
        <f t="shared" si="12"/>
        <v>100</v>
      </c>
      <c r="T37" s="774" t="s">
        <v>17</v>
      </c>
      <c r="U37" s="775">
        <f t="shared" si="13"/>
        <v>100</v>
      </c>
      <c r="V37" s="774" t="s">
        <v>17</v>
      </c>
      <c r="W37" s="775">
        <f t="shared" si="14"/>
        <v>100</v>
      </c>
      <c r="X37" s="1816"/>
      <c r="Y37" s="32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1"/>
      <c r="Q39" s="1813">
        <f t="shared" si="11"/>
        <v>111</v>
      </c>
      <c r="R39" s="774" t="s">
        <v>17</v>
      </c>
      <c r="S39" s="775">
        <f t="shared" si="12"/>
        <v>100</v>
      </c>
      <c r="T39" s="774" t="s">
        <v>17</v>
      </c>
      <c r="U39" s="775">
        <f t="shared" si="13"/>
        <v>100</v>
      </c>
      <c r="V39" s="774" t="s">
        <v>17</v>
      </c>
      <c r="W39" s="775">
        <f t="shared" si="14"/>
        <v>100</v>
      </c>
      <c r="X39" s="1816"/>
      <c r="Y39" s="326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1"/>
      <c r="Q40" s="1813">
        <f t="shared" si="11"/>
        <v>111</v>
      </c>
      <c r="R40" s="774" t="s">
        <v>17</v>
      </c>
      <c r="S40" s="775">
        <f t="shared" si="12"/>
        <v>100</v>
      </c>
      <c r="T40" s="774" t="s">
        <v>17</v>
      </c>
      <c r="U40" s="775">
        <f t="shared" si="13"/>
        <v>100</v>
      </c>
      <c r="V40" s="774" t="s">
        <v>17</v>
      </c>
      <c r="W40" s="775">
        <f t="shared" si="14"/>
        <v>100</v>
      </c>
      <c r="X40" s="1816"/>
      <c r="Y40" s="330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43" t="str">
        <f>A41</f>
        <v>成交单价（元/平方米）</v>
      </c>
      <c r="Q41" s="3243"/>
      <c r="R41" s="3297">
        <f>E41</f>
        <v>0</v>
      </c>
      <c r="S41" s="3297"/>
      <c r="T41" s="3297">
        <f>G41</f>
        <v>0</v>
      </c>
      <c r="U41" s="3297"/>
      <c r="V41" s="3297">
        <f>I41</f>
        <v>0</v>
      </c>
      <c r="W41" s="329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96" t="e">
        <f>IF(F1="售价",ROUND(AVERAGE(R42:V42),0),ROUND(AVERAGE(R42:V42),1))</f>
        <v>#DIV/0!</v>
      </c>
      <c r="S43" s="3296"/>
      <c r="T43" s="3296"/>
      <c r="U43" s="3296"/>
      <c r="V43" s="3296"/>
      <c r="W43" s="32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9"/>
      <c r="Q15" s="1813"/>
      <c r="R15" s="774"/>
      <c r="S15" s="775"/>
      <c r="T15" s="774"/>
      <c r="U15" s="775"/>
      <c r="V15" s="774"/>
      <c r="W15" s="775"/>
      <c r="X15" s="1816"/>
      <c r="Y15" s="3259"/>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59"/>
      <c r="Q17" s="1813"/>
      <c r="R17" s="774"/>
      <c r="S17" s="775"/>
      <c r="T17" s="774"/>
      <c r="U17" s="775"/>
      <c r="V17" s="774"/>
      <c r="W17" s="775"/>
      <c r="X17" s="1816"/>
      <c r="Y17" s="3259"/>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59"/>
      <c r="Q19" s="1813"/>
      <c r="R19" s="774"/>
      <c r="S19" s="775"/>
      <c r="T19" s="774"/>
      <c r="U19" s="775"/>
      <c r="V19" s="774"/>
      <c r="W19" s="775"/>
      <c r="X19" s="1816"/>
      <c r="Y19" s="3259"/>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9"/>
      <c r="Q21" s="1813"/>
      <c r="R21" s="774"/>
      <c r="S21" s="775"/>
      <c r="T21" s="774"/>
      <c r="U21" s="775"/>
      <c r="V21" s="774"/>
      <c r="W21" s="775"/>
      <c r="X21" s="1816"/>
      <c r="Y21" s="32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9"/>
      <c r="Q24" s="1813">
        <f t="shared" ref="Q24:Q36"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1"/>
      <c r="Q28" s="1813" t="str">
        <f t="shared" si="11"/>
        <v>公共部分装修</v>
      </c>
      <c r="R28" s="774" t="s">
        <v>17</v>
      </c>
      <c r="S28" s="775">
        <f t="shared" si="12"/>
        <v>100</v>
      </c>
      <c r="T28" s="774" t="s">
        <v>17</v>
      </c>
      <c r="U28" s="775">
        <f t="shared" si="13"/>
        <v>100</v>
      </c>
      <c r="V28" s="774" t="s">
        <v>17</v>
      </c>
      <c r="W28" s="775">
        <f t="shared" si="14"/>
        <v>100</v>
      </c>
      <c r="X28" s="1816"/>
      <c r="Y28" s="326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1"/>
      <c r="Q29" s="1813" t="str">
        <f t="shared" si="11"/>
        <v>成新率</v>
      </c>
      <c r="R29" s="774" t="s">
        <v>17</v>
      </c>
      <c r="S29" s="775" t="e">
        <f t="shared" si="12"/>
        <v>#N/A</v>
      </c>
      <c r="T29" s="774" t="s">
        <v>17</v>
      </c>
      <c r="U29" s="775" t="e">
        <f t="shared" si="13"/>
        <v>#N/A</v>
      </c>
      <c r="V29" s="774" t="s">
        <v>17</v>
      </c>
      <c r="W29" s="775" t="e">
        <f t="shared" si="14"/>
        <v>#N/A</v>
      </c>
      <c r="X29" s="1816"/>
      <c r="Y29" s="326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1"/>
      <c r="Q30" s="1813" t="str">
        <f t="shared" si="11"/>
        <v>物业等级</v>
      </c>
      <c r="R30" s="774" t="s">
        <v>17</v>
      </c>
      <c r="S30" s="775">
        <f t="shared" si="12"/>
        <v>100</v>
      </c>
      <c r="T30" s="774" t="s">
        <v>17</v>
      </c>
      <c r="U30" s="775">
        <f t="shared" si="13"/>
        <v>100</v>
      </c>
      <c r="V30" s="774" t="s">
        <v>17</v>
      </c>
      <c r="W30" s="775">
        <f t="shared" si="14"/>
        <v>100</v>
      </c>
      <c r="X30" s="1816"/>
      <c r="Y30" s="326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1"/>
      <c r="Q31" s="1798"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1" t="s">
        <v>2566</v>
      </c>
      <c r="Q32" s="1813" t="str">
        <f t="shared" si="11"/>
        <v>车位类型</v>
      </c>
      <c r="R32" s="774" t="s">
        <v>17</v>
      </c>
      <c r="S32" s="775">
        <f t="shared" si="12"/>
        <v>100</v>
      </c>
      <c r="T32" s="774" t="s">
        <v>17</v>
      </c>
      <c r="U32" s="775">
        <f t="shared" si="13"/>
        <v>100</v>
      </c>
      <c r="V32" s="774" t="s">
        <v>17</v>
      </c>
      <c r="W32" s="775">
        <f t="shared" si="14"/>
        <v>100</v>
      </c>
      <c r="X32" s="1816"/>
      <c r="Y32" s="326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1"/>
      <c r="Q33" s="1813" t="str">
        <f t="shared" si="11"/>
        <v>是否直接入户</v>
      </c>
      <c r="R33" s="774" t="s">
        <v>17</v>
      </c>
      <c r="S33" s="775">
        <f t="shared" si="12"/>
        <v>100</v>
      </c>
      <c r="T33" s="774" t="s">
        <v>17</v>
      </c>
      <c r="U33" s="775">
        <f t="shared" si="13"/>
        <v>100</v>
      </c>
      <c r="V33" s="774" t="s">
        <v>17</v>
      </c>
      <c r="W33" s="775">
        <f t="shared" si="14"/>
        <v>100</v>
      </c>
      <c r="X33" s="1816"/>
      <c r="Y33" s="32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1"/>
      <c r="Q36" s="1813">
        <f t="shared" si="11"/>
        <v>111</v>
      </c>
      <c r="R36" s="774" t="s">
        <v>17</v>
      </c>
      <c r="S36" s="775">
        <f t="shared" si="12"/>
        <v>100</v>
      </c>
      <c r="T36" s="774" t="s">
        <v>17</v>
      </c>
      <c r="U36" s="775">
        <f t="shared" si="13"/>
        <v>100</v>
      </c>
      <c r="V36" s="774" t="s">
        <v>17</v>
      </c>
      <c r="W36" s="775">
        <f t="shared" si="14"/>
        <v>100</v>
      </c>
      <c r="X36" s="1816"/>
      <c r="Y36" s="3261"/>
      <c r="Z36" s="1817">
        <f t="shared" si="15"/>
        <v>111</v>
      </c>
      <c r="AA36" s="1814">
        <f t="shared" si="3"/>
        <v>1</v>
      </c>
      <c r="AB36" s="1814">
        <f t="shared" si="4"/>
        <v>1</v>
      </c>
      <c r="AC36" s="1814">
        <f t="shared" si="5"/>
        <v>1</v>
      </c>
    </row>
    <row r="37" spans="1:29" ht="15">
      <c r="A37" s="479" t="s">
        <v>2721</v>
      </c>
      <c r="B37" s="2698" t="s">
        <v>2722</v>
      </c>
      <c r="C37" s="1410" t="s">
        <v>1</v>
      </c>
      <c r="D37" s="1411"/>
      <c r="E37" s="1412"/>
      <c r="F37" s="1413"/>
      <c r="G37" s="1414"/>
      <c r="H37" s="1415"/>
      <c r="I37" s="1412"/>
      <c r="J37" s="1415"/>
      <c r="K37" s="619"/>
      <c r="L37" s="1146"/>
      <c r="M37" s="1147"/>
      <c r="N37" s="1134"/>
      <c r="O37" s="1147"/>
      <c r="P37" s="3243" t="str">
        <f>A37</f>
        <v>成交单价</v>
      </c>
      <c r="Q37" s="3243"/>
      <c r="R37" s="3297">
        <f>E37</f>
        <v>0</v>
      </c>
      <c r="S37" s="3297"/>
      <c r="T37" s="3297">
        <f>G37</f>
        <v>0</v>
      </c>
      <c r="U37" s="3297"/>
      <c r="V37" s="3297">
        <f>I37</f>
        <v>0</v>
      </c>
      <c r="W37" s="329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96" t="e">
        <f>IF(F1="售价",ROUND(AVERAGE(R38:V38),0),ROUND(AVERAGE(R38:V38),1))</f>
        <v>#DIV/0!</v>
      </c>
      <c r="S39" s="3296"/>
      <c r="T39" s="3296"/>
      <c r="U39" s="3296"/>
      <c r="V39" s="3296"/>
      <c r="W39" s="32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9" t="s">
        <v>2550</v>
      </c>
      <c r="Q7" s="3257"/>
      <c r="R7" s="770" t="s">
        <v>17</v>
      </c>
      <c r="S7" s="771">
        <f t="shared" ref="S7:S14" si="0">F7</f>
        <v>0</v>
      </c>
      <c r="T7" s="770" t="s">
        <v>17</v>
      </c>
      <c r="U7" s="771">
        <f t="shared" ref="U7:U14" si="1">H7</f>
        <v>0</v>
      </c>
      <c r="V7" s="770" t="s">
        <v>17</v>
      </c>
      <c r="W7" s="771">
        <f t="shared" ref="W7:W14" si="2">J7</f>
        <v>0</v>
      </c>
      <c r="X7" s="772"/>
      <c r="Y7" s="3229" t="s">
        <v>2550</v>
      </c>
      <c r="Z7" s="323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2556</v>
      </c>
      <c r="Q9" s="1798" t="str">
        <f t="shared" ref="Q9:Q14" si="6">B9</f>
        <v>用途</v>
      </c>
      <c r="R9" s="770" t="s">
        <v>17</v>
      </c>
      <c r="S9" s="771">
        <f t="shared" si="0"/>
        <v>100</v>
      </c>
      <c r="T9" s="770" t="s">
        <v>17</v>
      </c>
      <c r="U9" s="771">
        <f t="shared" si="1"/>
        <v>100</v>
      </c>
      <c r="V9" s="770" t="s">
        <v>17</v>
      </c>
      <c r="W9" s="771">
        <f t="shared" si="2"/>
        <v>100</v>
      </c>
      <c r="X9" s="772"/>
      <c r="Y9" s="310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10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10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8" t="s">
        <v>2561</v>
      </c>
      <c r="Q14" s="1813" t="str">
        <f t="shared" si="6"/>
        <v>交通便捷度</v>
      </c>
      <c r="R14" s="774" t="s">
        <v>17</v>
      </c>
      <c r="S14" s="775">
        <f t="shared" si="0"/>
        <v>100</v>
      </c>
      <c r="T14" s="774" t="s">
        <v>17</v>
      </c>
      <c r="U14" s="775">
        <f t="shared" si="1"/>
        <v>100</v>
      </c>
      <c r="V14" s="774" t="s">
        <v>17</v>
      </c>
      <c r="W14" s="775">
        <f t="shared" si="2"/>
        <v>100</v>
      </c>
      <c r="X14" s="1816"/>
      <c r="Y14" s="32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9"/>
      <c r="Q15" s="1813"/>
      <c r="R15" s="774"/>
      <c r="S15" s="775"/>
      <c r="T15" s="774"/>
      <c r="U15" s="775"/>
      <c r="V15" s="774"/>
      <c r="W15" s="775"/>
      <c r="X15" s="1816"/>
      <c r="Y15" s="3259"/>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9"/>
      <c r="Q16" s="1813" t="str">
        <f>B16</f>
        <v>公共配套设施</v>
      </c>
      <c r="R16" s="774" t="s">
        <v>17</v>
      </c>
      <c r="S16" s="775">
        <f>F16</f>
        <v>100</v>
      </c>
      <c r="T16" s="774" t="s">
        <v>17</v>
      </c>
      <c r="U16" s="775">
        <f>H16</f>
        <v>100</v>
      </c>
      <c r="V16" s="774" t="s">
        <v>17</v>
      </c>
      <c r="W16" s="775">
        <f>J16</f>
        <v>100</v>
      </c>
      <c r="X16" s="1816"/>
      <c r="Y16" s="325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59"/>
      <c r="Q17" s="1813"/>
      <c r="R17" s="774"/>
      <c r="S17" s="775"/>
      <c r="T17" s="774"/>
      <c r="U17" s="775"/>
      <c r="V17" s="774"/>
      <c r="W17" s="775"/>
      <c r="X17" s="1816"/>
      <c r="Y17" s="3259"/>
      <c r="Z17" s="1817"/>
      <c r="AA17" s="1814">
        <v>1</v>
      </c>
      <c r="AB17" s="1814">
        <v>1</v>
      </c>
      <c r="AC17" s="1814">
        <v>1</v>
      </c>
    </row>
    <row r="18" spans="1:29" ht="28.5">
      <c r="A18" s="428"/>
      <c r="B18" s="1387"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9"/>
      <c r="Q18" s="1813" t="str">
        <f>B18</f>
        <v>基础设施水平</v>
      </c>
      <c r="R18" s="774" t="s">
        <v>17</v>
      </c>
      <c r="S18" s="775">
        <f>F18</f>
        <v>100</v>
      </c>
      <c r="T18" s="774" t="s">
        <v>17</v>
      </c>
      <c r="U18" s="775">
        <f>H18</f>
        <v>100</v>
      </c>
      <c r="V18" s="774" t="s">
        <v>17</v>
      </c>
      <c r="W18" s="775">
        <f>J18</f>
        <v>100</v>
      </c>
      <c r="X18" s="1816"/>
      <c r="Y18" s="325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59"/>
      <c r="Q19" s="1813"/>
      <c r="R19" s="774"/>
      <c r="S19" s="775"/>
      <c r="T19" s="774"/>
      <c r="U19" s="775"/>
      <c r="V19" s="774"/>
      <c r="W19" s="775"/>
      <c r="X19" s="1816"/>
      <c r="Y19" s="3259"/>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9"/>
      <c r="Q20" s="1813" t="str">
        <f>B20</f>
        <v>自然及人文环境</v>
      </c>
      <c r="R20" s="774" t="s">
        <v>17</v>
      </c>
      <c r="S20" s="775">
        <f>F20</f>
        <v>100</v>
      </c>
      <c r="T20" s="774" t="s">
        <v>17</v>
      </c>
      <c r="U20" s="775">
        <f>H20</f>
        <v>100</v>
      </c>
      <c r="V20" s="774" t="s">
        <v>17</v>
      </c>
      <c r="W20" s="775">
        <f>J20</f>
        <v>100</v>
      </c>
      <c r="X20" s="1816"/>
      <c r="Y20" s="32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9"/>
      <c r="Q21" s="1813"/>
      <c r="R21" s="774"/>
      <c r="S21" s="775"/>
      <c r="T21" s="774"/>
      <c r="U21" s="775"/>
      <c r="V21" s="774"/>
      <c r="W21" s="775"/>
      <c r="X21" s="1816"/>
      <c r="Y21" s="32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9"/>
      <c r="Q22" s="1813" t="str">
        <f>B22</f>
        <v>楼层</v>
      </c>
      <c r="R22" s="774" t="s">
        <v>17</v>
      </c>
      <c r="S22" s="775">
        <f>F22</f>
        <v>100</v>
      </c>
      <c r="T22" s="774" t="s">
        <v>17</v>
      </c>
      <c r="U22" s="775">
        <f>H22</f>
        <v>100</v>
      </c>
      <c r="V22" s="774" t="s">
        <v>17</v>
      </c>
      <c r="W22" s="775">
        <f>J22</f>
        <v>100</v>
      </c>
      <c r="X22" s="1816"/>
      <c r="Y22" s="325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9"/>
      <c r="Q23" s="1813">
        <f>B23</f>
        <v>111</v>
      </c>
      <c r="R23" s="774" t="s">
        <v>17</v>
      </c>
      <c r="S23" s="775">
        <f>F23</f>
        <v>100</v>
      </c>
      <c r="T23" s="774" t="s">
        <v>17</v>
      </c>
      <c r="U23" s="775">
        <f>H23</f>
        <v>100</v>
      </c>
      <c r="V23" s="774" t="s">
        <v>17</v>
      </c>
      <c r="W23" s="775">
        <f>J23</f>
        <v>100</v>
      </c>
      <c r="X23" s="1816"/>
      <c r="Y23" s="325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9"/>
      <c r="Q24" s="1813">
        <f t="shared" ref="Q24:Q34" si="11">B24</f>
        <v>111</v>
      </c>
      <c r="R24" s="774" t="s">
        <v>17</v>
      </c>
      <c r="S24" s="775">
        <f>F24</f>
        <v>100</v>
      </c>
      <c r="T24" s="774" t="s">
        <v>17</v>
      </c>
      <c r="U24" s="775">
        <f>H24</f>
        <v>100</v>
      </c>
      <c r="V24" s="774" t="s">
        <v>17</v>
      </c>
      <c r="W24" s="775">
        <f>J24</f>
        <v>100</v>
      </c>
      <c r="X24" s="1816"/>
      <c r="Y24" s="3259"/>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59"/>
      <c r="Q25" s="1798">
        <f t="shared" si="11"/>
        <v>111</v>
      </c>
      <c r="R25" s="770" t="s">
        <v>17</v>
      </c>
      <c r="S25" s="771">
        <f>F25</f>
        <v>100</v>
      </c>
      <c r="T25" s="770" t="s">
        <v>17</v>
      </c>
      <c r="U25" s="771">
        <f>H25</f>
        <v>100</v>
      </c>
      <c r="V25" s="770" t="s">
        <v>17</v>
      </c>
      <c r="W25" s="771">
        <f>J25</f>
        <v>100</v>
      </c>
      <c r="X25" s="772"/>
      <c r="Y25" s="3259"/>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0"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1"/>
      <c r="Q28" s="1813" t="str">
        <f t="shared" si="11"/>
        <v>物业等级</v>
      </c>
      <c r="R28" s="774" t="s">
        <v>17</v>
      </c>
      <c r="S28" s="775">
        <f t="shared" si="12"/>
        <v>100</v>
      </c>
      <c r="T28" s="774" t="s">
        <v>17</v>
      </c>
      <c r="U28" s="775">
        <f t="shared" si="13"/>
        <v>100</v>
      </c>
      <c r="V28" s="774" t="s">
        <v>17</v>
      </c>
      <c r="W28" s="775">
        <f t="shared" si="14"/>
        <v>100</v>
      </c>
      <c r="X28" s="1816"/>
      <c r="Y28" s="326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1"/>
      <c r="Q29" s="1813" t="str">
        <f t="shared" si="11"/>
        <v>有无电梯</v>
      </c>
      <c r="R29" s="774" t="s">
        <v>17</v>
      </c>
      <c r="S29" s="775">
        <f t="shared" si="12"/>
        <v>100</v>
      </c>
      <c r="T29" s="774" t="s">
        <v>17</v>
      </c>
      <c r="U29" s="775">
        <f t="shared" si="13"/>
        <v>100</v>
      </c>
      <c r="V29" s="774" t="s">
        <v>17</v>
      </c>
      <c r="W29" s="775">
        <f t="shared" si="14"/>
        <v>100</v>
      </c>
      <c r="X29" s="1816"/>
      <c r="Y29" s="326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1"/>
      <c r="Q30" s="1813" t="str">
        <f t="shared" si="11"/>
        <v>建筑面积</v>
      </c>
      <c r="R30" s="774" t="s">
        <v>17</v>
      </c>
      <c r="S30" s="775" t="e">
        <f t="shared" si="12"/>
        <v>#N/A</v>
      </c>
      <c r="T30" s="774" t="s">
        <v>17</v>
      </c>
      <c r="U30" s="775" t="e">
        <f t="shared" si="13"/>
        <v>#N/A</v>
      </c>
      <c r="V30" s="774" t="s">
        <v>17</v>
      </c>
      <c r="W30" s="775" t="e">
        <f t="shared" si="14"/>
        <v>#N/A</v>
      </c>
      <c r="X30" s="1816"/>
      <c r="Y30" s="326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1"/>
      <c r="Q31" s="1798"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1" t="s">
        <v>2566</v>
      </c>
      <c r="Q32" s="1813">
        <f t="shared" si="11"/>
        <v>111</v>
      </c>
      <c r="R32" s="774" t="s">
        <v>17</v>
      </c>
      <c r="S32" s="775">
        <f t="shared" si="12"/>
        <v>100</v>
      </c>
      <c r="T32" s="774" t="s">
        <v>17</v>
      </c>
      <c r="U32" s="775">
        <f t="shared" si="13"/>
        <v>100</v>
      </c>
      <c r="V32" s="774" t="s">
        <v>17</v>
      </c>
      <c r="W32" s="775">
        <f t="shared" si="14"/>
        <v>100</v>
      </c>
      <c r="X32" s="1816"/>
      <c r="Y32" s="3261"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1"/>
      <c r="Q33" s="1813">
        <f t="shared" si="11"/>
        <v>111</v>
      </c>
      <c r="R33" s="774" t="s">
        <v>17</v>
      </c>
      <c r="S33" s="775">
        <f t="shared" si="12"/>
        <v>100</v>
      </c>
      <c r="T33" s="774" t="s">
        <v>17</v>
      </c>
      <c r="U33" s="775">
        <f t="shared" si="13"/>
        <v>100</v>
      </c>
      <c r="V33" s="774" t="s">
        <v>17</v>
      </c>
      <c r="W33" s="775">
        <f t="shared" si="14"/>
        <v>100</v>
      </c>
      <c r="X33" s="1816"/>
      <c r="Y33" s="326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61"/>
      <c r="Q34" s="1813">
        <f t="shared" si="11"/>
        <v>111</v>
      </c>
      <c r="R34" s="774" t="s">
        <v>17</v>
      </c>
      <c r="S34" s="775">
        <f t="shared" si="12"/>
        <v>100</v>
      </c>
      <c r="T34" s="774" t="s">
        <v>17</v>
      </c>
      <c r="U34" s="775">
        <f t="shared" si="13"/>
        <v>100</v>
      </c>
      <c r="V34" s="774" t="s">
        <v>17</v>
      </c>
      <c r="W34" s="775">
        <f t="shared" si="14"/>
        <v>100</v>
      </c>
      <c r="X34" s="1816"/>
      <c r="Y34" s="326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43" t="str">
        <f>A35</f>
        <v>成交单价（元/平方米）</v>
      </c>
      <c r="Q35" s="3243"/>
      <c r="R35" s="3297">
        <f>E35</f>
        <v>0</v>
      </c>
      <c r="S35" s="3297"/>
      <c r="T35" s="3297">
        <f>G35</f>
        <v>0</v>
      </c>
      <c r="U35" s="3297"/>
      <c r="V35" s="3297">
        <f>I35</f>
        <v>0</v>
      </c>
      <c r="W35" s="329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96" t="e">
        <f>IF(F1="售价",ROUND(AVERAGE(R36:V36),0),ROUND(AVERAGE(R36:V36),1))</f>
        <v>#DIV/0!</v>
      </c>
      <c r="S37" s="3296"/>
      <c r="T37" s="3296"/>
      <c r="U37" s="3296"/>
      <c r="V37" s="3296"/>
      <c r="W37" s="32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1" t="s">
        <v>2648</v>
      </c>
      <c r="S4" s="3232"/>
      <c r="T4" s="3231" t="s">
        <v>2649</v>
      </c>
      <c r="U4" s="3232"/>
      <c r="V4" s="3256" t="s">
        <v>2650</v>
      </c>
      <c r="W4" s="3256"/>
      <c r="X4" s="1816"/>
      <c r="Y4" s="3231" t="s">
        <v>2652</v>
      </c>
      <c r="Z4" s="3232"/>
      <c r="AA4" s="3226" t="s">
        <v>2648</v>
      </c>
      <c r="AB4" s="3227" t="s">
        <v>2649</v>
      </c>
      <c r="AC4" s="3226" t="s">
        <v>2650</v>
      </c>
    </row>
    <row r="5" spans="1:29" ht="15">
      <c r="A5" s="404"/>
      <c r="B5" s="405"/>
      <c r="C5" s="3237" t="s">
        <v>2543</v>
      </c>
      <c r="D5" s="3238"/>
      <c r="E5" s="3235" t="s">
        <v>2544</v>
      </c>
      <c r="F5" s="3236"/>
      <c r="G5" s="3237" t="s">
        <v>2545</v>
      </c>
      <c r="H5" s="3238"/>
      <c r="I5" s="3237" t="s">
        <v>2546</v>
      </c>
      <c r="J5" s="3238"/>
      <c r="K5" s="610"/>
      <c r="L5" s="1133"/>
      <c r="M5" s="1134"/>
      <c r="N5" s="1134"/>
      <c r="O5" s="1134"/>
      <c r="P5" s="3250"/>
      <c r="Q5" s="3251"/>
      <c r="R5" s="3233"/>
      <c r="S5" s="3234"/>
      <c r="T5" s="3233"/>
      <c r="U5" s="3234"/>
      <c r="V5" s="3256"/>
      <c r="W5" s="3256"/>
      <c r="X5" s="1816"/>
      <c r="Y5" s="3233"/>
      <c r="Z5" s="3234"/>
      <c r="AA5" s="3227"/>
      <c r="AB5" s="3227"/>
      <c r="AC5" s="3227"/>
    </row>
    <row r="6" spans="1:29" ht="15.75" thickBot="1">
      <c r="A6" s="406"/>
      <c r="B6" s="407"/>
      <c r="C6" s="3319" t="s">
        <v>2798</v>
      </c>
      <c r="D6" s="3320"/>
      <c r="E6" s="3321" t="s">
        <v>2798</v>
      </c>
      <c r="F6" s="3322"/>
      <c r="G6" s="3319" t="s">
        <v>2798</v>
      </c>
      <c r="H6" s="3320"/>
      <c r="I6" s="3319" t="s">
        <v>2798</v>
      </c>
      <c r="J6" s="3320"/>
      <c r="K6" s="610" t="s">
        <v>2548</v>
      </c>
      <c r="L6" s="1133"/>
      <c r="M6" s="1134"/>
      <c r="N6" s="1134"/>
      <c r="O6" s="1134"/>
      <c r="P6" s="3252"/>
      <c r="Q6" s="3253"/>
      <c r="R6" s="3233"/>
      <c r="S6" s="3234"/>
      <c r="T6" s="3254"/>
      <c r="U6" s="3255"/>
      <c r="V6" s="3256"/>
      <c r="W6" s="3256"/>
      <c r="X6" s="1816"/>
      <c r="Y6" s="3254"/>
      <c r="Z6" s="3255"/>
      <c r="AA6" s="3228"/>
      <c r="AB6" s="3228"/>
      <c r="AC6" s="3228"/>
    </row>
    <row r="7" spans="1:29" s="117" customFormat="1" ht="15.75" thickBot="1">
      <c r="A7" s="408" t="s">
        <v>2549</v>
      </c>
      <c r="B7" s="409"/>
      <c r="C7" s="410">
        <f>'数据-取费表'!B2</f>
        <v>43595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9" t="s">
        <v>2550</v>
      </c>
      <c r="Q7" s="3257"/>
      <c r="R7" s="770" t="s">
        <v>17</v>
      </c>
      <c r="S7" s="771">
        <f t="shared" ref="S7:S15" si="0">F7</f>
        <v>0</v>
      </c>
      <c r="T7" s="770" t="s">
        <v>17</v>
      </c>
      <c r="U7" s="771">
        <f t="shared" ref="U7:U15" si="1">H7</f>
        <v>0</v>
      </c>
      <c r="V7" s="770" t="s">
        <v>17</v>
      </c>
      <c r="W7" s="771">
        <f t="shared" ref="W7:W15" si="2">J7</f>
        <v>0</v>
      </c>
      <c r="X7" s="772"/>
      <c r="Y7" s="3229" t="s">
        <v>2550</v>
      </c>
      <c r="Z7" s="323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9" t="s">
        <v>2553</v>
      </c>
      <c r="Q8" s="3230"/>
      <c r="R8" s="770" t="s">
        <v>17</v>
      </c>
      <c r="S8" s="771">
        <f t="shared" si="0"/>
        <v>0</v>
      </c>
      <c r="T8" s="770" t="s">
        <v>17</v>
      </c>
      <c r="U8" s="771">
        <f t="shared" si="1"/>
        <v>0</v>
      </c>
      <c r="V8" s="770" t="s">
        <v>17</v>
      </c>
      <c r="W8" s="771">
        <f t="shared" si="2"/>
        <v>0</v>
      </c>
      <c r="X8" s="772"/>
      <c r="Y8" s="3229" t="s">
        <v>2553</v>
      </c>
      <c r="Z8" s="3230"/>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3" t="s">
        <v>2556</v>
      </c>
      <c r="Q9" s="1798" t="str">
        <f t="shared" ref="Q9:Q15" si="6">B9</f>
        <v>用途</v>
      </c>
      <c r="R9" s="770" t="s">
        <v>17</v>
      </c>
      <c r="S9" s="771">
        <f t="shared" si="0"/>
        <v>100</v>
      </c>
      <c r="T9" s="770" t="s">
        <v>17</v>
      </c>
      <c r="U9" s="771">
        <f t="shared" si="1"/>
        <v>100</v>
      </c>
      <c r="V9" s="770" t="s">
        <v>17</v>
      </c>
      <c r="W9" s="771">
        <f t="shared" si="2"/>
        <v>100</v>
      </c>
      <c r="X9" s="772"/>
      <c r="Y9" s="310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43"/>
      <c r="Q10" s="1798" t="str">
        <f t="shared" si="6"/>
        <v>土地使用年限（年）</v>
      </c>
      <c r="R10" s="770" t="s">
        <v>17</v>
      </c>
      <c r="S10" s="771">
        <f t="shared" si="0"/>
        <v>110</v>
      </c>
      <c r="T10" s="770" t="s">
        <v>17</v>
      </c>
      <c r="U10" s="771">
        <f t="shared" si="1"/>
        <v>110</v>
      </c>
      <c r="V10" s="770" t="s">
        <v>17</v>
      </c>
      <c r="W10" s="771">
        <f t="shared" si="2"/>
        <v>110</v>
      </c>
      <c r="X10" s="772"/>
      <c r="Y10" s="3103"/>
      <c r="Z10" s="55" t="str">
        <f t="shared" si="7"/>
        <v>土地使用年限（年）</v>
      </c>
      <c r="AA10" s="773">
        <f t="shared" si="3"/>
        <v>0.90909090909090906</v>
      </c>
      <c r="AB10" s="773">
        <f t="shared" si="4"/>
        <v>0.90909090909090906</v>
      </c>
      <c r="AC10" s="773">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10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10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10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103"/>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8" t="s">
        <v>2561</v>
      </c>
      <c r="Q15" s="1813" t="str">
        <f t="shared" si="6"/>
        <v>产业集聚程度</v>
      </c>
      <c r="R15" s="774" t="s">
        <v>17</v>
      </c>
      <c r="S15" s="775">
        <f t="shared" si="0"/>
        <v>100</v>
      </c>
      <c r="T15" s="774" t="s">
        <v>17</v>
      </c>
      <c r="U15" s="775">
        <f t="shared" si="1"/>
        <v>100</v>
      </c>
      <c r="V15" s="774" t="s">
        <v>17</v>
      </c>
      <c r="W15" s="775">
        <f t="shared" si="2"/>
        <v>100</v>
      </c>
      <c r="X15" s="1816"/>
      <c r="Y15" s="3258"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59"/>
      <c r="Q16" s="1813"/>
      <c r="R16" s="774"/>
      <c r="S16" s="775"/>
      <c r="T16" s="774"/>
      <c r="U16" s="775"/>
      <c r="V16" s="774"/>
      <c r="W16" s="775"/>
      <c r="X16" s="1816"/>
      <c r="Y16" s="3259"/>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9"/>
      <c r="Q17" s="1813" t="str">
        <f>B17</f>
        <v>交通便捷度</v>
      </c>
      <c r="R17" s="774" t="s">
        <v>17</v>
      </c>
      <c r="S17" s="775">
        <f>F17</f>
        <v>100</v>
      </c>
      <c r="T17" s="774" t="s">
        <v>17</v>
      </c>
      <c r="U17" s="775">
        <f>H17</f>
        <v>100</v>
      </c>
      <c r="V17" s="774" t="s">
        <v>17</v>
      </c>
      <c r="W17" s="775">
        <f>J17</f>
        <v>100</v>
      </c>
      <c r="X17" s="1816"/>
      <c r="Y17" s="325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59"/>
      <c r="Q18" s="1813"/>
      <c r="R18" s="774"/>
      <c r="S18" s="775"/>
      <c r="T18" s="774"/>
      <c r="U18" s="775"/>
      <c r="V18" s="774"/>
      <c r="W18" s="775"/>
      <c r="X18" s="1816"/>
      <c r="Y18" s="3259"/>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9"/>
      <c r="Q19" s="1813" t="str">
        <f t="shared" ref="Q19:Q33" si="8">B19</f>
        <v>区域土地利用方向</v>
      </c>
      <c r="R19" s="774" t="s">
        <v>17</v>
      </c>
      <c r="S19" s="775">
        <f>F19</f>
        <v>100</v>
      </c>
      <c r="T19" s="774" t="s">
        <v>17</v>
      </c>
      <c r="U19" s="775">
        <f>H19</f>
        <v>100</v>
      </c>
      <c r="V19" s="774" t="s">
        <v>17</v>
      </c>
      <c r="W19" s="775">
        <f>J19</f>
        <v>100</v>
      </c>
      <c r="X19" s="1816"/>
      <c r="Y19" s="325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59"/>
      <c r="Q20" s="1813"/>
      <c r="R20" s="774"/>
      <c r="S20" s="775"/>
      <c r="T20" s="774"/>
      <c r="U20" s="775"/>
      <c r="V20" s="774"/>
      <c r="W20" s="775"/>
      <c r="X20" s="1816"/>
      <c r="Y20" s="3259"/>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9"/>
      <c r="Q21" s="1813" t="str">
        <f t="shared" si="8"/>
        <v>环境状况</v>
      </c>
      <c r="R21" s="774" t="s">
        <v>17</v>
      </c>
      <c r="S21" s="775">
        <f>F21</f>
        <v>100</v>
      </c>
      <c r="T21" s="774" t="s">
        <v>17</v>
      </c>
      <c r="U21" s="775">
        <f>H21</f>
        <v>100</v>
      </c>
      <c r="V21" s="774" t="s">
        <v>17</v>
      </c>
      <c r="W21" s="775">
        <f>J21</f>
        <v>100</v>
      </c>
      <c r="X21" s="1816"/>
      <c r="Y21" s="325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59"/>
      <c r="Q22" s="1813"/>
      <c r="R22" s="774"/>
      <c r="S22" s="775"/>
      <c r="T22" s="774"/>
      <c r="U22" s="775"/>
      <c r="V22" s="774"/>
      <c r="W22" s="775"/>
      <c r="X22" s="1816"/>
      <c r="Y22" s="3259"/>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9"/>
      <c r="Q23" s="1798" t="str">
        <f t="shared" si="8"/>
        <v>公共配套设施</v>
      </c>
      <c r="R23" s="770" t="s">
        <v>17</v>
      </c>
      <c r="S23" s="771">
        <f>F23</f>
        <v>100</v>
      </c>
      <c r="T23" s="770" t="s">
        <v>17</v>
      </c>
      <c r="U23" s="771">
        <f>H23</f>
        <v>100</v>
      </c>
      <c r="V23" s="770" t="s">
        <v>17</v>
      </c>
      <c r="W23" s="771">
        <f>J23</f>
        <v>100</v>
      </c>
      <c r="X23" s="772"/>
      <c r="Y23" s="325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59"/>
      <c r="Q24" s="1798"/>
      <c r="R24" s="770"/>
      <c r="S24" s="771"/>
      <c r="T24" s="770"/>
      <c r="U24" s="771"/>
      <c r="V24" s="770"/>
      <c r="W24" s="771"/>
      <c r="X24" s="772"/>
      <c r="Y24" s="3259"/>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9"/>
      <c r="Q25" s="1798"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59"/>
      <c r="Q26" s="1798"/>
      <c r="R26" s="770"/>
      <c r="S26" s="771"/>
      <c r="T26" s="770"/>
      <c r="U26" s="771"/>
      <c r="V26" s="770"/>
      <c r="W26" s="771"/>
      <c r="X26" s="772"/>
      <c r="Y26" s="32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9"/>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9"/>
      <c r="Q28" s="1813" t="str">
        <f t="shared" si="8"/>
        <v>毗邻道路的类型与等级</v>
      </c>
      <c r="R28" s="774" t="s">
        <v>17</v>
      </c>
      <c r="S28" s="775">
        <f t="shared" si="10"/>
        <v>100</v>
      </c>
      <c r="T28" s="774" t="s">
        <v>17</v>
      </c>
      <c r="U28" s="775">
        <f t="shared" si="11"/>
        <v>100</v>
      </c>
      <c r="V28" s="774" t="s">
        <v>17</v>
      </c>
      <c r="W28" s="775">
        <f t="shared" si="12"/>
        <v>100</v>
      </c>
      <c r="X28" s="1816"/>
      <c r="Y28" s="325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59"/>
      <c r="Q29" s="1813"/>
      <c r="R29" s="774"/>
      <c r="S29" s="775"/>
      <c r="T29" s="774"/>
      <c r="U29" s="775"/>
      <c r="V29" s="774"/>
      <c r="W29" s="775"/>
      <c r="X29" s="1816"/>
      <c r="Y29" s="32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9"/>
      <c r="Q30" s="1813" t="str">
        <f t="shared" si="8"/>
        <v>土地级别</v>
      </c>
      <c r="R30" s="774" t="s">
        <v>17</v>
      </c>
      <c r="S30" s="775">
        <f t="shared" si="10"/>
        <v>100</v>
      </c>
      <c r="T30" s="774" t="s">
        <v>17</v>
      </c>
      <c r="U30" s="775">
        <f t="shared" si="11"/>
        <v>100</v>
      </c>
      <c r="V30" s="774" t="s">
        <v>17</v>
      </c>
      <c r="W30" s="775">
        <f t="shared" si="12"/>
        <v>100</v>
      </c>
      <c r="X30" s="1816"/>
      <c r="Y30" s="325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9"/>
      <c r="Q31" s="1813">
        <f t="shared" si="8"/>
        <v>111</v>
      </c>
      <c r="R31" s="774" t="s">
        <v>17</v>
      </c>
      <c r="S31" s="775">
        <f t="shared" si="10"/>
        <v>100</v>
      </c>
      <c r="T31" s="774" t="s">
        <v>17</v>
      </c>
      <c r="U31" s="775">
        <f t="shared" si="11"/>
        <v>100</v>
      </c>
      <c r="V31" s="774" t="s">
        <v>17</v>
      </c>
      <c r="W31" s="775">
        <f t="shared" si="12"/>
        <v>100</v>
      </c>
      <c r="X31" s="1816"/>
      <c r="Y31" s="325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2566</v>
      </c>
      <c r="Q32" s="1813">
        <f t="shared" si="8"/>
        <v>111</v>
      </c>
      <c r="R32" s="774" t="s">
        <v>17</v>
      </c>
      <c r="S32" s="775">
        <f t="shared" si="10"/>
        <v>100</v>
      </c>
      <c r="T32" s="774" t="s">
        <v>17</v>
      </c>
      <c r="U32" s="775">
        <f t="shared" si="11"/>
        <v>100</v>
      </c>
      <c r="V32" s="774" t="s">
        <v>17</v>
      </c>
      <c r="W32" s="775">
        <f t="shared" si="12"/>
        <v>100</v>
      </c>
      <c r="X32" s="1816"/>
      <c r="Y32" s="3261"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1"/>
      <c r="Q33" s="1813">
        <f t="shared" si="8"/>
        <v>111</v>
      </c>
      <c r="R33" s="777" t="s">
        <v>17</v>
      </c>
      <c r="S33" s="778">
        <f t="shared" si="10"/>
        <v>100</v>
      </c>
      <c r="T33" s="777" t="s">
        <v>17</v>
      </c>
      <c r="U33" s="778">
        <f t="shared" si="11"/>
        <v>100</v>
      </c>
      <c r="V33" s="777" t="s">
        <v>17</v>
      </c>
      <c r="W33" s="778">
        <f t="shared" si="12"/>
        <v>100</v>
      </c>
      <c r="X33" s="779"/>
      <c r="Y33" s="326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1"/>
      <c r="Q34" s="1813" t="str">
        <f>B34</f>
        <v>宗地面积</v>
      </c>
      <c r="R34" s="774" t="s">
        <v>17</v>
      </c>
      <c r="S34" s="775" t="e">
        <f t="shared" si="10"/>
        <v>#N/A</v>
      </c>
      <c r="T34" s="774" t="s">
        <v>17</v>
      </c>
      <c r="U34" s="775" t="e">
        <f t="shared" si="11"/>
        <v>#N/A</v>
      </c>
      <c r="V34" s="774" t="s">
        <v>17</v>
      </c>
      <c r="W34" s="775" t="e">
        <f t="shared" si="12"/>
        <v>#N/A</v>
      </c>
      <c r="X34" s="1816"/>
      <c r="Y34" s="3261"/>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61"/>
      <c r="Q35" s="1813" t="str">
        <f t="shared" ref="Q35:Q40" si="14">B35</f>
        <v>宗地形状</v>
      </c>
      <c r="R35" s="774" t="s">
        <v>17</v>
      </c>
      <c r="S35" s="775">
        <f t="shared" si="10"/>
        <v>100</v>
      </c>
      <c r="T35" s="774" t="s">
        <v>17</v>
      </c>
      <c r="U35" s="775">
        <f t="shared" si="11"/>
        <v>100</v>
      </c>
      <c r="V35" s="774" t="s">
        <v>17</v>
      </c>
      <c r="W35" s="775">
        <f t="shared" si="12"/>
        <v>100</v>
      </c>
      <c r="X35" s="1816"/>
      <c r="Y35" s="3261"/>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61"/>
      <c r="Q36" s="1813"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61" t="s">
        <v>2566</v>
      </c>
      <c r="Q37" s="1813" t="str">
        <f t="shared" si="14"/>
        <v>工程地质条件</v>
      </c>
      <c r="R37" s="774" t="s">
        <v>17</v>
      </c>
      <c r="S37" s="775">
        <f t="shared" si="10"/>
        <v>100</v>
      </c>
      <c r="T37" s="774" t="s">
        <v>17</v>
      </c>
      <c r="U37" s="775">
        <f t="shared" si="11"/>
        <v>100</v>
      </c>
      <c r="V37" s="774" t="s">
        <v>17</v>
      </c>
      <c r="W37" s="775">
        <f t="shared" si="12"/>
        <v>100</v>
      </c>
      <c r="X37" s="1816"/>
      <c r="Y37" s="326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1"/>
      <c r="Q38" s="1813">
        <f t="shared" si="14"/>
        <v>111</v>
      </c>
      <c r="R38" s="774" t="s">
        <v>17</v>
      </c>
      <c r="S38" s="775">
        <f t="shared" si="10"/>
        <v>100</v>
      </c>
      <c r="T38" s="774" t="s">
        <v>17</v>
      </c>
      <c r="U38" s="775">
        <f t="shared" si="11"/>
        <v>100</v>
      </c>
      <c r="V38" s="774" t="s">
        <v>17</v>
      </c>
      <c r="W38" s="775">
        <f t="shared" si="12"/>
        <v>100</v>
      </c>
      <c r="X38" s="1816"/>
      <c r="Y38" s="32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1"/>
      <c r="Q39" s="1813">
        <f t="shared" si="14"/>
        <v>111</v>
      </c>
      <c r="R39" s="774" t="s">
        <v>17</v>
      </c>
      <c r="S39" s="775">
        <f t="shared" si="10"/>
        <v>100</v>
      </c>
      <c r="T39" s="774" t="s">
        <v>17</v>
      </c>
      <c r="U39" s="775">
        <f t="shared" si="11"/>
        <v>100</v>
      </c>
      <c r="V39" s="774" t="s">
        <v>17</v>
      </c>
      <c r="W39" s="775">
        <f t="shared" si="12"/>
        <v>100</v>
      </c>
      <c r="X39" s="1816"/>
      <c r="Y39" s="326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1"/>
      <c r="Q40" s="1813">
        <f t="shared" si="14"/>
        <v>111</v>
      </c>
      <c r="R40" s="777" t="s">
        <v>17</v>
      </c>
      <c r="S40" s="778">
        <f t="shared" si="10"/>
        <v>100</v>
      </c>
      <c r="T40" s="777" t="s">
        <v>17</v>
      </c>
      <c r="U40" s="778">
        <f t="shared" si="11"/>
        <v>100</v>
      </c>
      <c r="V40" s="777" t="s">
        <v>17</v>
      </c>
      <c r="W40" s="778">
        <f t="shared" si="12"/>
        <v>100</v>
      </c>
      <c r="X40" s="779"/>
      <c r="Y40" s="3261"/>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6"/>
      <c r="M41" s="1134"/>
      <c r="N41" s="1134"/>
      <c r="O41" s="1147"/>
      <c r="P41" s="3243" t="str">
        <f>A41</f>
        <v>成交单价</v>
      </c>
      <c r="Q41" s="3243"/>
      <c r="R41" s="3256">
        <f>E41</f>
        <v>0</v>
      </c>
      <c r="S41" s="3256"/>
      <c r="T41" s="3256">
        <f>G41</f>
        <v>0</v>
      </c>
      <c r="U41" s="3256"/>
      <c r="V41" s="3256">
        <f>I41</f>
        <v>0</v>
      </c>
      <c r="W41" s="325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44" t="s">
        <v>2765</v>
      </c>
      <c r="H50" s="3266"/>
      <c r="I50" s="1817" t="s">
        <v>2802</v>
      </c>
      <c r="J50" s="1817" t="str">
        <f>项目基本情况!F35</f>
        <v>山东省</v>
      </c>
      <c r="K50" s="2711" t="s">
        <v>2767</v>
      </c>
      <c r="L50" s="1109"/>
      <c r="M50" s="1147"/>
      <c r="N50" s="1147"/>
      <c r="O50" s="1147"/>
    </row>
    <row r="51" spans="1:17" s="692" customFormat="1">
      <c r="A51" s="688" t="s">
        <v>2768</v>
      </c>
      <c r="B51" s="689" t="e">
        <f>C43</f>
        <v>#DIV/0!</v>
      </c>
      <c r="C51" s="690">
        <v>1</v>
      </c>
      <c r="D51" s="1166">
        <v>1</v>
      </c>
      <c r="E51" s="690">
        <f>'数据-汇总表'!E8+'数据-汇总表'!E9</f>
        <v>78327.300000000017</v>
      </c>
      <c r="F51" s="691" t="e">
        <f t="shared" ref="F51:F60" si="15">ROUND(B51*E51/10000,0)</f>
        <v>#DIV/0!</v>
      </c>
      <c r="G51" s="3267"/>
      <c r="H51" s="324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2"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10115.359999999986</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3"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31518.19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0</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4" t="s">
        <v>2820</v>
      </c>
      <c r="D3" s="2725" t="s">
        <v>2821</v>
      </c>
      <c r="E3" s="2730"/>
      <c r="F3" s="2731" t="s">
        <v>2822</v>
      </c>
      <c r="G3" s="916">
        <f>IF(F3="宗地容积率",'数据-汇总表'!I4,IF(F3="估价对象容积率",'数据-汇总表'!I6,'数据-汇总表'!I7))</f>
        <v>2.4900000000000002</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23"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2.4900000000000002</v>
      </c>
      <c r="AA7" s="1609"/>
      <c r="AB7" s="1609"/>
      <c r="AC7" s="1610"/>
      <c r="AD7" s="1611"/>
      <c r="AE7" s="1611"/>
      <c r="AF7" s="1611"/>
      <c r="AG7" s="1611"/>
      <c r="AH7" s="1611"/>
      <c r="AI7" s="1611"/>
      <c r="AJ7" s="1612"/>
    </row>
    <row r="8" spans="1:36" ht="15">
      <c r="A8" s="3324"/>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2841</v>
      </c>
      <c r="X8" s="3335"/>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24"/>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4"/>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4"/>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2865</v>
      </c>
      <c r="X11" s="1617" t="s">
        <v>2866</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323"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1"/>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341"/>
      <c r="B14" s="2771"/>
      <c r="C14" s="2772"/>
      <c r="D14" s="2773"/>
      <c r="E14" s="2773"/>
      <c r="F14" s="2774"/>
      <c r="G14" s="2775" t="s">
        <v>2878</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2"/>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3" t="s">
        <v>2884</v>
      </c>
      <c r="B16" s="2748" t="s">
        <v>2885</v>
      </c>
      <c r="C16" s="1804" t="e">
        <f>ROUND(SUM(G17:J17)/C17,0)</f>
        <v>#DIV/0!</v>
      </c>
      <c r="D16" s="2782" t="s">
        <v>2886</v>
      </c>
      <c r="E16" s="2783"/>
      <c r="F16" s="2784"/>
      <c r="G16" s="2785"/>
      <c r="H16" s="2785"/>
      <c r="I16" s="2785"/>
      <c r="J16" s="2786"/>
      <c r="K16" s="1373"/>
      <c r="L16" s="2787"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4"/>
      <c r="B17" s="2788" t="s">
        <v>2888</v>
      </c>
      <c r="C17" s="924">
        <f>SUMPRODUCT((修正!A2:A5=E2)*(修正!B1:M1=G2)*(修正!B2:M5))</f>
        <v>0</v>
      </c>
      <c r="D17" s="2789"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2893</v>
      </c>
      <c r="C19" s="927" t="e">
        <f>ROUND(IF(H19="按公示增长率计算",SUMPRODUCT((地价!A3:A24=YEAR(G19)&amp;"-"&amp;ROUNDUP(MONTH(G19)/3,0))*(地价!X2:AB2=E2)*(地价!X3:AB24)),IF(H19="地价指数",M20/M19,(1+I19)^O19)),4)</f>
        <v>#DIV/0!</v>
      </c>
      <c r="D19" s="2800" t="s">
        <v>2894</v>
      </c>
      <c r="E19" s="928">
        <v>41640</v>
      </c>
      <c r="F19" s="2800" t="s">
        <v>2895</v>
      </c>
      <c r="G19" s="929">
        <f>'数据-取费表'!B2</f>
        <v>43595</v>
      </c>
      <c r="H19" s="2801" t="s">
        <v>2896</v>
      </c>
      <c r="I19" s="930" t="str">
        <f>IF(H19="季度增幅（自定义）",SUMIF(N21:N24,E2,O21:O24),"")</f>
        <v/>
      </c>
      <c r="J19" s="2798"/>
      <c r="K19" s="1380"/>
      <c r="L19" s="2802" t="s">
        <v>2897</v>
      </c>
      <c r="M19" s="1737">
        <f>ROUND(SUMIF(地价!B2:F2,E2,地价!B24:F24),0)</f>
        <v>0</v>
      </c>
      <c r="N19" s="2803"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2899</v>
      </c>
      <c r="C20" s="932" t="e">
        <f>ROUND(POWER(1+G20,J20-I20)*(POWER(1+G20,I20)-1)/(POWER(1+G20,J20)-1),4)</f>
        <v>#DIV/0!</v>
      </c>
      <c r="D20" s="2809" t="s">
        <v>2900</v>
      </c>
      <c r="E20" s="1771">
        <f ca="1">存贷款利率!D4/100</f>
        <v>4.3499999999999997E-2</v>
      </c>
      <c r="F20" s="2809" t="s">
        <v>2891</v>
      </c>
      <c r="G20" s="937">
        <f>SUMIF(M15:P15,E2,M17:P17)</f>
        <v>0</v>
      </c>
      <c r="H20" s="2809" t="s">
        <v>2901</v>
      </c>
      <c r="I20" s="938" t="e">
        <f>SUMIF('数据-取费表'!C6:C15,E2,'数据-取费表'!F6:F15)/COUNTIF('数据-取费表'!C6:C15,E2)</f>
        <v>#DIV/0!</v>
      </c>
      <c r="J20" s="939">
        <f>IF(E2="住宅",70,IF(E2="商业",40,50))</f>
        <v>50</v>
      </c>
      <c r="K20" s="1380"/>
      <c r="L20" s="2810" t="s">
        <v>2902</v>
      </c>
      <c r="M20" s="1738">
        <f>ROUND(SUMPRODUCT((地价!A4:A24=YEAR(G19)&amp;"-"&amp;ROUNDUP(MONTH(G19)/3,0))*(地价!B2:F2=E2)*(地价!B4:F24)),0)</f>
        <v>0</v>
      </c>
      <c r="N20" s="2811" t="s">
        <v>2903</v>
      </c>
      <c r="O20" s="2812" t="s">
        <v>2904</v>
      </c>
      <c r="P20" s="2813" t="s">
        <v>2905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2906</v>
      </c>
      <c r="C21" s="940">
        <f>IF(B21="容积率修正",IF(G3&lt;=10,D22,J22),C23)</f>
        <v>0</v>
      </c>
      <c r="D21" s="2816"/>
      <c r="E21" s="2816"/>
      <c r="F21" s="2816"/>
      <c r="G21" s="2816"/>
      <c r="H21" s="2816"/>
      <c r="I21" s="2816"/>
      <c r="J21" s="2817"/>
      <c r="K21" s="1380"/>
      <c r="N21" s="2818" t="s">
        <v>2907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1" customFormat="1" ht="14.25">
      <c r="A22" s="2667" t="s">
        <v>2908</v>
      </c>
      <c r="B22" s="2819" t="s">
        <v>2909</v>
      </c>
      <c r="C22" s="1813" t="s">
        <v>2910</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2912</v>
      </c>
      <c r="B23" s="2820" t="s">
        <v>2913</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2915</v>
      </c>
      <c r="C24" s="927">
        <f>SUMIF(A45:A88,E2,B45:B88)</f>
        <v>0</v>
      </c>
      <c r="D24" s="2796"/>
      <c r="E24" s="2826"/>
      <c r="F24" s="2826"/>
      <c r="G24" s="2826"/>
      <c r="H24" s="2826"/>
      <c r="I24" s="2826"/>
      <c r="J24" s="2827"/>
      <c r="K24" s="1380"/>
      <c r="N24" s="2828" t="s">
        <v>2916</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1"/>
      <c r="E25" s="2751"/>
      <c r="F25" s="2830"/>
      <c r="G25" s="2751"/>
      <c r="H25" s="2751"/>
      <c r="I25" s="2751"/>
      <c r="J25" s="2752"/>
      <c r="K25" s="1373"/>
      <c r="N25" s="2831" t="s">
        <v>2918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2"/>
      <c r="B26" s="2819" t="s">
        <v>2919</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t="e">
        <f>ROUND(C5*C18*C19*C20*C21*C24,0)</f>
        <v>#DIV/0!</v>
      </c>
      <c r="D29" s="2848"/>
      <c r="E29" s="945" t="e">
        <f>ROUND(C29*D29/10000,0)</f>
        <v>#DIV/0!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2927</v>
      </c>
      <c r="C30" s="229" t="e">
        <f>ROUND(IF(E2="工业",C29*M39,C29*M38),0)</f>
        <v>#DIV/0!</v>
      </c>
      <c r="D30" s="2854"/>
      <c r="E30" s="945" t="e">
        <f>ROUND(C30*D30/10000,0)</f>
        <v>#DIV/0!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31" t="s">
        <v>2933</v>
      </c>
      <c r="B33" s="2864" t="s">
        <v>2934</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2"/>
      <c r="B34" s="2768" t="s">
        <v>2935</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2"/>
      <c r="B35" s="2768" t="s">
        <v>2936</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33"/>
      <c r="B36" s="2768" t="s">
        <v>2937</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2938</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8" t="s">
        <v>2940</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2945</v>
      </c>
      <c r="B47" s="1812" t="s">
        <v>2946</v>
      </c>
      <c r="C47" s="1812" t="s">
        <v>2947</v>
      </c>
      <c r="D47" s="1812" t="s">
        <v>2948</v>
      </c>
      <c r="E47" s="819" t="s">
        <v>2949</v>
      </c>
      <c r="F47" s="2882" t="s">
        <v>2950</v>
      </c>
      <c r="G47" s="1812" t="s">
        <v>754</v>
      </c>
      <c r="H47" s="2883"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2"/>
      <c r="C58" s="1812" t="s">
        <v>2947</v>
      </c>
      <c r="D58" s="1812" t="s">
        <v>2948</v>
      </c>
      <c r="E58" s="819" t="s">
        <v>2949</v>
      </c>
      <c r="F58" s="2882" t="s">
        <v>2965</v>
      </c>
      <c r="G58" s="1812" t="s">
        <v>754</v>
      </c>
      <c r="H58" s="2883"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2956</v>
      </c>
      <c r="B62" s="2886" t="s">
        <v>2957</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2959</v>
      </c>
      <c r="B64" s="2887" t="s">
        <v>2960</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2961</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2962</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2"/>
      <c r="C69" s="1812" t="s">
        <v>2947</v>
      </c>
      <c r="D69" s="1812" t="s">
        <v>2948</v>
      </c>
      <c r="E69" s="819" t="s">
        <v>2949</v>
      </c>
      <c r="F69" s="2882" t="s">
        <v>2965</v>
      </c>
      <c r="G69" s="1812" t="s">
        <v>754</v>
      </c>
      <c r="H69" s="2883"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2959</v>
      </c>
      <c r="B76" s="2887" t="s">
        <v>2960</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2970</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2971</v>
      </c>
      <c r="B79" s="2878">
        <f>1+E81</f>
        <v>1</v>
      </c>
      <c r="C79" s="814"/>
      <c r="D79" s="814"/>
      <c r="E79" s="815"/>
      <c r="F79" s="2880"/>
      <c r="G79" s="6"/>
      <c r="H79" s="6"/>
      <c r="I79" s="6"/>
      <c r="J79" s="7"/>
      <c r="K79" s="7"/>
      <c r="L79" s="7"/>
      <c r="M79" s="7"/>
      <c r="N79" s="7"/>
      <c r="Z79" s="2723"/>
      <c r="AA79" s="2799"/>
      <c r="AG79" s="1375"/>
      <c r="AK79" s="2799"/>
    </row>
    <row r="80" spans="1:37" ht="24.75">
      <c r="A80" s="2881" t="s">
        <v>2945</v>
      </c>
      <c r="B80" s="1812"/>
      <c r="C80" s="1812" t="s">
        <v>2947</v>
      </c>
      <c r="D80" s="1812" t="s">
        <v>2948</v>
      </c>
      <c r="E80" s="819" t="s">
        <v>2949</v>
      </c>
      <c r="F80" s="2882" t="s">
        <v>2965</v>
      </c>
      <c r="G80" s="1812" t="s">
        <v>754</v>
      </c>
      <c r="H80" s="2883" t="s">
        <v>2951</v>
      </c>
      <c r="I80" s="1812" t="s">
        <v>2952</v>
      </c>
      <c r="J80" s="603" t="s">
        <v>2598</v>
      </c>
      <c r="K80" s="603" t="s">
        <v>2599</v>
      </c>
      <c r="L80" s="603" t="s">
        <v>2600</v>
      </c>
      <c r="M80" s="603" t="s">
        <v>2601</v>
      </c>
      <c r="N80" s="603" t="s">
        <v>2602</v>
      </c>
      <c r="Z80" s="2723"/>
      <c r="AA80" s="2799"/>
      <c r="AG80" s="1375"/>
      <c r="AK80" s="2799"/>
    </row>
    <row r="81" spans="1:37" ht="38.25">
      <c r="A81" s="2881" t="s">
        <v>2972</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2954</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2955</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2969</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2961</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2962</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2959</v>
      </c>
      <c r="B87" s="2887" t="s">
        <v>2973</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2974</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25" t="s">
        <v>2975</v>
      </c>
      <c r="B90" s="3325"/>
      <c r="C90" s="3325"/>
      <c r="D90" s="3325"/>
      <c r="E90" s="3325"/>
      <c r="F90" s="3325"/>
      <c r="G90" s="3325"/>
      <c r="H90" s="3325"/>
      <c r="I90" s="3325"/>
      <c r="J90" s="3325"/>
      <c r="K90" s="2895"/>
      <c r="L90" s="2895"/>
      <c r="M90" s="2895"/>
      <c r="N90" s="2895"/>
    </row>
    <row r="91" spans="1:37">
      <c r="A91" s="3327" t="s">
        <v>2976</v>
      </c>
      <c r="B91" s="3327" t="s">
        <v>2977</v>
      </c>
      <c r="C91" s="2849" t="s">
        <v>2978</v>
      </c>
      <c r="D91" s="2850"/>
      <c r="E91" s="2850"/>
      <c r="F91" s="2850"/>
      <c r="G91" s="2850"/>
      <c r="H91" s="2850"/>
      <c r="I91" s="2850"/>
      <c r="J91" s="2896"/>
      <c r="K91" s="2897"/>
      <c r="L91" s="2897"/>
      <c r="M91" s="2897"/>
      <c r="N91" s="2897"/>
    </row>
    <row r="92" spans="1:37">
      <c r="A92" s="3327"/>
      <c r="B92" s="3327"/>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28"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9"/>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28" t="s">
        <v>2980</v>
      </c>
      <c r="B101" s="2902" t="s">
        <v>2981</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329"/>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329"/>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329"/>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329"/>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329"/>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329"/>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329"/>
      <c r="B108" s="3157"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0"/>
      <c r="B109" s="3158"/>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326" t="s">
        <v>2983</v>
      </c>
      <c r="B110" s="3326"/>
      <c r="C110" s="3326"/>
      <c r="D110" s="3326"/>
      <c r="E110" s="3326"/>
      <c r="F110" s="3326"/>
      <c r="G110" s="3326"/>
      <c r="H110" s="3326"/>
      <c r="I110" s="3326"/>
      <c r="J110" s="3326"/>
      <c r="K110" s="2904"/>
      <c r="L110" s="2904"/>
      <c r="M110" s="2904"/>
      <c r="N110" s="2904"/>
    </row>
    <row r="112" spans="1:14" ht="13.5" thickBot="1"/>
    <row r="113" spans="1:13" ht="25.5" thickBot="1">
      <c r="A113" s="903" t="s">
        <v>2984</v>
      </c>
      <c r="B113" s="1290">
        <f>G3</f>
        <v>2.4900000000000002</v>
      </c>
      <c r="C113" s="904" t="s">
        <v>2985</v>
      </c>
      <c r="D113" s="905">
        <f>SUMPRODUCT((A115:A118=F113)*(B114:M114=H113)*B115:M118)</f>
        <v>0</v>
      </c>
      <c r="E113" s="2727" t="s">
        <v>2815</v>
      </c>
      <c r="F113" s="2906">
        <f>E2</f>
        <v>0</v>
      </c>
      <c r="G113" s="2727" t="s">
        <v>2816</v>
      </c>
      <c r="H113" s="2906">
        <f>G2</f>
        <v>0</v>
      </c>
      <c r="I113" s="2727"/>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2880</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2881</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2882</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2883</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3" t="s">
        <v>183</v>
      </c>
      <c r="B18" s="882" t="s">
        <v>560</v>
      </c>
      <c r="C18" s="883" t="s">
        <v>561</v>
      </c>
      <c r="D18" s="884"/>
      <c r="E18" s="882">
        <v>1</v>
      </c>
      <c r="F18" s="885" t="s">
        <v>562</v>
      </c>
      <c r="G18" s="886"/>
      <c r="H18" s="878"/>
      <c r="I18" s="878"/>
    </row>
    <row r="19" spans="1:9" s="887" customFormat="1" ht="19.5" customHeight="1">
      <c r="A19" s="3343"/>
      <c r="B19" s="3343" t="s">
        <v>563</v>
      </c>
      <c r="C19" s="883" t="s">
        <v>564</v>
      </c>
      <c r="D19" s="884"/>
      <c r="E19" s="882">
        <v>0.9</v>
      </c>
      <c r="F19" s="885" t="s">
        <v>565</v>
      </c>
      <c r="G19" s="886"/>
      <c r="H19" s="878"/>
      <c r="I19" s="878"/>
    </row>
    <row r="20" spans="1:9" s="887" customFormat="1" ht="19.5" customHeight="1">
      <c r="A20" s="3343"/>
      <c r="B20" s="3343"/>
      <c r="C20" s="883" t="s">
        <v>566</v>
      </c>
      <c r="D20" s="884"/>
      <c r="E20" s="882">
        <v>1.1000000000000001</v>
      </c>
      <c r="F20" s="885" t="s">
        <v>567</v>
      </c>
      <c r="G20" s="886"/>
      <c r="H20" s="878"/>
      <c r="I20" s="878"/>
    </row>
    <row r="21" spans="1:9" s="887" customFormat="1" ht="19.5" customHeight="1">
      <c r="A21" s="3343"/>
      <c r="B21" s="3343"/>
      <c r="C21" s="883" t="s">
        <v>568</v>
      </c>
      <c r="D21" s="884"/>
      <c r="E21" s="882">
        <v>0.8</v>
      </c>
      <c r="F21" s="885" t="s">
        <v>569</v>
      </c>
      <c r="G21" s="886"/>
      <c r="H21" s="878"/>
      <c r="I21" s="878"/>
    </row>
    <row r="22" spans="1:9" s="887" customFormat="1" ht="19.5" customHeight="1">
      <c r="A22" s="3343"/>
      <c r="B22" s="3343"/>
      <c r="C22" s="883" t="s">
        <v>570</v>
      </c>
      <c r="D22" s="884"/>
      <c r="E22" s="882">
        <v>0.5</v>
      </c>
      <c r="F22" s="885"/>
      <c r="G22" s="886"/>
      <c r="H22" s="878"/>
      <c r="I22" s="878"/>
    </row>
    <row r="23" spans="1:9" s="887" customFormat="1" ht="19.5" customHeight="1">
      <c r="A23" s="3343" t="s">
        <v>184</v>
      </c>
      <c r="B23" s="882" t="s">
        <v>560</v>
      </c>
      <c r="C23" s="883" t="s">
        <v>571</v>
      </c>
      <c r="D23" s="884"/>
      <c r="E23" s="882">
        <v>1</v>
      </c>
      <c r="F23" s="885" t="s">
        <v>572</v>
      </c>
      <c r="G23" s="886"/>
      <c r="H23" s="878"/>
      <c r="I23" s="878"/>
    </row>
    <row r="24" spans="1:9" s="887" customFormat="1" ht="19.5" customHeight="1">
      <c r="A24" s="3343"/>
      <c r="B24" s="3343" t="s">
        <v>563</v>
      </c>
      <c r="C24" s="883" t="s">
        <v>573</v>
      </c>
      <c r="D24" s="884"/>
      <c r="E24" s="882">
        <v>0.5</v>
      </c>
      <c r="F24" s="885"/>
      <c r="G24" s="886"/>
      <c r="H24" s="878"/>
      <c r="I24" s="878"/>
    </row>
    <row r="25" spans="1:9" s="887" customFormat="1" ht="19.5" customHeight="1">
      <c r="A25" s="3343"/>
      <c r="B25" s="3343"/>
      <c r="C25" s="883" t="s">
        <v>574</v>
      </c>
      <c r="D25" s="884"/>
      <c r="E25" s="882">
        <v>1.1000000000000001</v>
      </c>
      <c r="F25" s="885"/>
      <c r="G25" s="886"/>
      <c r="H25" s="878"/>
      <c r="I25" s="878"/>
    </row>
    <row r="26" spans="1:9" s="887" customFormat="1" ht="19.5" customHeight="1">
      <c r="A26" s="3343"/>
      <c r="B26" s="3343"/>
      <c r="C26" s="883" t="s">
        <v>575</v>
      </c>
      <c r="D26" s="884"/>
      <c r="E26" s="882">
        <v>1.1000000000000001</v>
      </c>
      <c r="F26" s="885"/>
      <c r="G26" s="886"/>
      <c r="H26" s="878"/>
      <c r="I26" s="878"/>
    </row>
    <row r="27" spans="1:9" s="887" customFormat="1" ht="19.5" customHeight="1">
      <c r="A27" s="3343"/>
      <c r="B27" s="3343"/>
      <c r="C27" s="883" t="s">
        <v>576</v>
      </c>
      <c r="D27" s="884"/>
      <c r="E27" s="882">
        <v>0.9</v>
      </c>
      <c r="F27" s="885" t="s">
        <v>577</v>
      </c>
      <c r="G27" s="886"/>
      <c r="H27" s="878"/>
      <c r="I27" s="878"/>
    </row>
    <row r="28" spans="1:9" s="887" customFormat="1" ht="19.5" customHeight="1">
      <c r="A28" s="3343"/>
      <c r="B28" s="3343"/>
      <c r="C28" s="883" t="s">
        <v>578</v>
      </c>
      <c r="D28" s="884"/>
      <c r="E28" s="882">
        <v>0.9</v>
      </c>
      <c r="F28" s="885" t="s">
        <v>579</v>
      </c>
      <c r="G28" s="886"/>
      <c r="H28" s="878"/>
      <c r="I28" s="878"/>
    </row>
    <row r="29" spans="1:9" s="887" customFormat="1" ht="19.5" customHeight="1">
      <c r="A29" s="3343"/>
      <c r="B29" s="3343"/>
      <c r="C29" s="883" t="s">
        <v>580</v>
      </c>
      <c r="D29" s="884"/>
      <c r="E29" s="882">
        <v>0.9</v>
      </c>
      <c r="F29" s="885" t="s">
        <v>581</v>
      </c>
      <c r="G29" s="886"/>
      <c r="H29" s="878"/>
      <c r="I29" s="878"/>
    </row>
    <row r="30" spans="1:9" s="887" customFormat="1" ht="19.5" customHeight="1">
      <c r="A30" s="3343"/>
      <c r="B30" s="3343"/>
      <c r="C30" s="883" t="s">
        <v>582</v>
      </c>
      <c r="D30" s="884"/>
      <c r="E30" s="882">
        <v>0.9</v>
      </c>
      <c r="F30" s="885" t="s">
        <v>583</v>
      </c>
      <c r="G30" s="886"/>
      <c r="H30" s="878"/>
      <c r="I30" s="878"/>
    </row>
    <row r="31" spans="1:9" s="887" customFormat="1" ht="19.5" customHeight="1">
      <c r="A31" s="3343"/>
      <c r="B31" s="3343"/>
      <c r="C31" s="883" t="s">
        <v>584</v>
      </c>
      <c r="D31" s="884"/>
      <c r="E31" s="882">
        <v>0.8</v>
      </c>
      <c r="F31" s="885" t="s">
        <v>585</v>
      </c>
      <c r="G31" s="886"/>
      <c r="H31" s="878"/>
      <c r="I31" s="878"/>
    </row>
    <row r="32" spans="1:9" s="887" customFormat="1" ht="19.5" customHeight="1">
      <c r="A32" s="3343"/>
      <c r="B32" s="3343"/>
      <c r="C32" s="883" t="s">
        <v>586</v>
      </c>
      <c r="D32" s="884"/>
      <c r="E32" s="882">
        <v>0.8</v>
      </c>
      <c r="F32" s="885" t="s">
        <v>587</v>
      </c>
      <c r="G32" s="886"/>
      <c r="H32" s="878"/>
      <c r="I32" s="878"/>
    </row>
    <row r="33" spans="1:9" s="887" customFormat="1" ht="19.5" customHeight="1">
      <c r="A33" s="3343" t="s">
        <v>185</v>
      </c>
      <c r="B33" s="882" t="s">
        <v>560</v>
      </c>
      <c r="C33" s="883" t="s">
        <v>588</v>
      </c>
      <c r="D33" s="884"/>
      <c r="E33" s="882">
        <v>1</v>
      </c>
      <c r="F33" s="885" t="s">
        <v>589</v>
      </c>
      <c r="G33" s="886"/>
      <c r="H33" s="878"/>
      <c r="I33" s="878"/>
    </row>
    <row r="34" spans="1:9" s="887" customFormat="1" ht="19.5" customHeight="1">
      <c r="A34" s="3343"/>
      <c r="B34" s="882" t="s">
        <v>563</v>
      </c>
      <c r="C34" s="883" t="s">
        <v>590</v>
      </c>
      <c r="D34" s="884"/>
      <c r="E34" s="882">
        <v>1.5</v>
      </c>
      <c r="F34" s="885" t="s">
        <v>591</v>
      </c>
      <c r="G34" s="886"/>
      <c r="H34" s="878"/>
      <c r="I34" s="878"/>
    </row>
    <row r="35" spans="1:9" s="887" customFormat="1" ht="19.5" customHeight="1">
      <c r="A35" s="3343" t="s">
        <v>186</v>
      </c>
      <c r="B35" s="882" t="s">
        <v>560</v>
      </c>
      <c r="C35" s="883" t="s">
        <v>592</v>
      </c>
      <c r="D35" s="884"/>
      <c r="E35" s="882">
        <v>1</v>
      </c>
      <c r="F35" s="885" t="s">
        <v>593</v>
      </c>
      <c r="G35" s="886"/>
      <c r="H35" s="878"/>
      <c r="I35" s="878"/>
    </row>
    <row r="36" spans="1:9" s="887" customFormat="1" ht="19.5" customHeight="1">
      <c r="A36" s="3343"/>
      <c r="B36" s="3343" t="s">
        <v>563</v>
      </c>
      <c r="C36" s="883" t="s">
        <v>594</v>
      </c>
      <c r="D36" s="884"/>
      <c r="E36" s="882">
        <v>1</v>
      </c>
      <c r="F36" s="885" t="s">
        <v>595</v>
      </c>
      <c r="G36" s="886"/>
      <c r="H36" s="878"/>
      <c r="I36" s="878"/>
    </row>
    <row r="37" spans="1:9" s="887" customFormat="1" ht="19.5" customHeight="1">
      <c r="A37" s="3343"/>
      <c r="B37" s="3343"/>
      <c r="C37" s="883" t="s">
        <v>596</v>
      </c>
      <c r="D37" s="884"/>
      <c r="E37" s="882">
        <v>1.5</v>
      </c>
      <c r="F37" s="885" t="s">
        <v>597</v>
      </c>
      <c r="G37" s="886"/>
      <c r="H37" s="878"/>
      <c r="I37" s="878"/>
    </row>
    <row r="38" spans="1:9" s="887" customFormat="1" ht="19.5" customHeight="1">
      <c r="A38" s="3343"/>
      <c r="B38" s="3343"/>
      <c r="C38" s="883" t="s">
        <v>598</v>
      </c>
      <c r="D38" s="884"/>
      <c r="E38" s="882">
        <v>1</v>
      </c>
      <c r="F38" s="885" t="s">
        <v>599</v>
      </c>
      <c r="G38" s="886"/>
      <c r="H38" s="878"/>
      <c r="I38" s="878"/>
    </row>
    <row r="39" spans="1:9" s="887" customFormat="1" ht="19.5" customHeight="1">
      <c r="A39" s="3343"/>
      <c r="B39" s="33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3" t="s">
        <v>614</v>
      </c>
      <c r="C61" s="818" t="s">
        <v>615</v>
      </c>
      <c r="D61" s="818" t="s">
        <v>616</v>
      </c>
      <c r="E61" s="895">
        <v>0.5</v>
      </c>
      <c r="F61" s="882">
        <v>80</v>
      </c>
    </row>
    <row r="62" spans="1:8" s="878" customFormat="1" ht="24">
      <c r="A62" s="882">
        <v>2</v>
      </c>
      <c r="B62" s="3343"/>
      <c r="C62" s="818" t="s">
        <v>617</v>
      </c>
      <c r="D62" s="818" t="s">
        <v>618</v>
      </c>
      <c r="E62" s="895">
        <v>0.5</v>
      </c>
      <c r="F62" s="882">
        <v>80</v>
      </c>
    </row>
    <row r="63" spans="1:8" s="878" customFormat="1" ht="36">
      <c r="A63" s="882">
        <v>3</v>
      </c>
      <c r="B63" s="3343"/>
      <c r="C63" s="818" t="s">
        <v>619</v>
      </c>
      <c r="D63" s="818" t="s">
        <v>620</v>
      </c>
      <c r="E63" s="895">
        <v>0.5</v>
      </c>
      <c r="F63" s="882">
        <v>80</v>
      </c>
    </row>
    <row r="64" spans="1:8" s="878" customFormat="1" ht="36">
      <c r="A64" s="882">
        <v>4</v>
      </c>
      <c r="B64" s="3343"/>
      <c r="C64" s="818" t="s">
        <v>621</v>
      </c>
      <c r="D64" s="818" t="s">
        <v>622</v>
      </c>
      <c r="E64" s="895">
        <v>0.4</v>
      </c>
      <c r="F64" s="882">
        <v>60</v>
      </c>
    </row>
    <row r="65" spans="1:6" s="878" customFormat="1" ht="36">
      <c r="A65" s="882">
        <v>5</v>
      </c>
      <c r="B65" s="3343"/>
      <c r="C65" s="818" t="s">
        <v>623</v>
      </c>
      <c r="D65" s="818" t="s">
        <v>624</v>
      </c>
      <c r="E65" s="895">
        <v>0.2</v>
      </c>
      <c r="F65" s="882">
        <v>30</v>
      </c>
    </row>
    <row r="66" spans="1:6" s="878" customFormat="1" ht="36">
      <c r="A66" s="882">
        <v>6</v>
      </c>
      <c r="B66" s="3343"/>
      <c r="C66" s="818" t="s">
        <v>625</v>
      </c>
      <c r="D66" s="818" t="s">
        <v>626</v>
      </c>
      <c r="E66" s="895">
        <v>0.3</v>
      </c>
      <c r="F66" s="882">
        <v>50</v>
      </c>
    </row>
    <row r="67" spans="1:6" s="878" customFormat="1" ht="36">
      <c r="A67" s="882">
        <v>7</v>
      </c>
      <c r="B67" s="3343"/>
      <c r="C67" s="818" t="s">
        <v>627</v>
      </c>
      <c r="D67" s="818" t="s">
        <v>628</v>
      </c>
      <c r="E67" s="895">
        <v>0.2</v>
      </c>
      <c r="F67" s="882">
        <v>30</v>
      </c>
    </row>
    <row r="68" spans="1:6" s="878" customFormat="1" ht="36">
      <c r="A68" s="882">
        <v>8</v>
      </c>
      <c r="B68" s="3343"/>
      <c r="C68" s="818" t="s">
        <v>629</v>
      </c>
      <c r="D68" s="818" t="s">
        <v>630</v>
      </c>
      <c r="E68" s="895">
        <v>0.2</v>
      </c>
      <c r="F68" s="882">
        <v>30</v>
      </c>
    </row>
    <row r="69" spans="1:6" s="878" customFormat="1" ht="36">
      <c r="A69" s="882">
        <v>9</v>
      </c>
      <c r="B69" s="3343"/>
      <c r="C69" s="818" t="s">
        <v>631</v>
      </c>
      <c r="D69" s="818" t="s">
        <v>632</v>
      </c>
      <c r="E69" s="895">
        <v>0.2</v>
      </c>
      <c r="F69" s="882">
        <v>30</v>
      </c>
    </row>
    <row r="70" spans="1:6" s="878" customFormat="1" ht="48">
      <c r="A70" s="882">
        <v>10</v>
      </c>
      <c r="B70" s="3343"/>
      <c r="C70" s="818" t="s">
        <v>633</v>
      </c>
      <c r="D70" s="818" t="s">
        <v>634</v>
      </c>
      <c r="E70" s="895">
        <v>0.2</v>
      </c>
      <c r="F70" s="882">
        <v>30</v>
      </c>
    </row>
    <row r="71" spans="1:6" s="878" customFormat="1" ht="48">
      <c r="A71" s="882">
        <v>11</v>
      </c>
      <c r="B71" s="3343"/>
      <c r="C71" s="818" t="s">
        <v>635</v>
      </c>
      <c r="D71" s="818" t="s">
        <v>636</v>
      </c>
      <c r="E71" s="895">
        <v>0.2</v>
      </c>
      <c r="F71" s="882">
        <v>30</v>
      </c>
    </row>
    <row r="72" spans="1:6" s="878" customFormat="1" ht="36">
      <c r="A72" s="882">
        <v>12</v>
      </c>
      <c r="B72" s="3343"/>
      <c r="C72" s="818" t="s">
        <v>637</v>
      </c>
      <c r="D72" s="818" t="s">
        <v>638</v>
      </c>
      <c r="E72" s="895">
        <v>0.5</v>
      </c>
      <c r="F72" s="882">
        <v>80</v>
      </c>
    </row>
    <row r="73" spans="1:6" s="878" customFormat="1" ht="24">
      <c r="A73" s="882">
        <v>13</v>
      </c>
      <c r="B73" s="3343"/>
      <c r="C73" s="818" t="s">
        <v>639</v>
      </c>
      <c r="D73" s="818" t="s">
        <v>640</v>
      </c>
      <c r="E73" s="895">
        <v>0.4</v>
      </c>
      <c r="F73" s="882">
        <v>60</v>
      </c>
    </row>
    <row r="74" spans="1:6" s="878" customFormat="1" ht="24">
      <c r="A74" s="882">
        <v>14</v>
      </c>
      <c r="B74" s="3343"/>
      <c r="C74" s="818" t="s">
        <v>641</v>
      </c>
      <c r="D74" s="818" t="s">
        <v>642</v>
      </c>
      <c r="E74" s="895">
        <v>0.2</v>
      </c>
      <c r="F74" s="882">
        <v>30</v>
      </c>
    </row>
    <row r="75" spans="1:6" s="878" customFormat="1" ht="24">
      <c r="A75" s="882">
        <v>15</v>
      </c>
      <c r="B75" s="3343"/>
      <c r="C75" s="818" t="s">
        <v>643</v>
      </c>
      <c r="D75" s="818" t="s">
        <v>644</v>
      </c>
      <c r="E75" s="895">
        <v>0.2</v>
      </c>
      <c r="F75" s="882">
        <v>30</v>
      </c>
    </row>
    <row r="76" spans="1:6" s="878" customFormat="1" ht="24">
      <c r="A76" s="882">
        <v>16</v>
      </c>
      <c r="B76" s="3343" t="s">
        <v>645</v>
      </c>
      <c r="C76" s="818" t="s">
        <v>646</v>
      </c>
      <c r="D76" s="818" t="s">
        <v>647</v>
      </c>
      <c r="E76" s="895">
        <v>0.5</v>
      </c>
      <c r="F76" s="882">
        <v>80</v>
      </c>
    </row>
    <row r="77" spans="1:6" s="878" customFormat="1" ht="24">
      <c r="A77" s="882">
        <v>17</v>
      </c>
      <c r="B77" s="3343"/>
      <c r="C77" s="818" t="s">
        <v>648</v>
      </c>
      <c r="D77" s="818" t="s">
        <v>649</v>
      </c>
      <c r="E77" s="895">
        <v>0.5</v>
      </c>
      <c r="F77" s="882">
        <v>80</v>
      </c>
    </row>
    <row r="78" spans="1:6" s="878" customFormat="1" ht="24">
      <c r="A78" s="882">
        <v>18</v>
      </c>
      <c r="B78" s="3343"/>
      <c r="C78" s="818" t="s">
        <v>650</v>
      </c>
      <c r="D78" s="818" t="s">
        <v>651</v>
      </c>
      <c r="E78" s="895">
        <v>0.2</v>
      </c>
      <c r="F78" s="882">
        <v>30</v>
      </c>
    </row>
    <row r="79" spans="1:6" s="878" customFormat="1" ht="24">
      <c r="A79" s="882">
        <v>19</v>
      </c>
      <c r="B79" s="3343"/>
      <c r="C79" s="818" t="s">
        <v>652</v>
      </c>
      <c r="D79" s="818" t="s">
        <v>653</v>
      </c>
      <c r="E79" s="895">
        <v>0.5</v>
      </c>
      <c r="F79" s="882">
        <v>80</v>
      </c>
    </row>
    <row r="80" spans="1:6" s="878" customFormat="1" ht="36">
      <c r="A80" s="882">
        <v>20</v>
      </c>
      <c r="B80" s="3343"/>
      <c r="C80" s="818" t="s">
        <v>654</v>
      </c>
      <c r="D80" s="818" t="s">
        <v>655</v>
      </c>
      <c r="E80" s="895">
        <v>0.2</v>
      </c>
      <c r="F80" s="882">
        <v>30</v>
      </c>
    </row>
    <row r="81" spans="1:6" s="878" customFormat="1" ht="36">
      <c r="A81" s="882">
        <v>21</v>
      </c>
      <c r="B81" s="3343"/>
      <c r="C81" s="818" t="s">
        <v>656</v>
      </c>
      <c r="D81" s="818" t="s">
        <v>657</v>
      </c>
      <c r="E81" s="895">
        <v>0.2</v>
      </c>
      <c r="F81" s="882">
        <v>30</v>
      </c>
    </row>
    <row r="82" spans="1:6" s="878" customFormat="1" ht="48">
      <c r="A82" s="882">
        <v>22</v>
      </c>
      <c r="B82" s="3343"/>
      <c r="C82" s="818" t="s">
        <v>658</v>
      </c>
      <c r="D82" s="818" t="s">
        <v>659</v>
      </c>
      <c r="E82" s="895">
        <v>0.2</v>
      </c>
      <c r="F82" s="882">
        <v>30</v>
      </c>
    </row>
    <row r="83" spans="1:6" s="878" customFormat="1" ht="48">
      <c r="A83" s="882">
        <v>23</v>
      </c>
      <c r="B83" s="3343"/>
      <c r="C83" s="818" t="s">
        <v>660</v>
      </c>
      <c r="D83" s="818" t="s">
        <v>661</v>
      </c>
      <c r="E83" s="895">
        <v>0.2</v>
      </c>
      <c r="F83" s="882">
        <v>30</v>
      </c>
    </row>
    <row r="84" spans="1:6" s="878" customFormat="1" ht="36">
      <c r="A84" s="882">
        <v>24</v>
      </c>
      <c r="B84" s="3343"/>
      <c r="C84" s="818" t="s">
        <v>662</v>
      </c>
      <c r="D84" s="818" t="s">
        <v>663</v>
      </c>
      <c r="E84" s="895">
        <v>0.2</v>
      </c>
      <c r="F84" s="882">
        <v>30</v>
      </c>
    </row>
    <row r="85" spans="1:6" s="878" customFormat="1" ht="36">
      <c r="A85" s="882">
        <v>25</v>
      </c>
      <c r="B85" s="3343"/>
      <c r="C85" s="818" t="s">
        <v>664</v>
      </c>
      <c r="D85" s="818" t="s">
        <v>665</v>
      </c>
      <c r="E85" s="895">
        <v>0.5</v>
      </c>
      <c r="F85" s="882">
        <v>80</v>
      </c>
    </row>
    <row r="86" spans="1:6" s="878" customFormat="1" ht="36">
      <c r="A86" s="882">
        <v>26</v>
      </c>
      <c r="B86" s="3343"/>
      <c r="C86" s="818" t="s">
        <v>666</v>
      </c>
      <c r="D86" s="818" t="s">
        <v>667</v>
      </c>
      <c r="E86" s="895">
        <v>0.2</v>
      </c>
      <c r="F86" s="882">
        <v>30</v>
      </c>
    </row>
    <row r="87" spans="1:6" s="878" customFormat="1" ht="36">
      <c r="A87" s="882">
        <v>27</v>
      </c>
      <c r="B87" s="3343"/>
      <c r="C87" s="818" t="s">
        <v>668</v>
      </c>
      <c r="D87" s="818" t="s">
        <v>669</v>
      </c>
      <c r="E87" s="895">
        <v>0.2</v>
      </c>
      <c r="F87" s="882">
        <v>30</v>
      </c>
    </row>
    <row r="88" spans="1:6" s="878" customFormat="1" ht="36">
      <c r="A88" s="882">
        <v>28</v>
      </c>
      <c r="B88" s="3343"/>
      <c r="C88" s="818" t="s">
        <v>670</v>
      </c>
      <c r="D88" s="818" t="s">
        <v>671</v>
      </c>
      <c r="E88" s="895">
        <v>0.2</v>
      </c>
      <c r="F88" s="882">
        <v>30</v>
      </c>
    </row>
    <row r="89" spans="1:6" s="878" customFormat="1" ht="24">
      <c r="A89" s="882">
        <v>29</v>
      </c>
      <c r="B89" s="3343"/>
      <c r="C89" s="818" t="s">
        <v>672</v>
      </c>
      <c r="D89" s="818" t="s">
        <v>673</v>
      </c>
      <c r="E89" s="895">
        <v>0.2</v>
      </c>
      <c r="F89" s="882">
        <v>30</v>
      </c>
    </row>
    <row r="90" spans="1:6" s="878" customFormat="1" ht="24">
      <c r="A90" s="882">
        <v>30</v>
      </c>
      <c r="B90" s="3343"/>
      <c r="C90" s="818" t="s">
        <v>674</v>
      </c>
      <c r="D90" s="818" t="s">
        <v>675</v>
      </c>
      <c r="E90" s="895">
        <v>0.2</v>
      </c>
      <c r="F90" s="882">
        <v>30</v>
      </c>
    </row>
    <row r="91" spans="1:6" s="878" customFormat="1" ht="36">
      <c r="A91" s="882">
        <v>31</v>
      </c>
      <c r="B91" s="3343"/>
      <c r="C91" s="818" t="s">
        <v>676</v>
      </c>
      <c r="D91" s="818" t="s">
        <v>677</v>
      </c>
      <c r="E91" s="895">
        <v>0.2</v>
      </c>
      <c r="F91" s="882">
        <v>30</v>
      </c>
    </row>
    <row r="92" spans="1:6" s="878" customFormat="1" ht="24">
      <c r="A92" s="882">
        <v>32</v>
      </c>
      <c r="B92" s="3343" t="s">
        <v>678</v>
      </c>
      <c r="C92" s="882" t="s">
        <v>679</v>
      </c>
      <c r="D92" s="818" t="s">
        <v>680</v>
      </c>
      <c r="E92" s="895">
        <v>0.2</v>
      </c>
      <c r="F92" s="882">
        <v>30</v>
      </c>
    </row>
    <row r="93" spans="1:6" s="878" customFormat="1" ht="36">
      <c r="A93" s="882">
        <v>33</v>
      </c>
      <c r="B93" s="3343"/>
      <c r="C93" s="882" t="s">
        <v>681</v>
      </c>
      <c r="D93" s="818" t="s">
        <v>682</v>
      </c>
      <c r="E93" s="895">
        <v>0.2</v>
      </c>
      <c r="F93" s="882">
        <v>30</v>
      </c>
    </row>
    <row r="94" spans="1:6" s="878" customFormat="1" ht="48">
      <c r="A94" s="882">
        <v>34</v>
      </c>
      <c r="B94" s="3343"/>
      <c r="C94" s="882" t="s">
        <v>683</v>
      </c>
      <c r="D94" s="818" t="s">
        <v>684</v>
      </c>
      <c r="E94" s="895">
        <v>0.2</v>
      </c>
      <c r="F94" s="882">
        <v>30</v>
      </c>
    </row>
    <row r="95" spans="1:6" s="878" customFormat="1" ht="36">
      <c r="A95" s="882">
        <v>35</v>
      </c>
      <c r="B95" s="3343"/>
      <c r="C95" s="882" t="s">
        <v>685</v>
      </c>
      <c r="D95" s="818" t="s">
        <v>686</v>
      </c>
      <c r="E95" s="895">
        <v>0.2</v>
      </c>
      <c r="F95" s="882">
        <v>30</v>
      </c>
    </row>
    <row r="96" spans="1:6" s="878" customFormat="1" ht="48">
      <c r="A96" s="882">
        <v>36</v>
      </c>
      <c r="B96" s="3343"/>
      <c r="C96" s="818" t="s">
        <v>687</v>
      </c>
      <c r="D96" s="818" t="s">
        <v>688</v>
      </c>
      <c r="E96" s="895">
        <v>0.2</v>
      </c>
      <c r="F96" s="882">
        <v>30</v>
      </c>
    </row>
    <row r="97" spans="1:6" s="878" customFormat="1" ht="36">
      <c r="A97" s="882">
        <v>37</v>
      </c>
      <c r="B97" s="3343"/>
      <c r="C97" s="882" t="s">
        <v>689</v>
      </c>
      <c r="D97" s="818" t="s">
        <v>690</v>
      </c>
      <c r="E97" s="895">
        <v>0.2</v>
      </c>
      <c r="F97" s="882">
        <v>30</v>
      </c>
    </row>
    <row r="98" spans="1:6" s="878" customFormat="1" ht="36">
      <c r="A98" s="882">
        <v>38</v>
      </c>
      <c r="B98" s="3343"/>
      <c r="C98" s="882" t="s">
        <v>691</v>
      </c>
      <c r="D98" s="818" t="s">
        <v>692</v>
      </c>
      <c r="E98" s="895">
        <v>0.2</v>
      </c>
      <c r="F98" s="882">
        <v>30</v>
      </c>
    </row>
    <row r="99" spans="1:6" s="878" customFormat="1" ht="36">
      <c r="A99" s="882">
        <v>39</v>
      </c>
      <c r="B99" s="3343" t="s">
        <v>693</v>
      </c>
      <c r="C99" s="882" t="s">
        <v>694</v>
      </c>
      <c r="D99" s="818" t="s">
        <v>695</v>
      </c>
      <c r="E99" s="895">
        <v>0.3</v>
      </c>
      <c r="F99" s="882">
        <v>50</v>
      </c>
    </row>
    <row r="100" spans="1:6" s="878" customFormat="1" ht="24">
      <c r="A100" s="882">
        <v>40</v>
      </c>
      <c r="B100" s="3343"/>
      <c r="C100" s="882" t="s">
        <v>696</v>
      </c>
      <c r="D100" s="818" t="s">
        <v>697</v>
      </c>
      <c r="E100" s="895">
        <v>0.2</v>
      </c>
      <c r="F100" s="882">
        <v>30</v>
      </c>
    </row>
    <row r="101" spans="1:6" s="878" customFormat="1" ht="36">
      <c r="A101" s="882">
        <v>41</v>
      </c>
      <c r="B101" s="334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3" t="s">
        <v>708</v>
      </c>
      <c r="C105" s="882" t="s">
        <v>709</v>
      </c>
      <c r="D105" s="818" t="s">
        <v>710</v>
      </c>
      <c r="E105" s="895">
        <v>0.2</v>
      </c>
      <c r="F105" s="882">
        <v>30</v>
      </c>
    </row>
    <row r="106" spans="1:6" s="878" customFormat="1" ht="36">
      <c r="A106" s="882">
        <v>46</v>
      </c>
      <c r="B106" s="3343"/>
      <c r="C106" s="882" t="s">
        <v>711</v>
      </c>
      <c r="D106" s="818" t="s">
        <v>712</v>
      </c>
      <c r="E106" s="895">
        <v>0.2</v>
      </c>
      <c r="F106" s="882">
        <v>30</v>
      </c>
    </row>
    <row r="107" spans="1:6" s="878" customFormat="1" ht="36">
      <c r="A107" s="882">
        <v>47</v>
      </c>
      <c r="B107" s="3343" t="s">
        <v>713</v>
      </c>
      <c r="C107" s="882" t="s">
        <v>714</v>
      </c>
      <c r="D107" s="818" t="s">
        <v>715</v>
      </c>
      <c r="E107" s="895">
        <v>0.3</v>
      </c>
      <c r="F107" s="882">
        <v>50</v>
      </c>
    </row>
    <row r="108" spans="1:6" s="878" customFormat="1" ht="36">
      <c r="A108" s="882">
        <v>48</v>
      </c>
      <c r="B108" s="33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3" t="s">
        <v>724</v>
      </c>
      <c r="C111" s="882" t="s">
        <v>725</v>
      </c>
      <c r="D111" s="818" t="s">
        <v>726</v>
      </c>
      <c r="E111" s="895">
        <v>0.2</v>
      </c>
      <c r="F111" s="882">
        <v>30</v>
      </c>
    </row>
    <row r="112" spans="1:6" s="878" customFormat="1" ht="24">
      <c r="A112" s="882">
        <v>52</v>
      </c>
      <c r="B112" s="3343"/>
      <c r="C112" s="882" t="s">
        <v>727</v>
      </c>
      <c r="D112" s="818" t="s">
        <v>728</v>
      </c>
      <c r="E112" s="895">
        <v>0.2</v>
      </c>
      <c r="F112" s="882">
        <v>30</v>
      </c>
    </row>
    <row r="113" spans="1:6" s="878" customFormat="1" ht="24">
      <c r="A113" s="882">
        <v>53</v>
      </c>
      <c r="B113" s="334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3" t="s">
        <v>737</v>
      </c>
      <c r="C116" s="882" t="s">
        <v>738</v>
      </c>
      <c r="D116" s="818" t="s">
        <v>739</v>
      </c>
      <c r="E116" s="895">
        <v>0.2</v>
      </c>
      <c r="F116" s="882">
        <v>30</v>
      </c>
    </row>
    <row r="117" spans="1:6" ht="36">
      <c r="A117" s="882">
        <v>57</v>
      </c>
      <c r="B117" s="334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t="e">
        <f ca="1">SUMIF(B6:B13,"&lt;&gt;#ref!",B6:B13)</f>
        <v>#DIV/0!</v>
      </c>
      <c r="C2" s="2913" t="s">
        <v>2999</v>
      </c>
      <c r="D2" s="2913" t="s">
        <v>3000</v>
      </c>
      <c r="E2" s="2914">
        <f ca="1">SUMIF(E6:E13,"&lt;&gt;#ref!",E6:E13)</f>
        <v>0</v>
      </c>
    </row>
    <row r="3" spans="1:5" ht="15.75">
      <c r="A3" s="2913" t="s">
        <v>3001</v>
      </c>
      <c r="B3" s="2914" t="e">
        <f ca="1">ROUND(B2*10000/E2,0)</f>
        <v>#DIV/0!</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t="e">
        <f ca="1">SUMIF(INDIRECT("'"&amp;A6&amp;"'"&amp;"!A:A"),"总价",INDIRECT("'"&amp;A6&amp;"'"&amp;"!B:B"))</f>
        <v>#DIV/0!</v>
      </c>
      <c r="C6" s="2913" t="s">
        <v>2999</v>
      </c>
      <c r="D6" s="2915"/>
      <c r="E6" s="2578">
        <f ca="1">SUMIF(INDIRECT("'"&amp;A6&amp;"'"&amp;"!C:C"),"建筑面积",INDIRECT("'"&amp;A6&amp;"'"&amp;"!D:D"))</f>
        <v>0</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9" t="s">
        <v>1150</v>
      </c>
      <c r="C1" s="3349"/>
      <c r="D1" s="3349"/>
      <c r="E1" s="3349"/>
      <c r="F1" s="3349"/>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5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4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4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4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4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4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4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4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4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4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4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4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5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5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5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5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4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4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4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4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4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4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4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4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4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4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4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4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4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4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4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4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4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4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4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4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4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4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4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4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4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4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4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4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4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4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4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4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4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4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4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4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46">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47">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47">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48">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46">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47">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47">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4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64"/>
      <c r="B4" s="3041" t="s">
        <v>1630</v>
      </c>
      <c r="C4" s="3041"/>
      <c r="D4" s="3041"/>
      <c r="E4" s="1964"/>
    </row>
    <row r="5" spans="1:5" ht="16.5" thickTop="1">
      <c r="A5" s="1962"/>
      <c r="B5" s="3039" t="s">
        <v>1622</v>
      </c>
      <c r="C5" s="1965" t="s">
        <v>1623</v>
      </c>
      <c r="D5" s="1043">
        <f ca="1">结果表!H101</f>
        <v>90067</v>
      </c>
      <c r="E5" s="1962"/>
    </row>
    <row r="6" spans="1:5" ht="15.75">
      <c r="A6" s="1962"/>
      <c r="B6" s="3039"/>
      <c r="C6" s="1965" t="s">
        <v>1624</v>
      </c>
      <c r="D6" s="1043" t="str">
        <f ca="1">NUMBERSTRING(INT(D5*10000),2)&amp;"元整"</f>
        <v>玖亿零陆拾柒万元整</v>
      </c>
      <c r="E6" s="1962"/>
    </row>
    <row r="7" spans="1:5" ht="15.75">
      <c r="A7" s="1962"/>
      <c r="B7" s="3044"/>
      <c r="C7" s="1966" t="s">
        <v>1625</v>
      </c>
      <c r="D7" s="1044">
        <f ca="1">结果表!H102</f>
        <v>9268</v>
      </c>
      <c r="E7" s="1962"/>
    </row>
    <row r="8" spans="1:5" ht="15.75">
      <c r="A8" s="1962"/>
      <c r="B8" s="3045" t="str">
        <f>结果表!E103</f>
        <v>2.估价师知悉的法定优先受偿款</v>
      </c>
      <c r="C8" s="1967" t="s">
        <v>1626</v>
      </c>
      <c r="D8" s="1044">
        <f>结果表!H103</f>
        <v>0</v>
      </c>
      <c r="E8" s="1962"/>
    </row>
    <row r="9" spans="1:5" ht="15.75">
      <c r="A9" s="1962"/>
      <c r="B9" s="304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8" t="str">
        <f>结果表!E107</f>
        <v>3.房地产抵押价值</v>
      </c>
      <c r="C13" s="1970" t="s">
        <v>1623</v>
      </c>
      <c r="D13" s="1046">
        <f ca="1">结果表!H107</f>
        <v>90067</v>
      </c>
      <c r="E13" s="1962"/>
    </row>
    <row r="14" spans="1:5" ht="15.75">
      <c r="A14" s="1962"/>
      <c r="B14" s="3039"/>
      <c r="C14" s="1965" t="s">
        <v>1624</v>
      </c>
      <c r="D14" s="1043" t="str">
        <f ca="1">NUMBERSTRING(INT(D13*10000),2)&amp;"元整"</f>
        <v>玖亿零陆拾柒万元整</v>
      </c>
      <c r="E14" s="1962"/>
    </row>
    <row r="15" spans="1:5" ht="15">
      <c r="A15" s="1962"/>
      <c r="B15" s="3044"/>
      <c r="C15" s="1966" t="s">
        <v>1634</v>
      </c>
      <c r="D15" s="1055">
        <f ca="1">结果表!H108</f>
        <v>9268</v>
      </c>
      <c r="E15" s="1962"/>
    </row>
    <row r="16" spans="1:5" ht="15">
      <c r="A16" s="1962"/>
      <c r="B16" s="3045" t="str">
        <f>结果表!E109</f>
        <v>——</v>
      </c>
      <c r="C16" s="1970" t="s">
        <v>1635</v>
      </c>
      <c r="D16" s="1971" t="str">
        <f>结果表!H109</f>
        <v>——</v>
      </c>
      <c r="E16" s="1962"/>
    </row>
    <row r="17" spans="1:5" ht="15.75">
      <c r="A17" s="1962"/>
      <c r="B17" s="3046"/>
      <c r="C17" s="1965" t="s">
        <v>1636</v>
      </c>
      <c r="D17" s="1043" t="e">
        <f>NUMBERSTRING(INT(D16*10000),2)&amp;"元整"</f>
        <v>#VALUE!</v>
      </c>
      <c r="E17" s="1962"/>
    </row>
    <row r="18" spans="1:5" ht="15">
      <c r="A18" s="1962"/>
      <c r="B18" s="3047"/>
      <c r="C18" s="1966" t="s">
        <v>1625</v>
      </c>
      <c r="D18" s="1055" t="str">
        <f>结果表!H110</f>
        <v>——</v>
      </c>
      <c r="E18" s="1962"/>
    </row>
    <row r="19" spans="1:5" ht="15.75">
      <c r="A19" s="1962"/>
      <c r="B19" s="3038" t="str">
        <f>结果表!E111</f>
        <v>——</v>
      </c>
      <c r="C19" s="1970" t="s">
        <v>1623</v>
      </c>
      <c r="D19" s="1044" t="str">
        <f>结果表!H111</f>
        <v>——</v>
      </c>
      <c r="E19" s="1962"/>
    </row>
    <row r="20" spans="1:5" ht="15.75">
      <c r="A20" s="1962"/>
      <c r="B20" s="3039"/>
      <c r="C20" s="1965" t="s">
        <v>1636</v>
      </c>
      <c r="D20" s="1043" t="e">
        <f>NUMBERSTRING(INT(D19*10000),2)&amp;"元整"</f>
        <v>#VALUE!</v>
      </c>
      <c r="E20" s="1962"/>
    </row>
    <row r="21" spans="1:5" ht="15.75" thickBot="1">
      <c r="A21" s="1962"/>
      <c r="B21" s="304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55" t="s">
        <v>3009</v>
      </c>
      <c r="D1" s="3356"/>
      <c r="E1" s="3356"/>
      <c r="F1" s="3356"/>
      <c r="G1" s="3356"/>
      <c r="H1" s="3356"/>
      <c r="I1" s="3356"/>
      <c r="J1" s="3356"/>
      <c r="K1" s="3356"/>
      <c r="L1" s="3356"/>
      <c r="M1" s="3356"/>
      <c r="N1" s="3356"/>
      <c r="O1" s="3356"/>
      <c r="P1" s="3356"/>
      <c r="Q1" s="3356"/>
      <c r="R1" s="3356"/>
      <c r="S1" s="335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8" t="s">
        <v>33</v>
      </c>
      <c r="D22" s="3139"/>
      <c r="E22" s="3139"/>
      <c r="F22" s="3139"/>
      <c r="G22" s="3139"/>
      <c r="H22" s="3139"/>
      <c r="I22" s="3139"/>
      <c r="J22" s="3139"/>
      <c r="K22" s="3139"/>
      <c r="L22" s="3139"/>
      <c r="M22" s="3139"/>
      <c r="N22" s="3139"/>
      <c r="O22" s="3139"/>
      <c r="P22" s="3139"/>
      <c r="Q22" s="335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66882</v>
      </c>
      <c r="C2" s="2" t="s">
        <v>133</v>
      </c>
      <c r="D2" s="243"/>
      <c r="E2" s="243"/>
      <c r="F2" s="243"/>
      <c r="G2" s="243"/>
    </row>
    <row r="3" spans="1:7" s="244" customFormat="1" ht="18" customHeight="1" thickBot="1">
      <c r="A3" s="247" t="s">
        <v>85</v>
      </c>
      <c r="B3" s="248">
        <f ca="1">ROUND(B2*10000/'数据-汇总表'!E3,0)</f>
        <v>6882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1166</v>
      </c>
      <c r="D10" s="1035">
        <f>'数据-汇总表'!E6</f>
        <v>97185.05</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1944</v>
      </c>
      <c r="D19" s="1039">
        <f>'数据-汇总表'!E3</f>
        <v>97185.05</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1304</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1180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111</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3313</v>
      </c>
      <c r="D27" s="279">
        <f>C29</f>
        <v>2.8999999999999998E-3</v>
      </c>
      <c r="E27" s="280" t="s">
        <v>126</v>
      </c>
      <c r="F27" s="290">
        <f>'数据-取费表'!Q16</f>
        <v>0.18</v>
      </c>
      <c r="G27" s="291" t="s">
        <v>1069</v>
      </c>
    </row>
    <row r="28" spans="1:7" s="258" customFormat="1" ht="13.5" customHeight="1">
      <c r="A28" s="954" t="s">
        <v>794</v>
      </c>
      <c r="B28" s="292" t="s">
        <v>1062</v>
      </c>
      <c r="C28" s="293">
        <f>ROUND((C5+C19+C20)*F27*'数据-取费表'!B21/'数据-取费表'!B20,0)</f>
        <v>3313</v>
      </c>
      <c r="D28" s="279"/>
      <c r="E28" s="280"/>
      <c r="F28" s="290"/>
      <c r="G28" s="291"/>
    </row>
    <row r="29" spans="1:7" s="258" customFormat="1" ht="13.5" customHeight="1">
      <c r="A29" s="954" t="s">
        <v>792</v>
      </c>
      <c r="B29" s="292" t="s">
        <v>1063</v>
      </c>
      <c r="C29" s="282">
        <f>ROUND(C21*F27*'数据-取费表'!B21/'数据-取费表'!B20,4)</f>
        <v>2.8999999999999998E-3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27666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25080</v>
      </c>
      <c r="D34" s="261"/>
      <c r="E34" s="264"/>
      <c r="F34" s="301">
        <f>IF('数据-取费表'!B24=0,1,'数据-取费表'!N16)</f>
        <v>0.75</v>
      </c>
      <c r="G34" s="263" t="s">
        <v>116</v>
      </c>
    </row>
    <row r="35" spans="1:7" ht="13.5" customHeight="1">
      <c r="A35" s="954" t="s">
        <v>796</v>
      </c>
      <c r="B35" s="259" t="s">
        <v>60</v>
      </c>
      <c r="C35" s="264">
        <f>ROUND(C34*F35,0)</f>
        <v>752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1458</v>
      </c>
      <c r="D37" s="261">
        <f>'数据-汇总表'!E3</f>
        <v>97185.05</v>
      </c>
      <c r="E37" s="293">
        <f>'数据-取费表'!B35</f>
        <v>200</v>
      </c>
      <c r="F37" s="303"/>
      <c r="G37" s="305" t="s">
        <v>119</v>
      </c>
    </row>
    <row r="38" spans="1:7" ht="13.5" customHeight="1">
      <c r="A38" s="954" t="s">
        <v>799</v>
      </c>
      <c r="B38" s="259" t="s">
        <v>63</v>
      </c>
      <c r="C38" s="264">
        <f>ROUND(C34*F38,0)</f>
        <v>376</v>
      </c>
      <c r="D38" s="264"/>
      <c r="E38" s="264"/>
      <c r="F38" s="303">
        <f>'数据-取费表'!B36</f>
        <v>1.4999999999999999E-2</v>
      </c>
      <c r="G38" s="263" t="s">
        <v>117</v>
      </c>
    </row>
    <row r="39" spans="1:7" s="258" customFormat="1" ht="13.5" customHeight="1">
      <c r="A39" s="951" t="s">
        <v>783</v>
      </c>
      <c r="B39" s="254" t="s">
        <v>104</v>
      </c>
      <c r="C39" s="276">
        <f>ROUND(C33*F20,0)</f>
        <v>553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797</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781</v>
      </c>
      <c r="D42" s="282"/>
      <c r="E42" s="282"/>
      <c r="F42" s="283"/>
      <c r="G42" s="3223" t="s">
        <v>121</v>
      </c>
    </row>
    <row r="43" spans="1:7" ht="13.5" customHeight="1">
      <c r="A43" s="954" t="s">
        <v>792</v>
      </c>
      <c r="B43" s="259" t="s">
        <v>1064</v>
      </c>
      <c r="C43" s="282">
        <f ca="1">ROUND(IF('数据-取费表'!B22&lt;=1,C39*F22*'数据-取费表'!B21/2,C39*(POWER((1+F22),'数据-取费表'!B21/2)-1)),0)</f>
        <v>16</v>
      </c>
      <c r="D43" s="282"/>
      <c r="E43" s="282"/>
      <c r="F43" s="283"/>
      <c r="G43" s="3224"/>
    </row>
    <row r="44" spans="1:7" ht="13.5" customHeight="1">
      <c r="A44" s="954" t="s">
        <v>793</v>
      </c>
      <c r="B44" s="259" t="s">
        <v>1066</v>
      </c>
      <c r="C44" s="282">
        <f ca="1">ROUND(IF('数据-取费表'!B22&lt;=1,C40*F22*'数据-取费表'!B21/2,C40*(POWER((1+F22),'数据-取费表'!B21/2)-1)),4)</f>
        <v>5.9999999999999995E-4</v>
      </c>
      <c r="D44" s="282"/>
      <c r="E44" s="282"/>
      <c r="F44" s="283"/>
      <c r="G44" s="3225"/>
    </row>
    <row r="45" spans="1:7" s="258" customFormat="1" ht="13.5" customHeight="1">
      <c r="A45" s="951" t="s">
        <v>786</v>
      </c>
      <c r="B45" s="288" t="s">
        <v>112</v>
      </c>
      <c r="C45" s="289">
        <f>C46</f>
        <v>5079</v>
      </c>
      <c r="D45" s="279">
        <f>C47</f>
        <v>3.5999999999999999E-3</v>
      </c>
      <c r="E45" s="280" t="s">
        <v>129</v>
      </c>
      <c r="F45" s="290"/>
      <c r="G45" s="291" t="s">
        <v>1072</v>
      </c>
    </row>
    <row r="46" spans="1:7" s="258" customFormat="1" ht="13.5" customHeight="1">
      <c r="A46" s="954" t="s">
        <v>794</v>
      </c>
      <c r="B46" s="292" t="s">
        <v>1065</v>
      </c>
      <c r="C46" s="293">
        <f>ROUND((C33+C39)*F27,0)</f>
        <v>5079</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36961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36961</v>
      </c>
      <c r="D51" s="276"/>
      <c r="E51" s="276"/>
      <c r="F51" s="308"/>
      <c r="G51" s="278" t="s">
        <v>64</v>
      </c>
    </row>
    <row r="52" spans="1:7" s="252" customFormat="1" ht="16.5" thickBot="1">
      <c r="A52" s="309" t="s">
        <v>65</v>
      </c>
      <c r="B52" s="310"/>
      <c r="C52" s="311">
        <f ca="1">C31+C51</f>
        <v>66882</v>
      </c>
      <c r="D52" s="310"/>
      <c r="E52" s="310"/>
      <c r="F52" s="310"/>
      <c r="G52" s="312"/>
    </row>
    <row r="55" spans="1:7" ht="15">
      <c r="B55" s="314" t="s">
        <v>66</v>
      </c>
      <c r="C55" s="315"/>
    </row>
    <row r="56" spans="1:7">
      <c r="B56" s="317" t="s">
        <v>67</v>
      </c>
      <c r="C56" s="318">
        <f ca="1">ROUND(C51/C52,3)</f>
        <v>0.55300000000000005</v>
      </c>
    </row>
    <row r="57" spans="1:7">
      <c r="B57" s="317" t="s">
        <v>68</v>
      </c>
      <c r="C57" s="319">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8" t="s">
        <v>156</v>
      </c>
      <c r="B1" s="3358"/>
      <c r="C1" s="3358"/>
      <c r="D1" s="3358"/>
      <c r="E1" s="3358"/>
      <c r="F1" s="335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9" t="s">
        <v>169</v>
      </c>
      <c r="B2" s="3359"/>
      <c r="C2" s="3359"/>
      <c r="D2" s="3359"/>
      <c r="E2" s="3359"/>
      <c r="F2" s="335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8" t="s">
        <v>871</v>
      </c>
      <c r="B1" s="335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9" sqref="H9"/>
    </sheetView>
  </sheetViews>
  <sheetFormatPr defaultRowHeight="19.5" customHeight="1"/>
  <cols>
    <col min="1" max="1" width="5.125" style="2971" customWidth="1"/>
    <col min="2" max="2" width="18" style="2971" customWidth="1"/>
    <col min="3" max="4" width="13.25" style="2971" customWidth="1"/>
    <col min="5" max="5" width="10.75" style="2992" customWidth="1"/>
    <col min="6" max="6" width="11.75" style="2971" customWidth="1"/>
    <col min="7" max="7" width="15.625" style="2971" customWidth="1"/>
    <col min="8" max="8" width="11.75" style="2971" customWidth="1"/>
    <col min="9" max="9" width="20" style="2971" customWidth="1"/>
    <col min="10" max="16384" width="9" style="2971"/>
  </cols>
  <sheetData>
    <row r="1" spans="1:10" ht="12.75" thickBot="1">
      <c r="B1" s="2972" t="s">
        <v>3209</v>
      </c>
      <c r="C1" s="2973" t="s">
        <v>3082</v>
      </c>
      <c r="D1" s="2974" t="s">
        <v>3210</v>
      </c>
      <c r="E1" s="2975">
        <f>SUM(E3:E4)</f>
        <v>117760.1</v>
      </c>
      <c r="F1" s="2976">
        <f>F3+F4</f>
        <v>8</v>
      </c>
    </row>
    <row r="2" spans="1:10" ht="22.5">
      <c r="B2" s="2977" t="s">
        <v>3211</v>
      </c>
      <c r="C2" s="2978" t="s">
        <v>3212</v>
      </c>
      <c r="D2" s="2979" t="s">
        <v>3213</v>
      </c>
      <c r="E2" s="2979" t="s">
        <v>3214</v>
      </c>
      <c r="F2" s="2980" t="s">
        <v>3215</v>
      </c>
      <c r="G2" s="2981" t="s">
        <v>3213</v>
      </c>
      <c r="H2" s="2982" t="s">
        <v>3216</v>
      </c>
      <c r="I2" s="2983" t="s">
        <v>3217</v>
      </c>
    </row>
    <row r="3" spans="1:10" ht="12">
      <c r="B3" s="2977" t="s">
        <v>3218</v>
      </c>
      <c r="C3" s="2984">
        <f>D3*10000/E3</f>
        <v>3157.7751307653907</v>
      </c>
      <c r="D3" s="2974">
        <f>D11-D4</f>
        <v>24734</v>
      </c>
      <c r="E3" s="2985">
        <v>78327.3</v>
      </c>
      <c r="F3" s="2986">
        <v>6</v>
      </c>
      <c r="G3" s="2987">
        <f>D11-G4</f>
        <v>27269</v>
      </c>
      <c r="H3" s="2988">
        <v>3500</v>
      </c>
    </row>
    <row r="4" spans="1:10" ht="12.75" thickBot="1">
      <c r="B4" s="2989" t="s">
        <v>3219</v>
      </c>
      <c r="C4" s="2990">
        <f>D4*10000/E4</f>
        <v>3394.3823416039436</v>
      </c>
      <c r="D4" s="2991">
        <f>ROUND(D7+(D8+D9)*E4/E1+D13,0)</f>
        <v>13385</v>
      </c>
      <c r="E4" s="2992">
        <v>39432.800000000003</v>
      </c>
      <c r="F4" s="2993">
        <v>2</v>
      </c>
      <c r="G4" s="2994">
        <f>ROUND((D6+D9)*E4/E1+D13,0)</f>
        <v>10850</v>
      </c>
      <c r="H4" s="2995">
        <v>2500</v>
      </c>
    </row>
    <row r="5" spans="1:10" ht="12">
      <c r="A5" s="2996" t="s">
        <v>3220</v>
      </c>
      <c r="B5" s="2997" t="s">
        <v>3221</v>
      </c>
      <c r="C5" s="2998" t="s">
        <v>3222</v>
      </c>
      <c r="D5" s="2998" t="s">
        <v>3223</v>
      </c>
      <c r="E5" s="2999" t="s">
        <v>3224</v>
      </c>
      <c r="F5" s="2998" t="s">
        <v>3225</v>
      </c>
      <c r="G5" s="2979" t="s">
        <v>3226</v>
      </c>
      <c r="H5" s="2979" t="s">
        <v>3227</v>
      </c>
      <c r="I5" s="3000" t="s">
        <v>3228</v>
      </c>
    </row>
    <row r="6" spans="1:10" ht="12">
      <c r="A6" s="3001" t="s">
        <v>3229</v>
      </c>
      <c r="B6" s="3002" t="s">
        <v>3230</v>
      </c>
      <c r="C6" s="3003">
        <f>C7+C8</f>
        <v>1781</v>
      </c>
      <c r="D6" s="3003">
        <f>D7+D8</f>
        <v>20965.45</v>
      </c>
      <c r="E6" s="3004">
        <f>E7+E8</f>
        <v>0.55000000000000004</v>
      </c>
      <c r="F6" s="2979">
        <f>F7+F8</f>
        <v>20966</v>
      </c>
      <c r="G6" s="2979"/>
      <c r="H6" s="3005">
        <f>H7*E7+H8*E8</f>
        <v>0.55000000000000004</v>
      </c>
      <c r="I6" s="3006"/>
    </row>
    <row r="7" spans="1:10" s="3015" customFormat="1" ht="11.25">
      <c r="A7" s="3007" t="s">
        <v>3231</v>
      </c>
      <c r="B7" s="3008" t="s">
        <v>3232</v>
      </c>
      <c r="C7" s="3009">
        <f>ROUND($C$11*E7,0)</f>
        <v>324</v>
      </c>
      <c r="D7" s="3009">
        <f>$D$11*E7</f>
        <v>3811.9</v>
      </c>
      <c r="E7" s="3010">
        <v>0.1</v>
      </c>
      <c r="F7" s="3011">
        <f>ROUND(D7*H7,0)</f>
        <v>3812</v>
      </c>
      <c r="G7" s="3012" t="s">
        <v>3233</v>
      </c>
      <c r="H7" s="3013">
        <v>1</v>
      </c>
      <c r="I7" s="3014"/>
    </row>
    <row r="8" spans="1:10" s="3015" customFormat="1" ht="11.25">
      <c r="A8" s="3007" t="s">
        <v>3234</v>
      </c>
      <c r="B8" s="3008" t="s">
        <v>3235</v>
      </c>
      <c r="C8" s="3009">
        <f t="shared" ref="C8:C10" si="0">ROUND($C$11*E8,0)</f>
        <v>1457</v>
      </c>
      <c r="D8" s="3009">
        <f>$D$11*E8</f>
        <v>17153.55</v>
      </c>
      <c r="E8" s="3010">
        <v>0.45</v>
      </c>
      <c r="F8" s="3011">
        <f t="shared" ref="F8:F10" si="1">ROUND(D8*H8,0)</f>
        <v>17154</v>
      </c>
      <c r="G8" s="3012" t="s">
        <v>3236</v>
      </c>
      <c r="H8" s="3016">
        <v>1</v>
      </c>
      <c r="I8" s="3017" t="str">
        <f>"地下造价总额占比为"&amp;TEXT(D4/D11,"0.0%")</f>
        <v>地下造价总额占比为35.1%</v>
      </c>
      <c r="J8" s="3018" t="s">
        <v>3237</v>
      </c>
    </row>
    <row r="9" spans="1:10" ht="12">
      <c r="A9" s="3001" t="s">
        <v>3238</v>
      </c>
      <c r="B9" s="2977" t="s">
        <v>3239</v>
      </c>
      <c r="C9" s="3019">
        <f t="shared" si="0"/>
        <v>971</v>
      </c>
      <c r="D9" s="3019">
        <f>$D$11*E9</f>
        <v>11435.699999999999</v>
      </c>
      <c r="E9" s="3020">
        <v>0.3</v>
      </c>
      <c r="F9" s="2974">
        <f t="shared" si="1"/>
        <v>9720</v>
      </c>
      <c r="G9" s="3021"/>
      <c r="H9" s="3022">
        <v>0.85</v>
      </c>
      <c r="I9" s="3023"/>
    </row>
    <row r="10" spans="1:10" ht="12">
      <c r="A10" s="3001" t="s">
        <v>3240</v>
      </c>
      <c r="B10" s="2972" t="s">
        <v>3241</v>
      </c>
      <c r="C10" s="3019">
        <f t="shared" si="0"/>
        <v>486</v>
      </c>
      <c r="D10" s="3019">
        <f>$D$11*E10</f>
        <v>5717.8499999999995</v>
      </c>
      <c r="E10" s="3020">
        <v>0.15</v>
      </c>
      <c r="F10" s="2974">
        <f t="shared" si="1"/>
        <v>0</v>
      </c>
      <c r="G10" s="3024"/>
      <c r="H10" s="3025">
        <v>0</v>
      </c>
      <c r="I10" s="3026"/>
    </row>
    <row r="11" spans="1:10" s="3033" customFormat="1" ht="12.75" thickBot="1">
      <c r="A11" s="3362" t="s">
        <v>3242</v>
      </c>
      <c r="B11" s="3363"/>
      <c r="C11" s="3027">
        <v>3237</v>
      </c>
      <c r="D11" s="3028">
        <f>ROUND(C11*$E$1/10000,0)</f>
        <v>38119</v>
      </c>
      <c r="E11" s="3029">
        <f>SUM(E7:E10)</f>
        <v>1</v>
      </c>
      <c r="F11" s="3028">
        <f>SUM(F7:F10,0)</f>
        <v>30686</v>
      </c>
      <c r="G11" s="3030"/>
      <c r="H11" s="3031">
        <f>ROUND(H7*E7+H8*E8+H9*E9+H10*E10,3)</f>
        <v>0.80500000000000005</v>
      </c>
      <c r="I11" s="3032"/>
    </row>
    <row r="13" spans="1:10" ht="12">
      <c r="B13" s="2974" t="s">
        <v>3243</v>
      </c>
      <c r="C13" s="2985"/>
      <c r="D13" s="2974">
        <f>ROUND(C13*E4/10000,0)</f>
        <v>0</v>
      </c>
    </row>
    <row r="15" spans="1:10" ht="14.25">
      <c r="B15" s="3034" t="s">
        <v>3244</v>
      </c>
    </row>
    <row r="16" spans="1:10" ht="12">
      <c r="A16" s="2971">
        <v>1</v>
      </c>
      <c r="B16" s="2971" t="s">
        <v>3245</v>
      </c>
    </row>
    <row r="17" spans="1:5" ht="12">
      <c r="A17" s="2971">
        <v>2</v>
      </c>
      <c r="B17" s="2971" t="s">
        <v>3246</v>
      </c>
    </row>
    <row r="18" spans="1:5" ht="12">
      <c r="A18" s="2971">
        <v>3</v>
      </c>
      <c r="B18" s="2971" t="s">
        <v>3247</v>
      </c>
    </row>
    <row r="19" spans="1:5" ht="12">
      <c r="A19" s="2971">
        <v>4</v>
      </c>
      <c r="B19" s="2971" t="s">
        <v>3248</v>
      </c>
    </row>
    <row r="20" spans="1:5" ht="12">
      <c r="A20" s="2971">
        <v>5</v>
      </c>
      <c r="B20" s="2971" t="s">
        <v>3249</v>
      </c>
      <c r="E20" s="2971"/>
    </row>
    <row r="22" spans="1:5" ht="14.25">
      <c r="B22" s="3034" t="s">
        <v>3250</v>
      </c>
    </row>
    <row r="23" spans="1:5" ht="12">
      <c r="A23" s="2971">
        <v>1</v>
      </c>
      <c r="B23" s="2971" t="s">
        <v>3251</v>
      </c>
    </row>
    <row r="24" spans="1:5" ht="12">
      <c r="A24" s="2971">
        <v>2</v>
      </c>
      <c r="B24" s="2971" t="s">
        <v>3252</v>
      </c>
    </row>
    <row r="25" spans="1:5" ht="12">
      <c r="A25" s="2971">
        <v>3</v>
      </c>
      <c r="B25" s="2971" t="s">
        <v>3253</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9" sqref="J9"/>
    </sheetView>
  </sheetViews>
  <sheetFormatPr defaultRowHeight="13.5"/>
  <cols>
    <col min="8" max="8" width="12.375" customWidth="1"/>
    <col min="13" max="13" width="10.875" customWidth="1"/>
  </cols>
  <sheetData>
    <row r="1" spans="1:13">
      <c r="A1" s="2964" t="s">
        <v>3128</v>
      </c>
      <c r="B1" s="2964" t="s">
        <v>3129</v>
      </c>
      <c r="C1" s="2964" t="s">
        <v>3130</v>
      </c>
    </row>
    <row r="2" spans="1:13">
      <c r="A2" s="2964" t="s">
        <v>3131</v>
      </c>
      <c r="B2" s="3035">
        <f>'数据-基础表'!K13</f>
        <v>7352.26</v>
      </c>
      <c r="C2">
        <f>C3*D2</f>
        <v>1.575</v>
      </c>
      <c r="D2">
        <v>0.35</v>
      </c>
      <c r="E2">
        <f>C2*B2</f>
        <v>11579.809499999999</v>
      </c>
      <c r="G2">
        <f>G3*D2</f>
        <v>10500</v>
      </c>
      <c r="H2">
        <f>G2*B2</f>
        <v>77198730</v>
      </c>
      <c r="J2" s="2964" t="s">
        <v>3280</v>
      </c>
      <c r="K2">
        <f>798.84+231.61+359.68</f>
        <v>1390.13</v>
      </c>
      <c r="L2" s="2964" t="s">
        <v>3279</v>
      </c>
      <c r="M2">
        <v>97185.05</v>
      </c>
    </row>
    <row r="3" spans="1:13">
      <c r="A3" s="2964" t="s">
        <v>3132</v>
      </c>
      <c r="B3" s="2964">
        <v>17849.91</v>
      </c>
      <c r="C3">
        <v>4.5</v>
      </c>
      <c r="D3">
        <v>1</v>
      </c>
      <c r="E3">
        <f t="shared" ref="E3:E9" si="0">C3*B3</f>
        <v>80324.595000000001</v>
      </c>
      <c r="G3">
        <v>30000</v>
      </c>
      <c r="H3">
        <f t="shared" ref="H3:H9" si="1">G3*B3</f>
        <v>535497300</v>
      </c>
      <c r="L3" s="2964" t="s">
        <v>3281</v>
      </c>
      <c r="M3">
        <v>26572.92</v>
      </c>
    </row>
    <row r="4" spans="1:13">
      <c r="A4" s="2964" t="s">
        <v>3133</v>
      </c>
      <c r="B4" s="2964">
        <v>16366.62</v>
      </c>
      <c r="C4">
        <f>C3*D4</f>
        <v>3.15</v>
      </c>
      <c r="D4">
        <v>0.7</v>
      </c>
      <c r="E4">
        <f t="shared" si="0"/>
        <v>51554.853000000003</v>
      </c>
      <c r="G4">
        <f>G3*D4</f>
        <v>21000</v>
      </c>
      <c r="H4">
        <f t="shared" si="1"/>
        <v>343699020</v>
      </c>
      <c r="M4">
        <f>SUM(M2:M3)</f>
        <v>123757.97</v>
      </c>
    </row>
    <row r="5" spans="1:13">
      <c r="A5" s="2964" t="s">
        <v>3134</v>
      </c>
      <c r="B5" s="2964">
        <v>16334.27</v>
      </c>
      <c r="C5">
        <f>C3*D5</f>
        <v>2.9250000000000003</v>
      </c>
      <c r="D5">
        <v>0.65</v>
      </c>
      <c r="E5">
        <f t="shared" si="0"/>
        <v>47777.739750000008</v>
      </c>
      <c r="G5">
        <f>G3*D5</f>
        <v>19500</v>
      </c>
      <c r="H5">
        <f t="shared" si="1"/>
        <v>318518265</v>
      </c>
    </row>
    <row r="6" spans="1:13">
      <c r="A6" s="2964" t="s">
        <v>3135</v>
      </c>
      <c r="B6" s="2964">
        <v>15693.88</v>
      </c>
      <c r="C6">
        <f>C3*D6</f>
        <v>2.6999999999999997</v>
      </c>
      <c r="D6">
        <v>0.6</v>
      </c>
      <c r="E6">
        <f t="shared" si="0"/>
        <v>42373.475999999995</v>
      </c>
      <c r="G6">
        <f>G3*D6</f>
        <v>18000</v>
      </c>
      <c r="H6">
        <f t="shared" si="1"/>
        <v>282489840</v>
      </c>
    </row>
    <row r="7" spans="1:13">
      <c r="A7" s="2964" t="s">
        <v>3136</v>
      </c>
      <c r="B7" s="2964">
        <v>10027.52</v>
      </c>
      <c r="C7">
        <f>C3*D7</f>
        <v>2.25</v>
      </c>
      <c r="D7">
        <v>0.5</v>
      </c>
      <c r="E7">
        <f t="shared" si="0"/>
        <v>22561.920000000002</v>
      </c>
      <c r="G7">
        <f>G3*D7</f>
        <v>15000</v>
      </c>
      <c r="H7">
        <f t="shared" si="1"/>
        <v>150412800</v>
      </c>
    </row>
    <row r="8" spans="1:13">
      <c r="A8" s="2964" t="s">
        <v>3137</v>
      </c>
      <c r="B8" s="2964">
        <v>1318.55</v>
      </c>
      <c r="C8">
        <f>C3*D8</f>
        <v>1.8</v>
      </c>
      <c r="D8">
        <v>0.4</v>
      </c>
      <c r="E8">
        <f t="shared" si="0"/>
        <v>2373.39</v>
      </c>
      <c r="G8">
        <f>G3*D8</f>
        <v>12000</v>
      </c>
      <c r="H8">
        <f t="shared" si="1"/>
        <v>15822600</v>
      </c>
    </row>
    <row r="9" spans="1:13">
      <c r="A9" s="2964" t="s">
        <v>3138</v>
      </c>
      <c r="B9" s="2964">
        <v>736.55</v>
      </c>
      <c r="C9">
        <f>C3*D9</f>
        <v>1.3499999999999999</v>
      </c>
      <c r="D9">
        <v>0.3</v>
      </c>
      <c r="E9">
        <f t="shared" si="0"/>
        <v>994.34249999999986</v>
      </c>
      <c r="G9">
        <f>G3*D9</f>
        <v>9000</v>
      </c>
      <c r="H9">
        <f t="shared" si="1"/>
        <v>6628950</v>
      </c>
    </row>
    <row r="10" spans="1:13">
      <c r="B10" s="2964">
        <f>SUM(B2:B9)</f>
        <v>85679.560000000012</v>
      </c>
      <c r="C10" s="3035">
        <f>ROUND(E10/B10,2)</f>
        <v>3.03</v>
      </c>
      <c r="E10">
        <f>SUM(E2:E9)</f>
        <v>259540.12575000004</v>
      </c>
      <c r="G10">
        <f>H10/B10</f>
        <v>20194.63574509486</v>
      </c>
      <c r="H10">
        <f>SUM(H2:H9)</f>
        <v>1730267505</v>
      </c>
    </row>
    <row r="17" spans="12:12">
      <c r="L17" s="2964" t="s">
        <v>3139</v>
      </c>
    </row>
    <row r="18" spans="12:12">
      <c r="L18" s="2964" t="s">
        <v>3140</v>
      </c>
    </row>
    <row r="19" spans="12:12">
      <c r="L19" s="2964" t="s">
        <v>3141</v>
      </c>
    </row>
    <row r="21" spans="12:12">
      <c r="L21" s="2964" t="s">
        <v>3261</v>
      </c>
    </row>
    <row r="23" spans="12:12">
      <c r="L23" s="2964" t="s">
        <v>3142</v>
      </c>
    </row>
    <row r="47" spans="12:12">
      <c r="L47" s="2964" t="s">
        <v>3143</v>
      </c>
    </row>
    <row r="48" spans="12:12">
      <c r="L48" s="2964" t="s">
        <v>3144</v>
      </c>
    </row>
    <row r="49" spans="12:12">
      <c r="L49" s="2964" t="s">
        <v>3145</v>
      </c>
    </row>
    <row r="51" spans="12:12">
      <c r="L51" s="2964" t="s">
        <v>3146</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H2" sqref="H2"/>
    </sheetView>
  </sheetViews>
  <sheetFormatPr defaultRowHeight="13.5"/>
  <cols>
    <col min="1" max="1" width="35.75" customWidth="1"/>
  </cols>
  <sheetData>
    <row r="1" spans="1:16" ht="14.25">
      <c r="A1" s="2965" t="s">
        <v>3147</v>
      </c>
      <c r="B1" s="2965" t="s">
        <v>3148</v>
      </c>
      <c r="C1" s="2965" t="s">
        <v>3149</v>
      </c>
      <c r="D1" s="2965" t="s">
        <v>3150</v>
      </c>
      <c r="E1" s="2965" t="s">
        <v>3151</v>
      </c>
      <c r="F1" s="2965" t="s">
        <v>3152</v>
      </c>
      <c r="G1" s="2965" t="s">
        <v>3153</v>
      </c>
      <c r="H1" s="2965" t="s">
        <v>3154</v>
      </c>
      <c r="I1" s="2965" t="s">
        <v>3155</v>
      </c>
      <c r="J1" s="2965" t="s">
        <v>3156</v>
      </c>
      <c r="K1" s="2965" t="s">
        <v>3157</v>
      </c>
      <c r="L1" s="2965" t="s">
        <v>3158</v>
      </c>
      <c r="M1" s="2965" t="s">
        <v>3159</v>
      </c>
    </row>
    <row r="2" spans="1:16" s="2967" customFormat="1" ht="14.25">
      <c r="A2" s="2966" t="s">
        <v>3091</v>
      </c>
      <c r="B2" s="2966" t="s">
        <v>3160</v>
      </c>
      <c r="C2" s="2966" t="s">
        <v>3161</v>
      </c>
      <c r="D2" s="2966">
        <v>47345</v>
      </c>
      <c r="E2" s="2966">
        <v>75752</v>
      </c>
      <c r="F2" s="2966" t="s">
        <v>3162</v>
      </c>
      <c r="G2" s="2966" t="s">
        <v>3163</v>
      </c>
      <c r="H2" s="2966" t="s">
        <v>3094</v>
      </c>
      <c r="I2" s="2966">
        <v>21309.040000000001</v>
      </c>
      <c r="J2" s="2966">
        <v>21309.040000000001</v>
      </c>
      <c r="K2" s="2966">
        <v>2813</v>
      </c>
      <c r="L2" s="2966">
        <v>0</v>
      </c>
      <c r="M2" s="2966" t="s">
        <v>3164</v>
      </c>
      <c r="O2" s="2967">
        <f>ROUND(J2/D2*10000,2)</f>
        <v>4500.8</v>
      </c>
      <c r="P2" s="2967">
        <f>O2*666/10000</f>
        <v>299.75328000000002</v>
      </c>
    </row>
    <row r="3" spans="1:16" ht="14.25">
      <c r="A3" s="2965" t="s">
        <v>3165</v>
      </c>
      <c r="B3" s="2965" t="s">
        <v>3160</v>
      </c>
      <c r="C3" s="2965" t="s">
        <v>3161</v>
      </c>
      <c r="D3" s="2965">
        <v>108169</v>
      </c>
      <c r="E3" s="2965">
        <v>259605.6</v>
      </c>
      <c r="F3" s="2965" t="s">
        <v>3166</v>
      </c>
      <c r="G3" s="2965" t="s">
        <v>3163</v>
      </c>
      <c r="H3" s="2965" t="s">
        <v>3094</v>
      </c>
      <c r="I3" s="2965">
        <v>41043.65</v>
      </c>
      <c r="J3" s="2965">
        <v>41043.65</v>
      </c>
      <c r="K3" s="2965">
        <v>1581</v>
      </c>
      <c r="L3" s="2965">
        <v>0</v>
      </c>
      <c r="M3" s="2965" t="s">
        <v>3167</v>
      </c>
      <c r="O3" s="2967">
        <f t="shared" ref="O3:O16" si="0">ROUND(J3/D3*10000,2)</f>
        <v>3794.4</v>
      </c>
      <c r="P3" s="2967">
        <f t="shared" ref="P3:P16" si="1">O3*666/10000</f>
        <v>252.70703999999998</v>
      </c>
    </row>
    <row r="4" spans="1:16" s="2967" customFormat="1" ht="14.25">
      <c r="A4" s="2968" t="s">
        <v>3168</v>
      </c>
      <c r="B4" s="2966" t="s">
        <v>3160</v>
      </c>
      <c r="C4" s="2966" t="s">
        <v>3161</v>
      </c>
      <c r="D4" s="2966">
        <v>17953</v>
      </c>
      <c r="E4" s="2966">
        <v>32315.4</v>
      </c>
      <c r="F4" s="2966" t="s">
        <v>3169</v>
      </c>
      <c r="G4" s="2966" t="s">
        <v>3163</v>
      </c>
      <c r="H4" s="2966" t="s">
        <v>3094</v>
      </c>
      <c r="I4" s="2966">
        <v>8450.4699999999993</v>
      </c>
      <c r="J4" s="2966">
        <v>8450.4699999999993</v>
      </c>
      <c r="K4" s="2966">
        <v>2615</v>
      </c>
      <c r="L4" s="2966">
        <v>0</v>
      </c>
      <c r="M4" s="2966" t="s">
        <v>3167</v>
      </c>
      <c r="O4" s="2967">
        <f t="shared" si="0"/>
        <v>4707</v>
      </c>
      <c r="P4" s="2967">
        <f t="shared" si="1"/>
        <v>313.4862</v>
      </c>
    </row>
    <row r="5" spans="1:16" s="2970" customFormat="1" ht="14.25">
      <c r="A5" s="2969" t="s">
        <v>3170</v>
      </c>
      <c r="B5" s="2969" t="s">
        <v>3160</v>
      </c>
      <c r="C5" s="2969" t="s">
        <v>3161</v>
      </c>
      <c r="D5" s="2969">
        <v>93972.1</v>
      </c>
      <c r="E5" s="2969">
        <v>93972.1</v>
      </c>
      <c r="F5" s="2969" t="s">
        <v>3171</v>
      </c>
      <c r="G5" s="2969" t="s">
        <v>3163</v>
      </c>
      <c r="H5" s="2969" t="s">
        <v>3172</v>
      </c>
      <c r="I5" s="2969">
        <v>28107.02</v>
      </c>
      <c r="J5" s="2969">
        <v>28107.02</v>
      </c>
      <c r="K5" s="2969">
        <v>2991</v>
      </c>
      <c r="L5" s="2969">
        <v>0</v>
      </c>
      <c r="M5" s="2969" t="s">
        <v>3173</v>
      </c>
      <c r="O5" s="2970">
        <f t="shared" si="0"/>
        <v>2991</v>
      </c>
      <c r="P5" s="2970">
        <f t="shared" si="1"/>
        <v>199.20060000000001</v>
      </c>
    </row>
    <row r="6" spans="1:16" s="2967" customFormat="1" ht="14.25">
      <c r="A6" s="2968" t="s">
        <v>3174</v>
      </c>
      <c r="B6" s="2966" t="s">
        <v>3160</v>
      </c>
      <c r="C6" s="2966" t="s">
        <v>3161</v>
      </c>
      <c r="D6" s="2966">
        <v>51071.7</v>
      </c>
      <c r="E6" s="2966">
        <v>153215</v>
      </c>
      <c r="F6" s="2966" t="s">
        <v>3175</v>
      </c>
      <c r="G6" s="2966" t="s">
        <v>3163</v>
      </c>
      <c r="H6" s="2966" t="s">
        <v>3095</v>
      </c>
      <c r="I6" s="2966">
        <v>45964.5</v>
      </c>
      <c r="J6" s="2966">
        <v>45964.5</v>
      </c>
      <c r="K6" s="2966">
        <v>3000</v>
      </c>
      <c r="L6" s="2966">
        <v>0</v>
      </c>
      <c r="M6" s="2966" t="s">
        <v>3176</v>
      </c>
      <c r="O6" s="2967">
        <f t="shared" si="0"/>
        <v>8999.99</v>
      </c>
      <c r="P6" s="2967">
        <f t="shared" si="1"/>
        <v>599.39933399999995</v>
      </c>
    </row>
    <row r="7" spans="1:16" ht="14.25">
      <c r="A7" s="2965" t="s">
        <v>3093</v>
      </c>
      <c r="B7" s="2965" t="s">
        <v>3160</v>
      </c>
      <c r="C7" s="2965" t="s">
        <v>3161</v>
      </c>
      <c r="D7" s="2965">
        <v>51720.1</v>
      </c>
      <c r="E7" s="2965">
        <v>181020</v>
      </c>
      <c r="F7" s="2965" t="s">
        <v>3177</v>
      </c>
      <c r="G7" s="2965" t="s">
        <v>3163</v>
      </c>
      <c r="H7" s="2965" t="s">
        <v>3095</v>
      </c>
      <c r="I7" s="2965">
        <v>54306</v>
      </c>
      <c r="J7" s="2965">
        <v>54306</v>
      </c>
      <c r="K7" s="2965">
        <v>3000</v>
      </c>
      <c r="L7" s="2965">
        <v>0</v>
      </c>
      <c r="M7" s="2965" t="s">
        <v>3176</v>
      </c>
      <c r="O7" s="2967">
        <f t="shared" si="0"/>
        <v>10499.98</v>
      </c>
      <c r="P7" s="2967">
        <f t="shared" si="1"/>
        <v>699.29866800000002</v>
      </c>
    </row>
    <row r="8" spans="1:16" ht="15">
      <c r="A8" s="2965" t="s">
        <v>3178</v>
      </c>
      <c r="B8" s="2965" t="s">
        <v>3160</v>
      </c>
      <c r="C8" s="2965" t="s">
        <v>3161</v>
      </c>
      <c r="D8" s="2965">
        <v>27903.599999999999</v>
      </c>
      <c r="E8" s="2965">
        <v>97662.6</v>
      </c>
      <c r="F8" s="2965" t="s">
        <v>3177</v>
      </c>
      <c r="G8" s="2965" t="s">
        <v>3163</v>
      </c>
      <c r="H8" s="2965" t="s">
        <v>3179</v>
      </c>
      <c r="I8" s="2965">
        <v>29298.59</v>
      </c>
      <c r="J8" s="2965">
        <v>29298.59</v>
      </c>
      <c r="K8" s="2965">
        <v>2999.98</v>
      </c>
      <c r="L8" s="2965">
        <v>0</v>
      </c>
      <c r="M8" s="2965" t="s">
        <v>3180</v>
      </c>
      <c r="O8" s="2967">
        <f t="shared" si="0"/>
        <v>10499.93</v>
      </c>
      <c r="P8" s="2967">
        <f t="shared" si="1"/>
        <v>699.29533800000002</v>
      </c>
    </row>
    <row r="9" spans="1:16" ht="14.25">
      <c r="A9" s="2965" t="s">
        <v>3181</v>
      </c>
      <c r="B9" s="2965" t="s">
        <v>3160</v>
      </c>
      <c r="C9" s="2965" t="s">
        <v>3161</v>
      </c>
      <c r="D9" s="2965">
        <v>37644.300000000003</v>
      </c>
      <c r="E9" s="2965">
        <v>165634.9</v>
      </c>
      <c r="F9" s="2965" t="s">
        <v>3182</v>
      </c>
      <c r="G9" s="2965" t="s">
        <v>3163</v>
      </c>
      <c r="H9" s="2965" t="s">
        <v>3179</v>
      </c>
      <c r="I9" s="2965">
        <v>49690.19</v>
      </c>
      <c r="J9" s="2965">
        <v>49690.19</v>
      </c>
      <c r="K9" s="2965">
        <v>2999.98</v>
      </c>
      <c r="L9" s="2965">
        <v>0</v>
      </c>
      <c r="M9" s="2965" t="s">
        <v>3180</v>
      </c>
      <c r="O9" s="2967">
        <f t="shared" si="0"/>
        <v>13199.92</v>
      </c>
      <c r="P9" s="2967">
        <f t="shared" si="1"/>
        <v>879.11467200000004</v>
      </c>
    </row>
    <row r="10" spans="1:16" ht="14.25">
      <c r="A10" s="2965" t="s">
        <v>3183</v>
      </c>
      <c r="B10" s="2965" t="s">
        <v>3160</v>
      </c>
      <c r="C10" s="2965" t="s">
        <v>3161</v>
      </c>
      <c r="D10" s="2965">
        <v>20884.599999999999</v>
      </c>
      <c r="E10" s="2965">
        <v>73096</v>
      </c>
      <c r="F10" s="2965" t="s">
        <v>3184</v>
      </c>
      <c r="G10" s="2965" t="s">
        <v>3163</v>
      </c>
      <c r="H10" s="2965" t="s">
        <v>3185</v>
      </c>
      <c r="I10" s="2965">
        <v>25583.59</v>
      </c>
      <c r="J10" s="2965">
        <v>26314.560000000001</v>
      </c>
      <c r="K10" s="2965">
        <v>3600</v>
      </c>
      <c r="L10" s="2965">
        <v>2.86</v>
      </c>
      <c r="M10" s="2965" t="s">
        <v>3186</v>
      </c>
      <c r="O10" s="2967">
        <f t="shared" si="0"/>
        <v>12599.98</v>
      </c>
      <c r="P10" s="2967">
        <f t="shared" si="1"/>
        <v>839.15866799999992</v>
      </c>
    </row>
    <row r="11" spans="1:16" ht="14.25">
      <c r="A11" s="2965" t="s">
        <v>3187</v>
      </c>
      <c r="B11" s="2965" t="s">
        <v>3160</v>
      </c>
      <c r="C11" s="2965" t="s">
        <v>3161</v>
      </c>
      <c r="D11" s="2965">
        <v>23673.200000000001</v>
      </c>
      <c r="E11" s="2965">
        <v>47346.400000000001</v>
      </c>
      <c r="F11" s="2965" t="s">
        <v>3188</v>
      </c>
      <c r="G11" s="2965" t="s">
        <v>3163</v>
      </c>
      <c r="H11" s="2965" t="s">
        <v>3189</v>
      </c>
      <c r="I11" s="2965">
        <v>14203.79</v>
      </c>
      <c r="J11" s="2965">
        <v>14203.79</v>
      </c>
      <c r="K11" s="2965">
        <v>2999.96</v>
      </c>
      <c r="L11" s="2965">
        <v>0</v>
      </c>
      <c r="M11" s="2965" t="s">
        <v>3190</v>
      </c>
      <c r="O11" s="2967">
        <f t="shared" si="0"/>
        <v>5999.95</v>
      </c>
      <c r="P11" s="2967">
        <f t="shared" si="1"/>
        <v>399.59666999999996</v>
      </c>
    </row>
    <row r="12" spans="1:16" ht="14.25">
      <c r="A12" s="2965" t="s">
        <v>3191</v>
      </c>
      <c r="B12" s="2965" t="s">
        <v>3160</v>
      </c>
      <c r="C12" s="2965" t="s">
        <v>3161</v>
      </c>
      <c r="D12" s="2965">
        <v>26541.9</v>
      </c>
      <c r="E12" s="2965">
        <v>79625.7</v>
      </c>
      <c r="F12" s="2965" t="s">
        <v>3175</v>
      </c>
      <c r="G12" s="2965" t="s">
        <v>3163</v>
      </c>
      <c r="H12" s="2965" t="s">
        <v>3189</v>
      </c>
      <c r="I12" s="2965">
        <v>23887.5</v>
      </c>
      <c r="J12" s="2965">
        <v>23887.5</v>
      </c>
      <c r="K12" s="2965">
        <v>2999.96</v>
      </c>
      <c r="L12" s="2965">
        <v>0</v>
      </c>
      <c r="M12" s="2965" t="s">
        <v>3190</v>
      </c>
      <c r="O12" s="2967">
        <f t="shared" si="0"/>
        <v>8999.92</v>
      </c>
      <c r="P12" s="2967">
        <f t="shared" si="1"/>
        <v>599.39467200000001</v>
      </c>
    </row>
    <row r="13" spans="1:16" ht="14.25">
      <c r="A13" s="2965" t="s">
        <v>3192</v>
      </c>
      <c r="B13" s="2965" t="s">
        <v>3160</v>
      </c>
      <c r="C13" s="2965" t="s">
        <v>3161</v>
      </c>
      <c r="D13" s="2965">
        <v>3286.6</v>
      </c>
      <c r="E13" s="2965">
        <v>1643.15</v>
      </c>
      <c r="F13" s="2965" t="s">
        <v>3193</v>
      </c>
      <c r="G13" s="2965" t="s">
        <v>3194</v>
      </c>
      <c r="H13" s="2965" t="s">
        <v>3195</v>
      </c>
      <c r="I13" s="2965">
        <v>652.26</v>
      </c>
      <c r="J13" s="2965">
        <v>652.26</v>
      </c>
      <c r="K13" s="2965">
        <v>3969.63</v>
      </c>
      <c r="L13" s="2965">
        <v>0</v>
      </c>
      <c r="M13" s="2965" t="s">
        <v>3196</v>
      </c>
      <c r="O13" s="2967">
        <f t="shared" si="0"/>
        <v>1984.6</v>
      </c>
      <c r="P13" s="2967">
        <f t="shared" si="1"/>
        <v>132.17435999999998</v>
      </c>
    </row>
    <row r="14" spans="1:16" ht="14.25">
      <c r="A14" s="2965" t="s">
        <v>3197</v>
      </c>
      <c r="B14" s="2965" t="s">
        <v>3160</v>
      </c>
      <c r="C14" s="2965" t="s">
        <v>3161</v>
      </c>
      <c r="D14" s="2965">
        <v>286387.7</v>
      </c>
      <c r="E14" s="2965">
        <v>357000</v>
      </c>
      <c r="F14" s="2965" t="s">
        <v>3198</v>
      </c>
      <c r="G14" s="2965" t="s">
        <v>3163</v>
      </c>
      <c r="H14" s="2965" t="s">
        <v>3199</v>
      </c>
      <c r="I14" s="2965">
        <v>50586.9</v>
      </c>
      <c r="J14" s="2965">
        <v>50586.9</v>
      </c>
      <c r="K14" s="2965">
        <v>1417</v>
      </c>
      <c r="L14" s="2965">
        <v>0</v>
      </c>
      <c r="M14" s="2965" t="s">
        <v>3200</v>
      </c>
      <c r="O14" s="2967">
        <f t="shared" si="0"/>
        <v>1766.38</v>
      </c>
      <c r="P14" s="2967">
        <f t="shared" si="1"/>
        <v>117.64090800000001</v>
      </c>
    </row>
    <row r="15" spans="1:16" ht="14.25">
      <c r="A15" s="2965" t="s">
        <v>3201</v>
      </c>
      <c r="B15" s="2965" t="s">
        <v>3160</v>
      </c>
      <c r="C15" s="2965" t="s">
        <v>3161</v>
      </c>
      <c r="D15" s="2965">
        <v>11119.1</v>
      </c>
      <c r="E15" s="2965">
        <v>13342</v>
      </c>
      <c r="F15" s="2965" t="s">
        <v>3202</v>
      </c>
      <c r="G15" s="2965" t="s">
        <v>3163</v>
      </c>
      <c r="H15" s="2965" t="s">
        <v>3203</v>
      </c>
      <c r="I15" s="2965">
        <v>1802.5</v>
      </c>
      <c r="J15" s="2965">
        <v>1802.5</v>
      </c>
      <c r="K15" s="2965">
        <v>1351</v>
      </c>
      <c r="L15" s="2965">
        <v>0</v>
      </c>
      <c r="M15" s="2965" t="s">
        <v>3204</v>
      </c>
      <c r="O15" s="2967">
        <f t="shared" si="0"/>
        <v>1621.08</v>
      </c>
      <c r="P15" s="2967">
        <f t="shared" si="1"/>
        <v>107.96392800000001</v>
      </c>
    </row>
    <row r="16" spans="1:16" ht="14.25">
      <c r="A16" s="2965" t="s">
        <v>3205</v>
      </c>
      <c r="B16" s="2965" t="s">
        <v>3160</v>
      </c>
      <c r="C16" s="2965" t="s">
        <v>3161</v>
      </c>
      <c r="D16" s="2965">
        <v>4076</v>
      </c>
      <c r="E16" s="2965">
        <v>12228</v>
      </c>
      <c r="F16" s="2965" t="s">
        <v>3206</v>
      </c>
      <c r="G16" s="2965" t="s">
        <v>3163</v>
      </c>
      <c r="H16" s="2965" t="s">
        <v>3207</v>
      </c>
      <c r="I16" s="2965">
        <v>1516.26</v>
      </c>
      <c r="J16" s="2965">
        <v>1516.26</v>
      </c>
      <c r="K16" s="2965">
        <v>1240</v>
      </c>
      <c r="L16" s="2965">
        <v>0</v>
      </c>
      <c r="M16" s="2965" t="s">
        <v>3208</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97185.05</v>
      </c>
      <c r="C4" s="1047">
        <f>项目基本情况!C18</f>
        <v>31518.19</v>
      </c>
      <c r="D4" s="1047">
        <f ca="1">结果表!D118</f>
        <v>41341</v>
      </c>
      <c r="E4" s="1047">
        <f ca="1">结果表!E118</f>
        <v>4254</v>
      </c>
      <c r="F4" s="1047">
        <f ca="1">结果表!F118</f>
        <v>48726</v>
      </c>
      <c r="G4" s="1047">
        <f ca="1">结果表!G118</f>
        <v>5014</v>
      </c>
      <c r="H4" s="1047">
        <f ca="1">结果表!H118</f>
        <v>90067</v>
      </c>
      <c r="I4" s="1047">
        <f ca="1">结果表!I118</f>
        <v>9268</v>
      </c>
    </row>
    <row r="5" spans="1:9" ht="30" customHeight="1">
      <c r="A5" s="3050" t="s">
        <v>1640</v>
      </c>
      <c r="B5" s="3050"/>
      <c r="C5" s="3050"/>
      <c r="D5" s="3051" t="str">
        <f ca="1">结果表!D119</f>
        <v>肆亿壹仟叁佰肆拾壹万元整</v>
      </c>
      <c r="E5" s="3051"/>
      <c r="F5" s="3051" t="str">
        <f ca="1">结果表!F119</f>
        <v>肆亿捌仟柒佰贰拾陆万元整</v>
      </c>
      <c r="G5" s="3051"/>
      <c r="H5" s="3051" t="str">
        <f ca="1">结果表!H119</f>
        <v>玖亿零陆拾柒万元整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1640</v>
      </c>
      <c r="B7" s="3050"/>
      <c r="C7" s="3050"/>
      <c r="D7" s="3053" t="str">
        <f>结果表!D121</f>
        <v>零元整</v>
      </c>
      <c r="E7" s="3054"/>
      <c r="F7" s="3054"/>
      <c r="G7" s="3054"/>
      <c r="H7" s="3054"/>
      <c r="I7" s="3055"/>
    </row>
    <row r="8" spans="1:9" ht="15.75">
      <c r="A8" s="3052" t="str">
        <f>结果表!A122</f>
        <v>房地产抵押价值</v>
      </c>
      <c r="B8" s="3052"/>
      <c r="C8" s="3052"/>
      <c r="D8" s="3052">
        <f ca="1">结果表!D122</f>
        <v>90067</v>
      </c>
      <c r="E8" s="3052"/>
      <c r="F8" s="3052"/>
      <c r="G8" s="3052"/>
      <c r="H8" s="3052"/>
      <c r="I8" s="3052"/>
    </row>
    <row r="9" spans="1:9" ht="15">
      <c r="A9" s="3050" t="s">
        <v>1640</v>
      </c>
      <c r="B9" s="3050"/>
      <c r="C9" s="3050"/>
      <c r="D9" s="3051" t="str">
        <f ca="1">结果表!D123</f>
        <v>玖亿零陆拾柒万元整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1640</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75" thickBot="1">
      <c r="A13" s="3056" t="s">
        <v>1640</v>
      </c>
      <c r="B13" s="3056"/>
      <c r="C13" s="3056"/>
      <c r="D13" s="3057" t="e">
        <f>结果表!D127</f>
        <v>#VALUE!</v>
      </c>
      <c r="E13" s="3057"/>
      <c r="F13" s="3057"/>
      <c r="G13" s="3057"/>
      <c r="H13" s="3057"/>
      <c r="I13" s="3057"/>
    </row>
    <row r="14" spans="1:9" ht="15" thickTop="1">
      <c r="A14" s="3058" t="s">
        <v>1645</v>
      </c>
      <c r="B14" s="3058"/>
      <c r="C14" s="3058"/>
      <c r="D14" s="3058"/>
      <c r="E14" s="3058"/>
      <c r="F14" s="3058"/>
      <c r="G14" s="3058"/>
      <c r="H14" s="3058"/>
      <c r="I14" s="305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8"/>
  <sheetViews>
    <sheetView workbookViewId="0">
      <selection activeCell="D11" sqref="D11"/>
    </sheetView>
  </sheetViews>
  <sheetFormatPr defaultRowHeight="13.5"/>
  <cols>
    <col min="3" max="3" width="15.375" customWidth="1"/>
  </cols>
  <sheetData>
    <row r="2" spans="2:5">
      <c r="B2" s="2964" t="s">
        <v>3265</v>
      </c>
      <c r="C2">
        <v>736.55</v>
      </c>
    </row>
    <row r="3" spans="2:5">
      <c r="B3" s="2964" t="s">
        <v>3266</v>
      </c>
      <c r="C3">
        <v>1318.55</v>
      </c>
    </row>
    <row r="4" spans="2:5">
      <c r="B4" s="2964" t="s">
        <v>3267</v>
      </c>
      <c r="C4">
        <v>10027.52</v>
      </c>
      <c r="D4">
        <v>0.8</v>
      </c>
      <c r="E4">
        <f>D4*C4</f>
        <v>8022.0160000000005</v>
      </c>
    </row>
    <row r="5" spans="2:5">
      <c r="B5" s="2964" t="s">
        <v>3268</v>
      </c>
      <c r="C5">
        <v>15693.88</v>
      </c>
      <c r="D5">
        <v>0.8</v>
      </c>
      <c r="E5">
        <f t="shared" ref="E5:E10" si="0">D5*C5</f>
        <v>12555.103999999999</v>
      </c>
    </row>
    <row r="6" spans="2:5">
      <c r="B6" s="2964" t="s">
        <v>3269</v>
      </c>
      <c r="C6">
        <v>16334.27</v>
      </c>
      <c r="D6">
        <v>0.9</v>
      </c>
      <c r="E6">
        <f t="shared" si="0"/>
        <v>14700.843000000001</v>
      </c>
    </row>
    <row r="7" spans="2:5">
      <c r="B7" s="2964" t="s">
        <v>3270</v>
      </c>
      <c r="C7">
        <v>16366.62</v>
      </c>
      <c r="D7">
        <v>0.9</v>
      </c>
      <c r="E7">
        <f t="shared" si="0"/>
        <v>14729.958000000001</v>
      </c>
    </row>
    <row r="8" spans="2:5">
      <c r="B8" s="2964" t="s">
        <v>3271</v>
      </c>
      <c r="C8">
        <v>17849.91</v>
      </c>
      <c r="D8">
        <v>1</v>
      </c>
      <c r="E8">
        <f t="shared" si="0"/>
        <v>17849.91</v>
      </c>
    </row>
    <row r="9" spans="2:5">
      <c r="B9" s="2964" t="s">
        <v>3272</v>
      </c>
      <c r="C9">
        <v>19936.740000000002</v>
      </c>
      <c r="D9">
        <v>0.9</v>
      </c>
      <c r="E9">
        <f t="shared" si="0"/>
        <v>17943.066000000003</v>
      </c>
    </row>
    <row r="10" spans="2:5">
      <c r="B10" s="2964" t="s">
        <v>3273</v>
      </c>
      <c r="C10">
        <v>19496.04</v>
      </c>
      <c r="D10">
        <v>0.9</v>
      </c>
      <c r="E10">
        <f t="shared" si="0"/>
        <v>17546.436000000002</v>
      </c>
    </row>
    <row r="11" spans="2:5">
      <c r="C11">
        <f>SUM(C2:C10)</f>
        <v>117760.08000000002</v>
      </c>
      <c r="D11">
        <f>E11/C11</f>
        <v>0.877609228866013</v>
      </c>
      <c r="E11">
        <f>SUM(E4:E10)</f>
        <v>103347.33300000001</v>
      </c>
    </row>
    <row r="12" spans="2:5">
      <c r="B12" s="2964" t="s">
        <v>3274</v>
      </c>
      <c r="C12">
        <f>SUM(C2:C8,2)</f>
        <v>78329.3</v>
      </c>
    </row>
    <row r="13" spans="2:5">
      <c r="B13" s="2964" t="s">
        <v>3275</v>
      </c>
      <c r="C13">
        <f>SUM(C9:C10,2)</f>
        <v>39434.78</v>
      </c>
    </row>
    <row r="14" spans="2:5">
      <c r="C14">
        <f>SUM(C12:C13,)</f>
        <v>117764.08</v>
      </c>
    </row>
    <row r="16" spans="2:5">
      <c r="B16" s="2964" t="s">
        <v>3276</v>
      </c>
    </row>
    <row r="17" spans="2:3">
      <c r="B17" s="2964" t="s">
        <v>3277</v>
      </c>
      <c r="C17">
        <v>97185.05</v>
      </c>
    </row>
    <row r="18" spans="2:3">
      <c r="B18" s="2964" t="s">
        <v>3278</v>
      </c>
      <c r="C18">
        <v>26572.92</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9" t="s">
        <v>1662</v>
      </c>
      <c r="B1" s="3059"/>
      <c r="C1" s="3059"/>
      <c r="D1" s="3059"/>
    </row>
    <row r="2" spans="1:4" ht="18">
      <c r="A2" s="3060" t="s">
        <v>1646</v>
      </c>
      <c r="B2" s="3060"/>
      <c r="C2" s="3060"/>
      <c r="D2" s="3060"/>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3060" t="s">
        <v>1652</v>
      </c>
      <c r="B6" s="3060"/>
      <c r="C6" s="3060"/>
      <c r="D6" s="306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61" t="s">
        <v>1655</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（1）根据估价对象《房屋所有权证》原件、《国有土地使用权》复印件，截至价值时点，估价对象抵押权未见登记。</v>
      </c>
      <c r="B15" s="3062"/>
      <c r="C15" s="3062"/>
      <c r="D15" s="3062"/>
    </row>
    <row r="16" spans="1:4" ht="30" customHeight="1">
      <c r="A16" s="3065" t="s">
        <v>1656</v>
      </c>
      <c r="B16" s="3065"/>
      <c r="C16" s="3065"/>
      <c r="D16" s="3065"/>
    </row>
    <row r="17" spans="1:4" ht="144" customHeight="1">
      <c r="A17" s="3065" t="s">
        <v>1657</v>
      </c>
      <c r="B17" s="3065"/>
      <c r="C17" s="3065"/>
      <c r="D17" s="3065"/>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6"/>
      <c r="C21" s="3066"/>
      <c r="D21" s="3066"/>
    </row>
    <row r="22" spans="1:4" ht="18.75" customHeight="1">
      <c r="A22" s="3067" t="s">
        <v>1658</v>
      </c>
      <c r="B22" s="3067"/>
      <c r="C22" s="3067"/>
      <c r="D22" s="306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73" t="s">
        <v>1669</v>
      </c>
      <c r="B15" s="3068" t="s">
        <v>136</v>
      </c>
      <c r="C15" s="3069"/>
    </row>
    <row r="16" spans="1:7" ht="13.5">
      <c r="A16" s="3074"/>
      <c r="B16" s="3068" t="s">
        <v>69</v>
      </c>
      <c r="C16" s="3069"/>
    </row>
    <row r="17" spans="1:3" ht="13.5">
      <c r="A17" s="3074"/>
      <c r="B17" s="3071" t="s">
        <v>1670</v>
      </c>
      <c r="C17" s="2003" t="s">
        <v>1669</v>
      </c>
    </row>
    <row r="18" spans="1:3" ht="13.5">
      <c r="A18" s="3074"/>
      <c r="B18" s="3071"/>
      <c r="C18" s="2003" t="s">
        <v>1671</v>
      </c>
    </row>
    <row r="19" spans="1:3" ht="13.5">
      <c r="A19" s="3074"/>
      <c r="B19" s="3071"/>
      <c r="C19" s="2003" t="s">
        <v>1672</v>
      </c>
    </row>
    <row r="20" spans="1:3" ht="13.5">
      <c r="A20" s="3075"/>
      <c r="B20" s="3070" t="s">
        <v>1673</v>
      </c>
      <c r="C20" s="3069"/>
    </row>
    <row r="21" spans="1:3" ht="13.5">
      <c r="A21" s="2004" t="s">
        <v>1674</v>
      </c>
      <c r="B21" s="2005"/>
      <c r="C21" s="2006"/>
    </row>
    <row r="22" spans="1:3" ht="13.5">
      <c r="A22" s="3072" t="s">
        <v>1675</v>
      </c>
      <c r="B22" s="3070" t="s">
        <v>1676</v>
      </c>
      <c r="C22" s="3069"/>
    </row>
    <row r="23" spans="1:3" ht="13.5">
      <c r="A23" s="3072"/>
      <c r="B23" s="3070" t="s">
        <v>1677</v>
      </c>
      <c r="C23" s="3069"/>
    </row>
    <row r="24" spans="1:3" ht="13.5">
      <c r="A24" s="3072"/>
      <c r="B24" s="3070" t="s">
        <v>1678</v>
      </c>
      <c r="C24" s="3069"/>
    </row>
    <row r="25" spans="1:3" ht="13.5">
      <c r="A25" s="3072"/>
      <c r="B25" s="3071" t="s">
        <v>1679</v>
      </c>
      <c r="C25" s="2003" t="s">
        <v>1680</v>
      </c>
    </row>
    <row r="26" spans="1:3" ht="13.5">
      <c r="A26" s="3072"/>
      <c r="B26" s="3071"/>
      <c r="C26" s="2003" t="s">
        <v>1681</v>
      </c>
    </row>
    <row r="27" spans="1:3" ht="13.5">
      <c r="A27" s="3072"/>
      <c r="B27" s="3071"/>
      <c r="C27" s="2003" t="s">
        <v>1682</v>
      </c>
    </row>
    <row r="28" spans="1:3" ht="13.5">
      <c r="A28" s="3072"/>
      <c r="B28" s="3071"/>
      <c r="C28" s="2003" t="s">
        <v>1683</v>
      </c>
    </row>
    <row r="29" spans="1:3" ht="13.5">
      <c r="A29" s="3072"/>
      <c r="B29" s="3071"/>
      <c r="C29" s="2003" t="s">
        <v>1684</v>
      </c>
    </row>
    <row r="30" spans="1:3" ht="13.5">
      <c r="A30" s="3072"/>
      <c r="B30" s="3071"/>
      <c r="C30" s="2003" t="s">
        <v>1685</v>
      </c>
    </row>
    <row r="31" spans="1:3" ht="13.5">
      <c r="A31" s="3072"/>
      <c r="B31" s="3071"/>
      <c r="C31" s="2003" t="s">
        <v>1686</v>
      </c>
    </row>
    <row r="32" spans="1:3" ht="13.5">
      <c r="A32" s="3072"/>
      <c r="B32" s="3071"/>
      <c r="C32" s="2003" t="s">
        <v>1687</v>
      </c>
    </row>
    <row r="33" spans="1:3" ht="13.5">
      <c r="A33" s="3072"/>
      <c r="B33" s="307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3047</v>
      </c>
      <c r="B12" s="1025">
        <v>1120110054</v>
      </c>
      <c r="C12" s="2943">
        <v>43937</v>
      </c>
      <c r="D12" s="1705" t="s">
        <v>3047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76" t="s">
        <v>846</v>
      </c>
      <c r="B25" s="3076"/>
      <c r="C25" s="3076"/>
      <c r="D25" s="3076"/>
      <c r="E25" s="3076"/>
      <c r="F25" s="3076"/>
      <c r="G25" s="3076"/>
    </row>
    <row r="26" spans="1:7" s="1028" customFormat="1" ht="24" customHeight="1">
      <c r="A26" s="3077" t="s">
        <v>847</v>
      </c>
      <c r="B26" s="3077"/>
      <c r="C26" s="3078"/>
      <c r="D26" s="3079" t="s">
        <v>848</v>
      </c>
      <c r="E26" s="3077"/>
      <c r="F26" s="307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Sheet2</vt:lpstr>
      <vt:lpstr>Sheet3</vt:lpstr>
      <vt:lpstr>Sheet4</vt:lpstr>
      <vt:lpstr>Sheet1</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2019-05-13T08:52:11Z</dcterms:modified>
</cp:coreProperties>
</file>