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汇总" sheetId="73" r:id="rId17"/>
    <sheet name="总结果表" sheetId="69" state="hidden" r:id="rId18"/>
    <sheet name="结果表" sheetId="9" state="hidden" r:id="rId19"/>
    <sheet name="结果表-商业" sheetId="74" state="hidden" r:id="rId20"/>
    <sheet name="基准地价-商业" sheetId="46" r:id="rId21"/>
    <sheet name="剩余法-商业" sheetId="12" r:id="rId22"/>
    <sheet name="不动产比较法-商业" sheetId="33" r:id="rId23"/>
    <sheet name="不动产收益法-商业" sheetId="15" state="hidden" r:id="rId24"/>
    <sheet name="商业案例" sheetId="76" r:id="rId25"/>
    <sheet name="结果表-办公" sheetId="75" state="hidden" r:id="rId26"/>
    <sheet name="基准地价-办公" sheetId="70" r:id="rId27"/>
    <sheet name="剩余法-现房" sheetId="43" state="hidden" r:id="rId28"/>
    <sheet name="比较法-住宅、综合" sheetId="39" state="hidden" r:id="rId29"/>
    <sheet name="比较法-工业" sheetId="40" state="hidden" r:id="rId30"/>
    <sheet name="修正" sheetId="49" state="hidden" r:id="rId31"/>
    <sheet name="区片价" sheetId="48" state="hidden" r:id="rId32"/>
    <sheet name="容积率修正" sheetId="45" state="hidden" r:id="rId33"/>
    <sheet name="因素修正幅度" sheetId="56" state="hidden" r:id="rId34"/>
    <sheet name="基准地价（汇总）" sheetId="67" state="hidden" r:id="rId35"/>
    <sheet name="收益还原法" sheetId="44" state="hidden" r:id="rId36"/>
    <sheet name="剩余法-办公" sheetId="71" r:id="rId37"/>
    <sheet name="酒店收入计算" sheetId="57" state="hidden" r:id="rId38"/>
    <sheet name="成本逼近法" sheetId="11" state="hidden" r:id="rId39"/>
    <sheet name="不动产比较法-住宅" sheetId="21" state="hidden" r:id="rId40"/>
    <sheet name="不动产比较法-办公" sheetId="34" r:id="rId41"/>
    <sheet name="不动产收益法-办公" sheetId="72" state="hidden" r:id="rId42"/>
    <sheet name="办公案例" sheetId="77" r:id="rId43"/>
    <sheet name="Sheet1" sheetId="68" r:id="rId44"/>
    <sheet name="地价" sheetId="59"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s>
  <definedNames>
    <definedName name="_xlnm._FilterDatabase" localSheetId="29" hidden="1">'比较法-工业'!$A$1:$L$45</definedName>
    <definedName name="_xlnm._FilterDatabase" localSheetId="28" hidden="1">'比较法-住宅、综合'!$A$1:$L$50</definedName>
    <definedName name="_xlnm._FilterDatabase" localSheetId="40"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22"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结果表汇总!$A$1:$K$10</definedName>
    <definedName name="八级">区片价!$P$1:$P$40</definedName>
    <definedName name="办公层高" localSheetId="25">[1]租金办公!$B$119:$M$119</definedName>
    <definedName name="办公层高" localSheetId="16">'[2]不动产比较法-办公'!$B$119:$M$119</definedName>
    <definedName name="办公层高" localSheetId="19">[1]租金办公!$B$119:$M$119</definedName>
    <definedName name="办公层高">'不动产比较法-办公'!$B$119:$M$119</definedName>
    <definedName name="办公朝向" localSheetId="25">[1]租金办公!$B$91:$M$91</definedName>
    <definedName name="办公朝向" localSheetId="16">'[2]不动产比较法-办公'!$B$91:$M$91</definedName>
    <definedName name="办公朝向" localSheetId="19">[1]租金办公!$B$91:$M$91</definedName>
    <definedName name="办公朝向">'不动产比较法-办公'!$B$91:$M$91</definedName>
    <definedName name="办公道路级别" localSheetId="25">[1]租金办公!$B$87:$M$87</definedName>
    <definedName name="办公道路级别" localSheetId="16">'[2]不动产比较法-办公'!$B$87:$M$87</definedName>
    <definedName name="办公道路级别" localSheetId="19">[1]租金办公!$B$87:$M$87</definedName>
    <definedName name="办公道路级别">'不动产比较法-办公'!$B$87:$M$87</definedName>
    <definedName name="办公公共部分装修" localSheetId="25">[1]租金办公!$B$108:$M$108</definedName>
    <definedName name="办公公共部分装修" localSheetId="16">'[2]不动产比较法-办公'!$B$108:$M$108</definedName>
    <definedName name="办公公共部分装修" localSheetId="19">[1]租金办公!$B$108:$M$108</definedName>
    <definedName name="办公公共部分装修">'不动产比较法-办公'!$B$108:$M$108</definedName>
    <definedName name="办公基础设施水平" localSheetId="25">[1]租金办公!$B$117:$M$117</definedName>
    <definedName name="办公基础设施水平" localSheetId="16">'[2]不动产比较法-办公'!$B$117:$M$117</definedName>
    <definedName name="办公基础设施水平" localSheetId="19">[1]租金办公!$B$117:$M$117</definedName>
    <definedName name="办公基础设施水平">'不动产比较法-办公'!$B$117:$M$117</definedName>
    <definedName name="办公集聚程度" localSheetId="25">[1]定义!$M$1:$M$6</definedName>
    <definedName name="办公集聚程度" localSheetId="16">[2]定义!$M$1:$M$6</definedName>
    <definedName name="办公集聚程度" localSheetId="19">[1]定义!$M$1:$M$6</definedName>
    <definedName name="办公集聚程度">定义!$M$1:$M$6</definedName>
    <definedName name="办公建筑结构" localSheetId="25">[1]租金办公!$B$106:$M$106</definedName>
    <definedName name="办公建筑结构" localSheetId="16">'[2]不动产比较法-办公'!$B$106:$M$106</definedName>
    <definedName name="办公建筑结构" localSheetId="19">[1]租金办公!$B$106:$M$106</definedName>
    <definedName name="办公建筑结构">'不动产比较法-办公'!$B$106:$M$106</definedName>
    <definedName name="办公建筑类型" localSheetId="25">[1]租金办公!$B$101:$M$101</definedName>
    <definedName name="办公建筑类型" localSheetId="16">'[2]不动产比较法-办公'!$B$101:$M$101</definedName>
    <definedName name="办公建筑类型" localSheetId="19">[1]租金办公!$B$101:$M$101</definedName>
    <definedName name="办公建筑类型">'不动产比较法-办公'!$B$101:$M$101</definedName>
    <definedName name="办公交易情况" localSheetId="25">[1]租金办公!$A$62:$M$62</definedName>
    <definedName name="办公交易情况" localSheetId="16">'[2]不动产比较法-办公'!$A$62:$M$62</definedName>
    <definedName name="办公交易情况" localSheetId="19">[1]租金办公!$A$62:$M$62</definedName>
    <definedName name="办公交易情况">'不动产比较法-办公'!$A$62:$M$62</definedName>
    <definedName name="办公楼层" localSheetId="25">[1]租金办公!$B$89:$M$89</definedName>
    <definedName name="办公楼层" localSheetId="16">'[2]不动产比较法-办公'!$B$89:$M$89</definedName>
    <definedName name="办公楼层" localSheetId="19">[1]租金办公!$B$89:$M$89</definedName>
    <definedName name="办公楼层">'不动产比较法-办公'!$B$89:$M$89</definedName>
    <definedName name="办公内部装修" localSheetId="25">[1]租金办公!$B$123:$M$123</definedName>
    <definedName name="办公内部装修" localSheetId="16">'[2]不动产比较法-办公'!$B$123:$M$123</definedName>
    <definedName name="办公内部装修" localSheetId="19">[1]租金办公!$B$123:$M$123</definedName>
    <definedName name="办公内部装修">'不动产比较法-办公'!$B$123:$M$123</definedName>
    <definedName name="办公物业管理" localSheetId="25">[1]租金办公!$B$115:$M$115</definedName>
    <definedName name="办公物业管理" localSheetId="16">'[2]不动产比较法-办公'!$B$115:$M$115</definedName>
    <definedName name="办公物业管理" localSheetId="19">[1]租金办公!$B$115:$M$115</definedName>
    <definedName name="办公物业管理">'不动产比较法-办公'!$B$115:$M$115</definedName>
    <definedName name="办公用途" localSheetId="25">[1]租金办公!$B$64:$M$64</definedName>
    <definedName name="办公用途" localSheetId="16">'[2]不动产比较法-办公'!$B$64:$M$64</definedName>
    <definedName name="办公用途" localSheetId="19">[1]租金办公!$B$64:$M$64</definedName>
    <definedName name="办公用途">'不动产比较法-办公'!$B$64:$M$64</definedName>
    <definedName name="仓储公共部分装修" localSheetId="25">'[1]不动产比较法-仓储'!$B$77:$M$77</definedName>
    <definedName name="仓储公共部分装修" localSheetId="16">'[2]不动产比较法-仓储'!$B$77:$M$77</definedName>
    <definedName name="仓储公共部分装修" localSheetId="19">'[1]不动产比较法-仓储'!$B$77:$M$77</definedName>
    <definedName name="仓储公共部分装修">'不动产比较法-仓储'!$B$77:$M$77</definedName>
    <definedName name="仓储交易情况" localSheetId="25">'[1]不动产比较法-仓储'!$A$49:$M$49</definedName>
    <definedName name="仓储交易情况" localSheetId="16">'[2]不动产比较法-仓储'!$A$49:$M$49</definedName>
    <definedName name="仓储交易情况" localSheetId="19">'[1]不动产比较法-仓储'!$A$49:$M$49</definedName>
    <definedName name="仓储交易情况">'不动产比较法-仓储'!$A$49:$M$49</definedName>
    <definedName name="仓储楼层" localSheetId="25">'[1]不动产比较法-仓储'!$B$69:$M$69</definedName>
    <definedName name="仓储楼层" localSheetId="16">'[2]不动产比较法-仓储'!$B$69:$M$69</definedName>
    <definedName name="仓储楼层" localSheetId="19">'[1]不动产比较法-仓储'!$B$69:$M$69</definedName>
    <definedName name="仓储楼层">'不动产比较法-仓储'!$B$69:$M$69</definedName>
    <definedName name="仓储物业等级" localSheetId="25">'[1]不动产比较法-仓储'!$B$82:$M$82</definedName>
    <definedName name="仓储物业等级" localSheetId="16">'[2]不动产比较法-仓储'!$B$82:$M$82</definedName>
    <definedName name="仓储物业等级" localSheetId="19">'[1]不动产比较法-仓储'!$B$82:$M$82</definedName>
    <definedName name="仓储物业等级">'不动产比较法-仓储'!$B$82:$M$82</definedName>
    <definedName name="仓储用途" localSheetId="25">'[1]不动产比较法-仓储'!$B$51:$M$51</definedName>
    <definedName name="仓储用途" localSheetId="16">'[2]不动产比较法-仓储'!$B$51:$M$51</definedName>
    <definedName name="仓储用途" localSheetId="19">'[1]不动产比较法-仓储'!$B$51:$M$51</definedName>
    <definedName name="仓储用途">'不动产比较法-仓储'!$B$51:$M$51</definedName>
    <definedName name="产业集聚程度" localSheetId="25">[1]定义!$N$1:$N$6</definedName>
    <definedName name="产业集聚程度" localSheetId="16">[2]定义!$N$1:$N$6</definedName>
    <definedName name="产业集聚程度" localSheetId="19">[1]定义!$N$1:$N$6</definedName>
    <definedName name="产业集聚程度">定义!$N$1:$N$6</definedName>
    <definedName name="车位公共部分装修" localSheetId="25">'[1]不动产比较法-车位'!$B$83:$M$83</definedName>
    <definedName name="车位公共部分装修" localSheetId="16">'[2]不动产比较法-车位'!$B$83:$M$83</definedName>
    <definedName name="车位公共部分装修" localSheetId="19">'[1]不动产比较法-车位'!$B$83:$M$83</definedName>
    <definedName name="车位公共部分装修">'不动产比较法-车位'!$B$83:$M$83</definedName>
    <definedName name="车位交易情况" localSheetId="25">'[1]不动产比较法-车位'!$A$51:$M$51</definedName>
    <definedName name="车位交易情况" localSheetId="16">'[2]不动产比较法-车位'!$A$51:$M$51</definedName>
    <definedName name="车位交易情况" localSheetId="19">'[1]不动产比较法-车位'!$A$51:$M$51</definedName>
    <definedName name="车位交易情况">'不动产比较法-车位'!$A$51:$M$51</definedName>
    <definedName name="车位类型" localSheetId="25">'[1]不动产比较法-车位'!$B$93:$M$93</definedName>
    <definedName name="车位类型" localSheetId="16">'[2]不动产比较法-车位'!$B$93:$M$93</definedName>
    <definedName name="车位类型" localSheetId="19">'[1]不动产比较法-车位'!$B$93:$M$93</definedName>
    <definedName name="车位类型">'不动产比较法-车位'!$B$93:$M$93</definedName>
    <definedName name="车位楼层" localSheetId="25">'[1]不动产比较法-车位'!$B$71:$M$71</definedName>
    <definedName name="车位楼层" localSheetId="16">'[2]不动产比较法-车位'!$B$71:$M$71</definedName>
    <definedName name="车位楼层" localSheetId="19">'[1]不动产比较法-车位'!$B$71:$M$71</definedName>
    <definedName name="车位楼层">'不动产比较法-车位'!$B$71:$M$71</definedName>
    <definedName name="车位配套类型" localSheetId="25">'[1]不动产比较法-车位'!$B$79:$M$79</definedName>
    <definedName name="车位配套类型" localSheetId="16">'[2]不动产比较法-车位'!$B$79:$M$79</definedName>
    <definedName name="车位配套类型" localSheetId="19">'[1]不动产比较法-车位'!$B$79:$M$79</definedName>
    <definedName name="车位配套类型">'不动产比较法-车位'!$B$79:$M$79</definedName>
    <definedName name="车位物业等级" localSheetId="25">'[1]不动产比较法-车位'!$B$88:$M$88</definedName>
    <definedName name="车位物业等级" localSheetId="16">'[2]不动产比较法-车位'!$B$88:$M$88</definedName>
    <definedName name="车位物业等级" localSheetId="19">'[1]不动产比较法-车位'!$B$88:$M$88</definedName>
    <definedName name="车位物业等级">'不动产比较法-车位'!$B$88:$M$88</definedName>
    <definedName name="车位用途" localSheetId="25">'[1]不动产比较法-车位'!$B$53:$M$53</definedName>
    <definedName name="车位用途" localSheetId="16">'[2]不动产比较法-车位'!$B$53:$M$53</definedName>
    <definedName name="车位用途" localSheetId="19">'[1]不动产比较法-车位'!$B$53:$M$53</definedName>
    <definedName name="车位用途">'不动产比较法-车位'!$B$53:$M$53</definedName>
    <definedName name="城镇土地纳税等级分级范围" localSheetId="25">'[1]数据-取费表'!$A$53:$A$63</definedName>
    <definedName name="城镇土地纳税等级分级范围" localSheetId="16">'[2]数据-取费表'!$A$53:$A$63</definedName>
    <definedName name="城镇土地纳税等级分级范围" localSheetId="19">'[1]数据-取费表'!$A$53:$A$63</definedName>
    <definedName name="城镇土地纳税等级分级范围">'数据-取费表'!$A$53:$A$63</definedName>
    <definedName name="单价内涵" localSheetId="25">[1]定义!$V$1:$V$3</definedName>
    <definedName name="单价内涵" localSheetId="16">[2]定义!$V$1:$V$3</definedName>
    <definedName name="单价内涵" localSheetId="19">[1]定义!$V$1:$V$3</definedName>
    <definedName name="单价内涵">定义!$V$1:$V$3</definedName>
    <definedName name="地类判定" localSheetId="25">[1]定义!$H$1:$H$9</definedName>
    <definedName name="地类判定" localSheetId="16">[2]定义!$H$1:$H$9</definedName>
    <definedName name="地类判定" localSheetId="19">[1]定义!$H$1:$H$9</definedName>
    <definedName name="地类判定">定义!$H$1:$H$9</definedName>
    <definedName name="二级">区片价!$J$1:$J$20</definedName>
    <definedName name="二级分类" localSheetId="25">[1]修正!$C$17:$C$39</definedName>
    <definedName name="二级分类" localSheetId="16">[2]修正!$C$17:$C$39</definedName>
    <definedName name="二级分类" localSheetId="19">[1]修正!$C$17:$C$39</definedName>
    <definedName name="二级分类">修正!$C$17:$C$39</definedName>
    <definedName name="法定最高年限" localSheetId="25">[1]定义!$G$2:$G$4</definedName>
    <definedName name="法定最高年限" localSheetId="16">[2]定义!$G$2:$G$4</definedName>
    <definedName name="法定最高年限" localSheetId="19">[1]定义!$G$2:$G$4</definedName>
    <definedName name="法定最高年限">定义!$G$2:$G$4</definedName>
    <definedName name="工业公共部分装修" localSheetId="25">'[1]不动产比较法-工业'!$B$95:$M$95</definedName>
    <definedName name="工业公共部分装修" localSheetId="16">'[2]不动产比较法-工业'!$B$95:$M$95</definedName>
    <definedName name="工业公共部分装修" localSheetId="19">'[1]不动产比较法-工业'!$B$95:$M$95</definedName>
    <definedName name="工业公共部分装修">'不动产比较法-工业'!$B$95:$M$95</definedName>
    <definedName name="工业基础设施水平" localSheetId="25">'[1]不动产比较法-工业'!$B$102:$M$102</definedName>
    <definedName name="工业基础设施水平" localSheetId="16">'[2]不动产比较法-工业'!$B$102:$M$102</definedName>
    <definedName name="工业基础设施水平" localSheetId="19">'[1]不动产比较法-工业'!$B$102:$M$102</definedName>
    <definedName name="工业基础设施水平">'不动产比较法-工业'!$B$102:$M$102</definedName>
    <definedName name="工业建筑结构" localSheetId="25">'[1]不动产比较法-工业'!$B$93:$M$93</definedName>
    <definedName name="工业建筑结构" localSheetId="16">'[2]不动产比较法-工业'!$B$93:$M$93</definedName>
    <definedName name="工业建筑结构" localSheetId="19">'[1]不动产比较法-工业'!$B$93:$M$93</definedName>
    <definedName name="工业建筑结构">'不动产比较法-工业'!$B$93:$M$93</definedName>
    <definedName name="工业建筑类型" localSheetId="25">'[1]不动产比较法-工业'!$B$88:$M$88</definedName>
    <definedName name="工业建筑类型" localSheetId="16">'[2]不动产比较法-工业'!$B$88:$M$88</definedName>
    <definedName name="工业建筑类型" localSheetId="19">'[1]不动产比较法-工业'!$B$88:$M$88</definedName>
    <definedName name="工业建筑类型">'不动产比较法-工业'!$B$88:$M$88</definedName>
    <definedName name="工业交易情况" localSheetId="25">'[1]不动产比较法-工业'!$A$55:$M$55</definedName>
    <definedName name="工业交易情况" localSheetId="16">'[2]不动产比较法-工业'!$A$55:$M$55</definedName>
    <definedName name="工业交易情况" localSheetId="19">'[1]不动产比较法-工业'!$A$55:$M$55</definedName>
    <definedName name="工业交易情况">'不动产比较法-工业'!$A$55:$M$55</definedName>
    <definedName name="工业内部装修" localSheetId="25">'[1]不动产比较法-工业'!$B$104:$M$104</definedName>
    <definedName name="工业内部装修" localSheetId="16">'[2]不动产比较法-工业'!$B$104:$M$104</definedName>
    <definedName name="工业内部装修" localSheetId="19">'[1]不动产比较法-工业'!$B$104:$M$104</definedName>
    <definedName name="工业内部装修">'不动产比较法-工业'!$B$104:$M$104</definedName>
    <definedName name="工业物业管理" localSheetId="25">'[1]不动产比较法-工业'!$B$100:$M$100</definedName>
    <definedName name="工业物业管理" localSheetId="16">'[2]不动产比较法-工业'!$B$100:$M$100</definedName>
    <definedName name="工业物业管理" localSheetId="19">'[1]不动产比较法-工业'!$B$100:$M$100</definedName>
    <definedName name="工业物业管理">'不动产比较法-工业'!$B$100:$M$100</definedName>
    <definedName name="工业用途" localSheetId="25">'[1]不动产比较法-工业'!$B$57:$M$57</definedName>
    <definedName name="工业用途" localSheetId="16">'[2]不动产比较法-工业'!$B$57:$M$57</definedName>
    <definedName name="工业用途" localSheetId="19">'[1]不动产比较法-工业'!$B$57:$M$57</definedName>
    <definedName name="工业用途">'不动产比较法-工业'!$B$57:$M$57</definedName>
    <definedName name="公共配套设施" localSheetId="25">[1]定义!$Q$1:$Q$6</definedName>
    <definedName name="公共配套设施" localSheetId="16">[2]定义!$Q$1:$Q$6</definedName>
    <definedName name="公共配套设施" localSheetId="19">[1]定义!$Q$1:$Q$6</definedName>
    <definedName name="公共配套设施">定义!$Q$1:$Q$6</definedName>
    <definedName name="估价方法" localSheetId="25">[1]定义!$B$1:$B$50</definedName>
    <definedName name="估价方法" localSheetId="16">[2]定义!$B$1:$B$50</definedName>
    <definedName name="估价方法" localSheetId="19">[1]定义!$B$1:$B$50</definedName>
    <definedName name="估价方法">定义!$B$1:$B$50</definedName>
    <definedName name="环境" localSheetId="25">[1]定义!$S$1:$S$6</definedName>
    <definedName name="环境" localSheetId="16">[2]定义!$S$1:$S$6</definedName>
    <definedName name="环境" localSheetId="19">[1]定义!$S$1:$S$6</definedName>
    <definedName name="环境">定义!$S$1:$S$6</definedName>
    <definedName name="基础设施水平" localSheetId="25">[1]定义!$R$1:$R$6</definedName>
    <definedName name="基础设施水平" localSheetId="16">[2]定义!$R$1:$R$6</definedName>
    <definedName name="基础设施水平" localSheetId="19">[1]定义!$R$1:$R$6</definedName>
    <definedName name="基础设施水平">定义!$R$1:$R$6</definedName>
    <definedName name="季度" localSheetId="26">'基准地价-办公'!$N$19:$AG$19</definedName>
    <definedName name="季度">'基准地价-商业'!$N$19:$AG$19</definedName>
    <definedName name="季度2014">地价!$A$2:$A$25</definedName>
    <definedName name="价值类型2" localSheetId="25">[1]定义!$B$54:$B$56</definedName>
    <definedName name="价值类型2" localSheetId="16">[2]定义!$B$54:$B$56</definedName>
    <definedName name="价值类型2" localSheetId="19">[1]定义!$B$54:$B$56</definedName>
    <definedName name="价值类型2">定义!$B$54:$B$56</definedName>
    <definedName name="交通便捷度" localSheetId="25">[1]定义!$O$1:$O$6</definedName>
    <definedName name="交通便捷度" localSheetId="16">[2]定义!$O$1:$O$6</definedName>
    <definedName name="交通便捷度" localSheetId="19">[1]定义!$O$1:$O$6</definedName>
    <definedName name="交通便捷度">定义!$O$1:$O$6</definedName>
    <definedName name="九级">区片价!$Q$1:$Q$46</definedName>
    <definedName name="居住社区成熟度" localSheetId="25">[1]定义!$K$1:$K$6</definedName>
    <definedName name="居住社区成熟度" localSheetId="16">[2]定义!$K$1:$K$6</definedName>
    <definedName name="居住社区成熟度" localSheetId="19">[1]定义!$K$1:$K$6</definedName>
    <definedName name="居住社区成熟度">定义!$K$1:$K$6</definedName>
    <definedName name="类别" localSheetId="25">[1]定义!$J$1:$J$3</definedName>
    <definedName name="类别" localSheetId="16">[2]定义!$J$1:$J$3</definedName>
    <definedName name="类别" localSheetId="19">[1]定义!$J$1:$J$3</definedName>
    <definedName name="类别">定义!$J$1:$J$3</definedName>
    <definedName name="临街状况" localSheetId="25">[1]定义!$T$1:$T$5</definedName>
    <definedName name="临街状况" localSheetId="16">[2]定义!$T$1:$T$5</definedName>
    <definedName name="临街状况" localSheetId="19">[1]定义!$T$1:$T$5</definedName>
    <definedName name="临街状况">定义!$T$1:$T$5</definedName>
    <definedName name="六级">区片价!$N$1:$N$49</definedName>
    <definedName name="内部装修维护情况" localSheetId="25">[1]定义!$U$1:$U$6</definedName>
    <definedName name="内部装修维护情况" localSheetId="16">[2]定义!$U$1:$U$6</definedName>
    <definedName name="内部装修维护情况" localSheetId="19">[1]定义!$U$1:$U$6</definedName>
    <definedName name="内部装修维护情况">定义!$U$1:$U$6</definedName>
    <definedName name="判定" localSheetId="25">[1]定义!$D$1:$D$4</definedName>
    <definedName name="判定" localSheetId="16">[2]定义!$D$1:$D$4</definedName>
    <definedName name="判定" localSheetId="19">[1]定义!$D$1:$D$4</definedName>
    <definedName name="判定">定义!$D$1:$D$4</definedName>
    <definedName name="七级">区片价!$O$1:$O$49</definedName>
    <definedName name="七通一平" localSheetId="25">[1]修正!$A$6:$A$14</definedName>
    <definedName name="七通一平" localSheetId="16">[2]修正!$A$6:$A$14</definedName>
    <definedName name="七通一平" localSheetId="19">[1]修正!$A$6:$A$14</definedName>
    <definedName name="七通一平">修正!$A$6:$A$14</definedName>
    <definedName name="区域土地利用方向" localSheetId="25">[1]定义!$P$1:$P$6</definedName>
    <definedName name="区域土地利用方向" localSheetId="16">[2]定义!$P$1:$P$6</definedName>
    <definedName name="区域土地利用方向" localSheetId="19">[1]定义!$P$1:$P$6</definedName>
    <definedName name="区域土地利用方向">定义!$P$1:$P$6</definedName>
    <definedName name="三级">区片价!$K$1:$K$21</definedName>
    <definedName name="商业层高" localSheetId="25">[1]租金商业!$B$116:$M$116</definedName>
    <definedName name="商业层高" localSheetId="16">'[2]不动产比较法-商业'!$B$116:$M$116</definedName>
    <definedName name="商业层高" localSheetId="19">[1]租金商业!$B$116:$M$116</definedName>
    <definedName name="商业层高">'不动产比较法-商业'!$B$116:$M$116</definedName>
    <definedName name="商业成新度">'不动产比较法-商业'!$B$109:$M$109</definedName>
    <definedName name="商业繁华度" localSheetId="25">[1]定义!$L$1:$L$6</definedName>
    <definedName name="商业繁华度" localSheetId="16">[2]定义!$L$1:$L$6</definedName>
    <definedName name="商业繁华度" localSheetId="19">[1]定义!$L$1:$L$6</definedName>
    <definedName name="商业繁华度">定义!$L$1:$L$6</definedName>
    <definedName name="商业公共部分装修" localSheetId="25">[1]租金商业!$B$107:$M$107</definedName>
    <definedName name="商业公共部分装修" localSheetId="16">'[2]不动产比较法-商业'!$B$107:$M$107</definedName>
    <definedName name="商业公共部分装修" localSheetId="19">[1]租金商业!$B$107:$M$107</definedName>
    <definedName name="商业公共部分装修">'不动产比较法-商业'!$B$107:$M$107</definedName>
    <definedName name="商业基础设施水平" localSheetId="25">[1]租金商业!$B$112:$M$112</definedName>
    <definedName name="商业基础设施水平" localSheetId="16">'[2]不动产比较法-商业'!$B$112:$M$112</definedName>
    <definedName name="商业基础设施水平" localSheetId="19">[1]租金商业!$B$112:$M$112</definedName>
    <definedName name="商业基础设施水平">'不动产比较法-商业'!$B$112:$M$112</definedName>
    <definedName name="商业建筑结构" localSheetId="25">[1]租金商业!$B$105:$M$105</definedName>
    <definedName name="商业建筑结构" localSheetId="16">'[2]不动产比较法-商业'!$B$105:$M$105</definedName>
    <definedName name="商业建筑结构" localSheetId="19">[1]租金商业!$B$105:$M$105</definedName>
    <definedName name="商业建筑结构">'不动产比较法-商业'!$B$105:$M$105</definedName>
    <definedName name="商业交易情况" localSheetId="25">[1]租金商业!$A$61:$M$61</definedName>
    <definedName name="商业交易情况" localSheetId="16">'[2]不动产比较法-商业'!$A$61:$M$61</definedName>
    <definedName name="商业交易情况" localSheetId="19">[1]租金商业!$A$61:$M$61</definedName>
    <definedName name="商业交易情况">'不动产比较法-商业'!$A$61:$M$61</definedName>
    <definedName name="商业街名称" localSheetId="25">[1]修正!$C$59:$C$119</definedName>
    <definedName name="商业街名称" localSheetId="16">[2]修正!$C$59:$C$119</definedName>
    <definedName name="商业街名称" localSheetId="19">[1]修正!$C$59:$C$119</definedName>
    <definedName name="商业街名称">修正!$C$59:$C$119</definedName>
    <definedName name="商业进深比" localSheetId="25">[1]租金商业!$B$120:$M$120</definedName>
    <definedName name="商业进深比" localSheetId="16">'[2]不动产比较法-商业'!$B$120:$M$120</definedName>
    <definedName name="商业进深比" localSheetId="19">[1]租金商业!$B$120:$M$120</definedName>
    <definedName name="商业进深比">'不动产比较法-商业'!$B$120:$M$120</definedName>
    <definedName name="商业类型" localSheetId="25">[1]租金商业!$B$100:$M$100</definedName>
    <definedName name="商业类型" localSheetId="16">'[2]不动产比较法-商业'!$B$100:$M$100</definedName>
    <definedName name="商业类型" localSheetId="19">[1]租金商业!$B$100:$M$100</definedName>
    <definedName name="商业类型">'不动产比较法-商业'!$B$100:$M$100</definedName>
    <definedName name="商业临街状况" localSheetId="25">[1]租金商业!$B$86:$M$86</definedName>
    <definedName name="商业临街状况" localSheetId="16">'[2]不动产比较法-商业'!$B$86:$M$86</definedName>
    <definedName name="商业临街状况" localSheetId="19">[1]租金商业!$B$86:$M$86</definedName>
    <definedName name="商业临街状况">'不动产比较法-商业'!$B$86:$M$86</definedName>
    <definedName name="商业楼层" localSheetId="25">[1]租金商业!$B$92:$M$92</definedName>
    <definedName name="商业楼层" localSheetId="16">'[2]不动产比较法-商业'!$B$92:$M$92</definedName>
    <definedName name="商业楼层" localSheetId="19">[1]租金商业!$B$92:$M$92</definedName>
    <definedName name="商业楼层">'不动产比较法-商业'!$B$92:$M$92</definedName>
    <definedName name="商业内部装修" localSheetId="25">[1]租金商业!$B$122:$M$122</definedName>
    <definedName name="商业内部装修" localSheetId="16">'[2]不动产比较法-商业'!$B$122:$M$122</definedName>
    <definedName name="商业内部装修" localSheetId="19">[1]租金商业!$B$122:$M$122</definedName>
    <definedName name="商业内部装修">'不动产比较法-商业'!$B$122:$M$122</definedName>
    <definedName name="商业人流量" localSheetId="25">[1]租金商业!$B$90:$M$90</definedName>
    <definedName name="商业人流量" localSheetId="16">'[2]不动产比较法-商业'!$B$90:$M$90</definedName>
    <definedName name="商业人流量" localSheetId="19">[1]租金商业!$B$90:$M$90</definedName>
    <definedName name="商业人流量">'不动产比较法-商业'!$B$90:$M$90</definedName>
    <definedName name="商业业态" localSheetId="25">[1]租金商业!$B$114:$M$114</definedName>
    <definedName name="商业业态" localSheetId="16">'[2]不动产比较法-商业'!$B$114:$M$114</definedName>
    <definedName name="商业业态" localSheetId="19">[1]租金商业!$B$114:$M$114</definedName>
    <definedName name="商业业态">'不动产比较法-商业'!$B$114:$M$114</definedName>
    <definedName name="商业用途" localSheetId="25">[1]租金商业!$B$63:$M$63</definedName>
    <definedName name="商业用途" localSheetId="16">'[2]不动产比较法-商业'!$B$63:$M$63</definedName>
    <definedName name="商业用途" localSheetId="19">[1]租金商业!$B$63:$M$63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5">'[1]不动产比较法-仓储'!$B$89:$M$89</definedName>
    <definedName name="是否封闭" localSheetId="16">'[2]不动产比较法-仓储'!$B$89:$M$89</definedName>
    <definedName name="是否封闭" localSheetId="19">'[1]不动产比较法-仓储'!$B$89:$M$89</definedName>
    <definedName name="是否封闭">'不动产比较法-仓储'!$B$89:$M$89</definedName>
    <definedName name="是否直接入户" localSheetId="25">'[1]不动产比较法-车位'!$B$95:$M$95</definedName>
    <definedName name="是否直接入户" localSheetId="16">'[2]不动产比较法-车位'!$B$95:$M$95</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25">'[1]比较法-工业'!$B$116:$M$116</definedName>
    <definedName name="套工工程地质条件" localSheetId="16">'[2]比较法-工业'!$B$116:$M$116</definedName>
    <definedName name="套工工程地质条件" localSheetId="19">'[1]比较法-工业'!$B$116:$M$116</definedName>
    <definedName name="套工工程地质条件">'比较法-工业'!$B$116:$M$116</definedName>
    <definedName name="套工交易情况" localSheetId="25">'[1]比较法-住宅、综合'!$A$75:$M$75</definedName>
    <definedName name="套工交易情况" localSheetId="16">'[2]比较法-住宅、综合'!$A$75:$M$75</definedName>
    <definedName name="套工交易情况" localSheetId="19">'[1]比较法-住宅、综合'!$A$75:$M$75</definedName>
    <definedName name="套工交易情况">'比较法-住宅、综合'!$A$75:$M$75</definedName>
    <definedName name="套工开发程度" localSheetId="25">'[1]比较法-工业'!$B$114:$M$114</definedName>
    <definedName name="套工开发程度" localSheetId="16">'[2]比较法-工业'!$B$114:$M$114</definedName>
    <definedName name="套工开发程度" localSheetId="19">'[1]比较法-工业'!$B$114:$M$114</definedName>
    <definedName name="套工开发程度">'比较法-工业'!$B$114:$M$114</definedName>
    <definedName name="套工临街等级" localSheetId="25">'[1]比较法-工业'!$B$99:$M$99</definedName>
    <definedName name="套工临街等级" localSheetId="16">'[2]比较法-工业'!$B$99:$M$99</definedName>
    <definedName name="套工临街等级" localSheetId="19">'[1]比较法-工业'!$B$99:$M$99</definedName>
    <definedName name="套工临街等级">'比较法-工业'!$B$99:$M$99</definedName>
    <definedName name="套工土地级别" localSheetId="25">'[1]比较法-工业'!$B$101:$M$101</definedName>
    <definedName name="套工土地级别" localSheetId="16">'[2]比较法-工业'!$B$101:$M$101</definedName>
    <definedName name="套工土地级别" localSheetId="19">'[1]比较法-工业'!$B$101:$M$101</definedName>
    <definedName name="套工土地级别">'比较法-工业'!$B$101:$M$101</definedName>
    <definedName name="套工用途" localSheetId="25">'[1]比较法-工业'!$B$72:$M$72</definedName>
    <definedName name="套工用途" localSheetId="16">'[2]比较法-工业'!$B$72:$M$72</definedName>
    <definedName name="套工用途" localSheetId="19">'[1]比较法-工业'!$B$72:$M$72</definedName>
    <definedName name="套工用途">'比较法-工业'!$B$72:$M$72</definedName>
    <definedName name="套工宗地形状" localSheetId="25">'[1]比较法-工业'!$B$112:$M$112</definedName>
    <definedName name="套工宗地形状" localSheetId="16">'[2]比较法-工业'!$B$112:$M$112</definedName>
    <definedName name="套工宗地形状" localSheetId="19">'[1]比较法-工业'!$B$112:$M$112</definedName>
    <definedName name="套工宗地形状">'比较法-工业'!$B$112:$M$112</definedName>
    <definedName name="套综道路等级" localSheetId="25">'[1]比较法-住宅、综合'!$B$108:$M$108</definedName>
    <definedName name="套综道路等级" localSheetId="16">'[2]比较法-住宅、综合'!$B$108:$M$108</definedName>
    <definedName name="套综道路等级" localSheetId="19">'[1]比较法-住宅、综合'!$B$108:$M$108</definedName>
    <definedName name="套综道路等级">'比较法-住宅、综合'!$B$108:$M$108</definedName>
    <definedName name="套综工程地质条件" localSheetId="25">'[1]比较法-住宅、综合'!$B$127:$M$127</definedName>
    <definedName name="套综工程地质条件" localSheetId="16">'[2]比较法-住宅、综合'!$B$127:$M$127</definedName>
    <definedName name="套综工程地质条件" localSheetId="19">'[1]比较法-住宅、综合'!$B$127:$M$127</definedName>
    <definedName name="套综工程地质条件">'比较法-住宅、综合'!$B$127:$M$127</definedName>
    <definedName name="套综交易情况" localSheetId="25">'[1]比较法-住宅、综合'!$A$75:$M$75</definedName>
    <definedName name="套综交易情况" localSheetId="16">'[2]比较法-住宅、综合'!$A$75:$M$75</definedName>
    <definedName name="套综交易情况" localSheetId="19">'[1]比较法-住宅、综合'!$A$75:$M$75</definedName>
    <definedName name="套综交易情况">'比较法-住宅、综合'!$A$75:$M$75</definedName>
    <definedName name="套综临街宽度及深度" localSheetId="25">'[1]比较法-住宅、综合'!$B$123:$M$123</definedName>
    <definedName name="套综临街宽度及深度" localSheetId="16">'[2]比较法-住宅、综合'!$B$123:$M$123</definedName>
    <definedName name="套综临街宽度及深度" localSheetId="19">'[1]比较法-住宅、综合'!$B$123:$M$123</definedName>
    <definedName name="套综临街宽度及深度">'比较法-住宅、综合'!$B$123:$M$123</definedName>
    <definedName name="套综土地级别" localSheetId="25">'[1]比较法-住宅、综合'!$B$110:$M$110</definedName>
    <definedName name="套综土地级别" localSheetId="16">'[2]比较法-住宅、综合'!$B$110:$M$110</definedName>
    <definedName name="套综土地级别" localSheetId="19">'[1]比较法-住宅、综合'!$B$110:$M$110</definedName>
    <definedName name="套综土地级别">'比较法-住宅、综合'!$B$110:$M$110</definedName>
    <definedName name="套综用途" localSheetId="25">'[1]比较法-住宅、综合'!$B$77:$M$77</definedName>
    <definedName name="套综用途" localSheetId="16">'[2]比较法-住宅、综合'!$B$77:$M$77</definedName>
    <definedName name="套综用途" localSheetId="19">'[1]比较法-住宅、综合'!$B$77:$M$77</definedName>
    <definedName name="套综用途">'比较法-住宅、综合'!$B$77:$M$77</definedName>
    <definedName name="套综宗地内开发程度" localSheetId="25">'[1]比较法-住宅、综合'!$B$125:$M$125</definedName>
    <definedName name="套综宗地内开发程度" localSheetId="16">'[2]比较法-住宅、综合'!$B$125:$M$125</definedName>
    <definedName name="套综宗地内开发程度" localSheetId="19">'[1]比较法-住宅、综合'!$B$125:$M$125</definedName>
    <definedName name="套综宗地内开发程度">'比较法-住宅、综合'!$B$125:$M$125</definedName>
    <definedName name="套综宗地形状" localSheetId="25">'[1]比较法-住宅、综合'!$B$121:$M$121</definedName>
    <definedName name="套综宗地形状" localSheetId="16">'[2]比较法-住宅、综合'!$B$121:$M$121</definedName>
    <definedName name="套综宗地形状" localSheetId="19">'[1]比较法-住宅、综合'!$B$121:$M$121</definedName>
    <definedName name="套综宗地形状">'比较法-住宅、综合'!$B$121:$M$121</definedName>
    <definedName name="土地估价师" localSheetId="25">[1]估价师及机构信息!$D$3:$D$24</definedName>
    <definedName name="土地估价师" localSheetId="16">[2]估价师及机构信息!$D$3:$D$24</definedName>
    <definedName name="土地估价师" localSheetId="19">[1]估价师及机构信息!$D$3:$D$24</definedName>
    <definedName name="土地估价师">估价师及机构信息!$D$3:$D$24</definedName>
    <definedName name="土地级别" localSheetId="25">[1]定义!$C$1:$C$14</definedName>
    <definedName name="土地级别" localSheetId="16">[2]定义!$C$1:$C$14</definedName>
    <definedName name="土地级别" localSheetId="19">[1]定义!$C$1:$C$14</definedName>
    <definedName name="土地级别">定义!$C$1:$C$14</definedName>
    <definedName name="土地利用方向">定义!$P$1:$P$6</definedName>
    <definedName name="土地年限区间" localSheetId="25">[1]定义!$I$1:$I$8</definedName>
    <definedName name="土地年限区间" localSheetId="16">[2]定义!$I$1:$I$8</definedName>
    <definedName name="土地年限区间" localSheetId="19">[1]定义!$I$1:$I$8</definedName>
    <definedName name="土地年限区间">定义!$I$1:$I$8</definedName>
    <definedName name="位置" localSheetId="25">[1]定义!$E$2:$E$4</definedName>
    <definedName name="位置" localSheetId="16">[2]定义!$E$2:$E$4</definedName>
    <definedName name="位置" localSheetId="19">[1]定义!$E$2:$E$4</definedName>
    <definedName name="位置">定义!$E$2:$E$4</definedName>
    <definedName name="五等判定" localSheetId="25">[1]定义!$W$1:$W$6</definedName>
    <definedName name="五等判定" localSheetId="16">[2]定义!$W$1:$W$6</definedName>
    <definedName name="五等判定" localSheetId="19">[1]定义!$W$1:$W$6</definedName>
    <definedName name="五等判定">定义!$W$1:$W$6</definedName>
    <definedName name="五级">区片价!$M$1:$M$35</definedName>
    <definedName name="项目类型" localSheetId="25">'[1]数据-汇总表'!$C$17:$C$26</definedName>
    <definedName name="项目类型" localSheetId="16">'[2]数据-汇总表'!$C$17:$C$26</definedName>
    <definedName name="项目类型" localSheetId="19">'[1]数据-汇总表'!$C$17:$C$26</definedName>
    <definedName name="项目类型">'数据-汇总表'!$C$17:$C$26</definedName>
    <definedName name="写字楼等级" localSheetId="25">[1]租金办公!$B$113:$M$113</definedName>
    <definedName name="写字楼等级" localSheetId="16">'[2]不动产比较法-办公'!$B$113:$M$113</definedName>
    <definedName name="写字楼等级" localSheetId="19">[1]租金办公!$B$113:$M$113</definedName>
    <definedName name="写字楼等级">'不动产比较法-办公'!$B$113:$M$113</definedName>
    <definedName name="一级">区片价!$I$1:$I$6</definedName>
    <definedName name="一修多修正项2" localSheetId="25">[1]典型户型修正!$5:$5</definedName>
    <definedName name="一修多修正项2" localSheetId="16">[2]典型户型修正!$5:$5</definedName>
    <definedName name="一修多修正项2" localSheetId="19">[1]典型户型修正!$5:$5</definedName>
    <definedName name="一修多修正项2">典型户型修正!$5:$5</definedName>
    <definedName name="一修多修正项3" localSheetId="25">[1]典型户型修正!$7:$7</definedName>
    <definedName name="一修多修正项3" localSheetId="16">[2]典型户型修正!$7:$7</definedName>
    <definedName name="一修多修正项3" localSheetId="19">[1]典型户型修正!$7:$7</definedName>
    <definedName name="一修多修正项3">典型户型修正!$7:$7</definedName>
    <definedName name="一修多修正项4" localSheetId="25">[1]典型户型修正!$9:$9</definedName>
    <definedName name="一修多修正项4" localSheetId="16">[2]典型户型修正!$9:$9</definedName>
    <definedName name="一修多修正项4" localSheetId="19">[1]典型户型修正!$9:$9</definedName>
    <definedName name="一修多修正项4">典型户型修正!$9:$9</definedName>
    <definedName name="一修多修正项5" localSheetId="25">[1]典型户型修正!$11:$11</definedName>
    <definedName name="一修多修正项5" localSheetId="16">[2]典型户型修正!$11:$11</definedName>
    <definedName name="一修多修正项5" localSheetId="19">[1]典型户型修正!$11:$11</definedName>
    <definedName name="一修多修正项5">典型户型修正!$11:$11</definedName>
    <definedName name="一修多修正项6" localSheetId="25">[1]典型户型修正!$13:$13</definedName>
    <definedName name="一修多修正项6" localSheetId="16">[2]典型户型修正!$13:$13</definedName>
    <definedName name="一修多修正项6" localSheetId="19">[1]典型户型修正!$13:$13</definedName>
    <definedName name="一修多修正项6">典型户型修正!$13:$13</definedName>
    <definedName name="一修多修正项7" localSheetId="25">[1]典型户型修正!$15:$15</definedName>
    <definedName name="一修多修正项7" localSheetId="16">[2]典型户型修正!$15:$15</definedName>
    <definedName name="一修多修正项7" localSheetId="19">[1]典型户型修正!$15:$15</definedName>
    <definedName name="一修多修正项7">典型户型修正!$15:$15</definedName>
    <definedName name="一修多修正项8" localSheetId="25">[1]典型户型修正!$17:$17</definedName>
    <definedName name="一修多修正项8" localSheetId="16">[2]典型户型修正!$17:$17</definedName>
    <definedName name="一修多修正项8" localSheetId="19">[1]典型户型修正!$17:$17</definedName>
    <definedName name="一修多修正项8">典型户型修正!$17:$17</definedName>
    <definedName name="用途类型" localSheetId="25">[1]定义!$A$1:$A$50</definedName>
    <definedName name="用途类型" localSheetId="16">[2]定义!$A$1:$A$50</definedName>
    <definedName name="用途类型" localSheetId="19">[1]定义!$A$1:$A$50</definedName>
    <definedName name="用途类型">定义!$A$1:$A$50</definedName>
    <definedName name="有无电梯" localSheetId="25">'[1]不动产比较法-仓储'!$B$84:$M$84</definedName>
    <definedName name="有无电梯" localSheetId="16">'[2]不动产比较法-仓储'!$B$84:$M$84</definedName>
    <definedName name="有无电梯" localSheetId="19">'[1]不动产比较法-仓储'!$B$84:$M$84</definedName>
    <definedName name="有无电梯">'不动产比较法-仓储'!$B$84:$M$84</definedName>
    <definedName name="主用途" localSheetId="25">[1]定义!$F$1:$F$10</definedName>
    <definedName name="主用途" localSheetId="16">[2]定义!$F$1:$F$10</definedName>
    <definedName name="主用途" localSheetId="19">[1]定义!$F$1:$F$10</definedName>
    <definedName name="主用途">定义!$F$1:$F$10</definedName>
    <definedName name="住宅朝向" localSheetId="25">'[1]不动产比较法-住宅'!$B$88:$M$88</definedName>
    <definedName name="住宅朝向" localSheetId="16">'[2]不动产比较法-住宅'!$B$88:$M$88</definedName>
    <definedName name="住宅朝向" localSheetId="19">'[1]不动产比较法-住宅'!$B$88:$M$88</definedName>
    <definedName name="住宅朝向">'不动产比较法-住宅'!$B$88:$M$88</definedName>
    <definedName name="住宅房型" localSheetId="25">'[1]不动产比较法-住宅'!$B$118:$M$118</definedName>
    <definedName name="住宅房型" localSheetId="16">'[2]不动产比较法-住宅'!$B$118:$M$118</definedName>
    <definedName name="住宅房型" localSheetId="19">'[1]不动产比较法-住宅'!$B$118:$M$118</definedName>
    <definedName name="住宅房型">'不动产比较法-住宅'!$B$118:$M$118</definedName>
    <definedName name="住宅公共部分装修" localSheetId="25">'[1]不动产比较法-住宅'!$B$109:$M$109</definedName>
    <definedName name="住宅公共部分装修" localSheetId="16">'[2]不动产比较法-住宅'!$B$109:$M$109</definedName>
    <definedName name="住宅公共部分装修" localSheetId="19">'[1]不动产比较法-住宅'!$B$109:$M$109</definedName>
    <definedName name="住宅公共部分装修">'不动产比较法-住宅'!$B$109:$M$109</definedName>
    <definedName name="住宅基础设施水平" localSheetId="25">'[1]不动产比较法-住宅'!$B$116:$M$116</definedName>
    <definedName name="住宅基础设施水平" localSheetId="16">'[2]不动产比较法-住宅'!$B$116:$M$116</definedName>
    <definedName name="住宅基础设施水平" localSheetId="19">'[1]不动产比较法-住宅'!$B$116:$M$116</definedName>
    <definedName name="住宅基础设施水平">'不动产比较法-住宅'!$B$116:$M$116</definedName>
    <definedName name="住宅建筑结构" localSheetId="25">'[1]不动产比较法-住宅'!$B$105:$M$105</definedName>
    <definedName name="住宅建筑结构" localSheetId="16">'[2]不动产比较法-住宅'!$B$105:$M$105</definedName>
    <definedName name="住宅建筑结构" localSheetId="19">'[1]不动产比较法-住宅'!$B$105:$M$105</definedName>
    <definedName name="住宅建筑结构">'不动产比较法-住宅'!$B$105:$M$105</definedName>
    <definedName name="住宅建筑类型" localSheetId="25">'[1]不动产比较法-住宅'!$B$100:$M$100</definedName>
    <definedName name="住宅建筑类型" localSheetId="16">'[2]不动产比较法-住宅'!$B$100:$M$100</definedName>
    <definedName name="住宅建筑类型" localSheetId="19">'[1]不动产比较法-住宅'!$B$100:$M$100</definedName>
    <definedName name="住宅建筑类型">'不动产比较法-住宅'!$B$100:$M$100</definedName>
    <definedName name="住宅建筑品质" localSheetId="25">'[1]不动产比较法-住宅'!$B$107:$M$107</definedName>
    <definedName name="住宅建筑品质" localSheetId="16">'[2]不动产比较法-住宅'!$B$107:$M$107</definedName>
    <definedName name="住宅建筑品质" localSheetId="19">'[1]不动产比较法-住宅'!$B$107:$M$107</definedName>
    <definedName name="住宅建筑品质">'不动产比较法-住宅'!$B$107:$M$107</definedName>
    <definedName name="住宅交易情况" localSheetId="25">'[1]不动产比较法-住宅'!$A$61:$M$61</definedName>
    <definedName name="住宅交易情况" localSheetId="16">'[2]不动产比较法-住宅'!$A$61:$M$61</definedName>
    <definedName name="住宅交易情况" localSheetId="19">'[1]不动产比较法-住宅'!$A$61:$M$61</definedName>
    <definedName name="住宅交易情况">'不动产比较法-住宅'!$A$61:$M$61</definedName>
    <definedName name="住宅楼层" localSheetId="25">'[1]不动产比较法-住宅'!$B$86:$M$86</definedName>
    <definedName name="住宅楼层" localSheetId="16">'[2]不动产比较法-住宅'!$B$86:$M$86</definedName>
    <definedName name="住宅楼层" localSheetId="19">'[1]不动产比较法-住宅'!$B$86:$M$86</definedName>
    <definedName name="住宅楼层">'不动产比较法-住宅'!$B$86:$M$86</definedName>
    <definedName name="住宅内部装修" localSheetId="25">'[1]不动产比较法-住宅'!$B$122:$M$122</definedName>
    <definedName name="住宅内部装修" localSheetId="16">'[2]不动产比较法-住宅'!$B$122:$M$122</definedName>
    <definedName name="住宅内部装修" localSheetId="19">'[1]不动产比较法-住宅'!$B$122:$M$122</definedName>
    <definedName name="住宅内部装修">'不动产比较法-住宅'!$B$122:$M$122</definedName>
    <definedName name="住宅物业管理" localSheetId="25">'[1]不动产比较法-住宅'!$B$114:$M$114</definedName>
    <definedName name="住宅物业管理" localSheetId="16">'[2]不动产比较法-住宅'!$B$114:$M$114</definedName>
    <definedName name="住宅物业管理" localSheetId="19">'[1]不动产比较法-住宅'!$B$114:$M$114</definedName>
    <definedName name="住宅物业管理">'不动产比较法-住宅'!$B$114:$M$114</definedName>
    <definedName name="住宅用途" localSheetId="25">'[1]不动产比较法-住宅'!$B$63:$M$63</definedName>
    <definedName name="住宅用途" localSheetId="16">'[2]不动产比较法-住宅'!$B$63:$M$63</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4" i="73" l="1"/>
  <c r="I35" i="73"/>
  <c r="G59" i="70"/>
  <c r="G60" i="70"/>
  <c r="G61" i="70"/>
  <c r="G62" i="70"/>
  <c r="G63" i="70"/>
  <c r="G64" i="70"/>
  <c r="G65" i="70"/>
  <c r="G66" i="70"/>
  <c r="G58" i="70"/>
  <c r="C53" i="73" l="1"/>
  <c r="C52" i="73"/>
  <c r="C50" i="73"/>
  <c r="C51" i="73"/>
  <c r="E22" i="73"/>
  <c r="I33" i="73" l="1"/>
  <c r="I32" i="73"/>
  <c r="C34" i="34"/>
  <c r="C33" i="33"/>
  <c r="C112" i="75" l="1"/>
  <c r="D111" i="75"/>
  <c r="C109" i="75"/>
  <c r="E108" i="75"/>
  <c r="D107" i="75"/>
  <c r="C107" i="75" s="1"/>
  <c r="C105" i="75" s="1"/>
  <c r="D96" i="75"/>
  <c r="H95" i="75"/>
  <c r="D95" i="75"/>
  <c r="C95" i="75" s="1"/>
  <c r="C94" i="75"/>
  <c r="D86" i="75"/>
  <c r="F77" i="75"/>
  <c r="E77" i="75"/>
  <c r="O76" i="75"/>
  <c r="N76" i="75"/>
  <c r="L76" i="75"/>
  <c r="K76" i="75"/>
  <c r="P75" i="75"/>
  <c r="O75" i="75"/>
  <c r="L75" i="75"/>
  <c r="K75" i="75"/>
  <c r="K77" i="75" s="1"/>
  <c r="K79" i="75" s="1"/>
  <c r="K81" i="75" s="1"/>
  <c r="O74" i="75"/>
  <c r="F74" i="75"/>
  <c r="P74" i="75" s="1"/>
  <c r="O73" i="75"/>
  <c r="I73" i="75"/>
  <c r="F73" i="75"/>
  <c r="P73" i="75" s="1"/>
  <c r="D73" i="75"/>
  <c r="N73" i="75" s="1"/>
  <c r="F72" i="75"/>
  <c r="F71" i="75"/>
  <c r="F70" i="75"/>
  <c r="N67" i="75"/>
  <c r="F66" i="75"/>
  <c r="P72" i="75" s="1"/>
  <c r="E66" i="75"/>
  <c r="O72" i="75" s="1"/>
  <c r="A46" i="75"/>
  <c r="C46" i="75" s="1"/>
  <c r="E46" i="75" s="1"/>
  <c r="A45" i="75"/>
  <c r="C45" i="75" s="1"/>
  <c r="K44" i="75"/>
  <c r="A44" i="75"/>
  <c r="C44" i="75" s="1"/>
  <c r="K43" i="75"/>
  <c r="C43" i="75"/>
  <c r="K47" i="75" s="1"/>
  <c r="K41" i="75"/>
  <c r="K40" i="75"/>
  <c r="L38" i="75"/>
  <c r="K38" i="75"/>
  <c r="K29" i="75"/>
  <c r="K30" i="75" s="1"/>
  <c r="C25" i="75"/>
  <c r="C24" i="75"/>
  <c r="C5" i="75"/>
  <c r="D5" i="75" s="1"/>
  <c r="D17" i="75" s="1"/>
  <c r="M4" i="75"/>
  <c r="L4" i="75"/>
  <c r="A2" i="75"/>
  <c r="A2" i="74"/>
  <c r="L4" i="74"/>
  <c r="M4" i="74"/>
  <c r="C5" i="74"/>
  <c r="D5" i="74" s="1"/>
  <c r="D17" i="74" s="1"/>
  <c r="C24" i="74"/>
  <c r="C25" i="74"/>
  <c r="K29" i="74"/>
  <c r="K30" i="74" s="1"/>
  <c r="K38" i="74"/>
  <c r="L38" i="74"/>
  <c r="C43" i="74"/>
  <c r="K43" i="74"/>
  <c r="A44" i="74"/>
  <c r="K39" i="74" s="1"/>
  <c r="K44" i="74"/>
  <c r="A45" i="74"/>
  <c r="K40" i="74" s="1"/>
  <c r="A46" i="74"/>
  <c r="K41" i="74" s="1"/>
  <c r="K47" i="74"/>
  <c r="E66" i="74"/>
  <c r="F66" i="74"/>
  <c r="N67" i="74"/>
  <c r="F70" i="74"/>
  <c r="F71" i="74"/>
  <c r="F72" i="74"/>
  <c r="O72" i="74"/>
  <c r="P72" i="74"/>
  <c r="D73" i="74"/>
  <c r="N73" i="74" s="1"/>
  <c r="F73" i="74"/>
  <c r="P73" i="74" s="1"/>
  <c r="I73" i="74"/>
  <c r="O73" i="74"/>
  <c r="F74" i="74"/>
  <c r="P74" i="74" s="1"/>
  <c r="O74" i="74"/>
  <c r="K75" i="74"/>
  <c r="L75" i="74"/>
  <c r="K76" i="74"/>
  <c r="L76" i="74"/>
  <c r="N76" i="74"/>
  <c r="O76" i="74"/>
  <c r="E77" i="74"/>
  <c r="O75" i="74" s="1"/>
  <c r="F77" i="74"/>
  <c r="P75" i="74" s="1"/>
  <c r="D86" i="74"/>
  <c r="C94" i="74"/>
  <c r="D95" i="74"/>
  <c r="C95" i="74" s="1"/>
  <c r="H95" i="74"/>
  <c r="D96" i="74"/>
  <c r="D107" i="74"/>
  <c r="C107" i="74" s="1"/>
  <c r="C105" i="74" s="1"/>
  <c r="E108" i="74"/>
  <c r="C109" i="74"/>
  <c r="D111" i="74"/>
  <c r="C112" i="74"/>
  <c r="C46" i="74" l="1"/>
  <c r="K33" i="74" s="1"/>
  <c r="C17" i="74"/>
  <c r="C18" i="74" s="1"/>
  <c r="C92" i="74"/>
  <c r="E46" i="74"/>
  <c r="K39" i="75"/>
  <c r="K77" i="74"/>
  <c r="K79" i="74" s="1"/>
  <c r="K81" i="74" s="1"/>
  <c r="C92" i="75"/>
  <c r="C110" i="75"/>
  <c r="F44" i="75"/>
  <c r="D44" i="75"/>
  <c r="N69" i="75"/>
  <c r="E44" i="75"/>
  <c r="O39" i="75"/>
  <c r="F45" i="75"/>
  <c r="D45" i="75"/>
  <c r="E45" i="75"/>
  <c r="O40" i="75"/>
  <c r="K31" i="75" s="1"/>
  <c r="K32" i="75" s="1"/>
  <c r="C17" i="75"/>
  <c r="C18" i="75" s="1"/>
  <c r="K33" i="75"/>
  <c r="O41" i="75"/>
  <c r="D46" i="75"/>
  <c r="F46" i="75"/>
  <c r="C110" i="74"/>
  <c r="F46" i="74"/>
  <c r="D46" i="74"/>
  <c r="C45" i="74"/>
  <c r="C44" i="74"/>
  <c r="O41" i="74"/>
  <c r="K34" i="74" s="1"/>
  <c r="D18" i="74" l="1"/>
  <c r="M44" i="74" s="1"/>
  <c r="M43" i="74"/>
  <c r="K34" i="75"/>
  <c r="M84" i="75"/>
  <c r="N84" i="75" s="1"/>
  <c r="M83" i="75"/>
  <c r="N83" i="75" s="1"/>
  <c r="N89" i="75" s="1"/>
  <c r="O89" i="75" s="1"/>
  <c r="M88" i="75"/>
  <c r="N88" i="75" s="1"/>
  <c r="M87" i="75"/>
  <c r="N87" i="75" s="1"/>
  <c r="M86" i="75"/>
  <c r="N86" i="75" s="1"/>
  <c r="M85" i="75"/>
  <c r="N85" i="75" s="1"/>
  <c r="M43" i="75"/>
  <c r="D18" i="75"/>
  <c r="M44" i="75" s="1"/>
  <c r="D44" i="74"/>
  <c r="F44" i="74"/>
  <c r="O39" i="74"/>
  <c r="E44" i="74"/>
  <c r="N69" i="74"/>
  <c r="D45" i="74"/>
  <c r="F45" i="74"/>
  <c r="O40" i="74"/>
  <c r="K31" i="74" s="1"/>
  <c r="K32" i="74" s="1"/>
  <c r="E45" i="74"/>
  <c r="M83" i="74" l="1"/>
  <c r="N83" i="74" s="1"/>
  <c r="N89" i="74" s="1"/>
  <c r="O89" i="74" s="1"/>
  <c r="M84" i="74"/>
  <c r="N84" i="74" s="1"/>
  <c r="M85" i="74"/>
  <c r="N85" i="74" s="1"/>
  <c r="M86" i="74"/>
  <c r="N86" i="74" s="1"/>
  <c r="M87" i="74"/>
  <c r="N87" i="74" s="1"/>
  <c r="M88" i="74"/>
  <c r="N88" i="74" s="1"/>
  <c r="F5" i="73" l="1"/>
  <c r="F3" i="73"/>
  <c r="F2" i="73"/>
  <c r="C6" i="73"/>
  <c r="C5" i="73"/>
  <c r="C3" i="73"/>
  <c r="I3" i="73" s="1"/>
  <c r="C2" i="73"/>
  <c r="G2" i="73" s="1"/>
  <c r="G4" i="73" s="1"/>
  <c r="G8" i="73" s="1"/>
  <c r="C4" i="73"/>
  <c r="C7" i="73"/>
  <c r="D15" i="73"/>
  <c r="D16" i="73"/>
  <c r="D17" i="73" s="1"/>
  <c r="D18" i="73"/>
  <c r="D19" i="73"/>
  <c r="D20" i="73"/>
  <c r="D21" i="73"/>
  <c r="C33" i="73"/>
  <c r="C34" i="73"/>
  <c r="C35" i="73"/>
  <c r="F36" i="73"/>
  <c r="I5" i="73" l="1"/>
  <c r="G5" i="73"/>
  <c r="I2" i="73"/>
  <c r="J33" i="73" s="1"/>
  <c r="F9" i="73"/>
  <c r="J32" i="73"/>
  <c r="G6" i="73"/>
  <c r="I6" i="73" s="1"/>
  <c r="C37" i="73"/>
  <c r="C38" i="73" s="1"/>
  <c r="C8" i="73"/>
  <c r="G7" i="73" l="1"/>
  <c r="D39" i="70"/>
  <c r="G41" i="70"/>
  <c r="AE9" i="1"/>
  <c r="AH9" i="1"/>
  <c r="AH8" i="1"/>
  <c r="AH6" i="1"/>
  <c r="D37" i="70"/>
  <c r="D29" i="70"/>
  <c r="F1" i="70"/>
  <c r="D5" i="9"/>
  <c r="AH7" i="1"/>
  <c r="G48" i="46"/>
  <c r="G49" i="46"/>
  <c r="G50" i="46"/>
  <c r="G51" i="46"/>
  <c r="G52" i="46"/>
  <c r="G53" i="46"/>
  <c r="G54" i="46"/>
  <c r="G55" i="46"/>
  <c r="G47" i="46"/>
  <c r="D29" i="46"/>
  <c r="F1" i="46"/>
  <c r="Q73" i="72"/>
  <c r="Q60" i="72"/>
  <c r="D60" i="72"/>
  <c r="Q59" i="72"/>
  <c r="K59" i="72"/>
  <c r="P75" i="72" s="1"/>
  <c r="F58" i="72"/>
  <c r="Q52" i="72"/>
  <c r="J50" i="72"/>
  <c r="M47" i="72"/>
  <c r="F33" i="72"/>
  <c r="F60" i="72" s="1"/>
  <c r="F32" i="72"/>
  <c r="F59" i="72" s="1"/>
  <c r="F31" i="72"/>
  <c r="F28" i="72"/>
  <c r="C28" i="72" s="1"/>
  <c r="F23" i="72"/>
  <c r="D24" i="72" s="1"/>
  <c r="D22" i="72"/>
  <c r="F21" i="72"/>
  <c r="F20" i="72"/>
  <c r="M19" i="72"/>
  <c r="M18" i="72"/>
  <c r="F18" i="72"/>
  <c r="M17" i="72"/>
  <c r="F17" i="72"/>
  <c r="F15" i="72"/>
  <c r="F29" i="71"/>
  <c r="G28" i="71"/>
  <c r="G27" i="71"/>
  <c r="G26" i="71"/>
  <c r="F25" i="71"/>
  <c r="C25" i="71" s="1"/>
  <c r="F24" i="71"/>
  <c r="F23" i="71"/>
  <c r="E22" i="71"/>
  <c r="E21" i="71"/>
  <c r="E19" i="71"/>
  <c r="F17" i="71"/>
  <c r="E16" i="71"/>
  <c r="F15" i="71"/>
  <c r="F14" i="71"/>
  <c r="K9" i="71"/>
  <c r="J9" i="71"/>
  <c r="I9" i="71"/>
  <c r="H9" i="71"/>
  <c r="G9" i="71"/>
  <c r="F9" i="71"/>
  <c r="E9" i="71"/>
  <c r="D9" i="71"/>
  <c r="C9" i="71"/>
  <c r="K1" i="71"/>
  <c r="F113" i="70"/>
  <c r="L108" i="70"/>
  <c r="H108" i="70"/>
  <c r="D108" i="70"/>
  <c r="L100" i="70"/>
  <c r="H100" i="70"/>
  <c r="D100" i="70"/>
  <c r="N99" i="70"/>
  <c r="N108" i="70" s="1"/>
  <c r="M99" i="70"/>
  <c r="L99" i="70"/>
  <c r="K99" i="70"/>
  <c r="J99" i="70"/>
  <c r="J108" i="70" s="1"/>
  <c r="I99" i="70"/>
  <c r="H99" i="70"/>
  <c r="G99" i="70"/>
  <c r="F99" i="70"/>
  <c r="F108" i="70" s="1"/>
  <c r="E99" i="70"/>
  <c r="D99" i="70"/>
  <c r="C99" i="70"/>
  <c r="M87" i="70"/>
  <c r="N87" i="70" s="1"/>
  <c r="K87" i="70"/>
  <c r="J87" i="70"/>
  <c r="D87" i="70"/>
  <c r="B87" i="70"/>
  <c r="N86" i="70"/>
  <c r="M86" i="70"/>
  <c r="K86" i="70"/>
  <c r="J86" i="70" s="1"/>
  <c r="D86" i="70"/>
  <c r="N85" i="70"/>
  <c r="M85" i="70"/>
  <c r="K85" i="70"/>
  <c r="J85" i="70" s="1"/>
  <c r="D85" i="70"/>
  <c r="B85" i="70"/>
  <c r="N84" i="70"/>
  <c r="M84" i="70"/>
  <c r="K84" i="70"/>
  <c r="J84" i="70" s="1"/>
  <c r="D84" i="70"/>
  <c r="B84" i="70"/>
  <c r="N83" i="70"/>
  <c r="M83" i="70"/>
  <c r="K83" i="70"/>
  <c r="J83" i="70" s="1"/>
  <c r="D83" i="70"/>
  <c r="B83" i="70"/>
  <c r="N82" i="70"/>
  <c r="M82" i="70"/>
  <c r="K82" i="70"/>
  <c r="J82" i="70" s="1"/>
  <c r="D82" i="70"/>
  <c r="B82" i="70"/>
  <c r="N81" i="70"/>
  <c r="M81" i="70"/>
  <c r="K81" i="70"/>
  <c r="J81" i="70" s="1"/>
  <c r="D81" i="70"/>
  <c r="B81" i="70"/>
  <c r="N80" i="70"/>
  <c r="M80" i="70"/>
  <c r="K80" i="70"/>
  <c r="J80" i="70" s="1"/>
  <c r="H80" i="70"/>
  <c r="F80" i="70"/>
  <c r="H86" i="70" s="1"/>
  <c r="E80" i="70"/>
  <c r="B78" i="70" s="1"/>
  <c r="D80" i="70"/>
  <c r="B80" i="70"/>
  <c r="N77" i="70"/>
  <c r="M77" i="70"/>
  <c r="K77" i="70"/>
  <c r="J77" i="70" s="1"/>
  <c r="H77" i="70"/>
  <c r="D77" i="70"/>
  <c r="N76" i="70"/>
  <c r="M76" i="70"/>
  <c r="K76" i="70"/>
  <c r="J76" i="70" s="1"/>
  <c r="H76" i="70"/>
  <c r="D76" i="70"/>
  <c r="B76" i="70"/>
  <c r="M75" i="70"/>
  <c r="N75" i="70" s="1"/>
  <c r="K75" i="70"/>
  <c r="J75" i="70"/>
  <c r="D75" i="70"/>
  <c r="M74" i="70"/>
  <c r="N74" i="70" s="1"/>
  <c r="K74" i="70"/>
  <c r="J74" i="70"/>
  <c r="D74" i="70"/>
  <c r="B74" i="70"/>
  <c r="N73" i="70"/>
  <c r="M73" i="70"/>
  <c r="K73" i="70"/>
  <c r="J73" i="70" s="1"/>
  <c r="H73" i="70"/>
  <c r="D73" i="70"/>
  <c r="B73" i="70"/>
  <c r="M72" i="70"/>
  <c r="N72" i="70" s="1"/>
  <c r="K72" i="70"/>
  <c r="J72" i="70"/>
  <c r="D72" i="70"/>
  <c r="B72" i="70"/>
  <c r="N71" i="70"/>
  <c r="M71" i="70"/>
  <c r="K71" i="70"/>
  <c r="J71" i="70" s="1"/>
  <c r="H71" i="70"/>
  <c r="D71" i="70"/>
  <c r="B71" i="70"/>
  <c r="M70" i="70"/>
  <c r="N70" i="70" s="1"/>
  <c r="K70" i="70"/>
  <c r="J70" i="70"/>
  <c r="D70" i="70"/>
  <c r="E69" i="70" s="1"/>
  <c r="B67" i="70" s="1"/>
  <c r="B70" i="70"/>
  <c r="N69" i="70"/>
  <c r="M69" i="70"/>
  <c r="K69" i="70"/>
  <c r="J69" i="70" s="1"/>
  <c r="H69" i="70"/>
  <c r="F69" i="70"/>
  <c r="H75" i="70" s="1"/>
  <c r="D69" i="70"/>
  <c r="B69" i="70"/>
  <c r="M66" i="70"/>
  <c r="N66" i="70" s="1"/>
  <c r="K66" i="70"/>
  <c r="J66" i="70" s="1"/>
  <c r="D66" i="70"/>
  <c r="B66" i="70"/>
  <c r="M65" i="70"/>
  <c r="N65" i="70" s="1"/>
  <c r="K65" i="70"/>
  <c r="J65" i="70"/>
  <c r="D65" i="70" s="1"/>
  <c r="B65" i="70"/>
  <c r="M64" i="70"/>
  <c r="N64" i="70" s="1"/>
  <c r="K64" i="70"/>
  <c r="J64" i="70" s="1"/>
  <c r="D64" i="70"/>
  <c r="B64" i="70"/>
  <c r="M63" i="70"/>
  <c r="N63" i="70" s="1"/>
  <c r="K63" i="70"/>
  <c r="J63" i="70"/>
  <c r="D63" i="70"/>
  <c r="M62" i="70"/>
  <c r="N62" i="70" s="1"/>
  <c r="K62" i="70"/>
  <c r="J62" i="70"/>
  <c r="D62" i="70"/>
  <c r="B62" i="70"/>
  <c r="N61" i="70"/>
  <c r="M61" i="70"/>
  <c r="K61" i="70"/>
  <c r="J61" i="70" s="1"/>
  <c r="D61" i="70"/>
  <c r="M60" i="70"/>
  <c r="N60" i="70" s="1"/>
  <c r="K60" i="70"/>
  <c r="J60" i="70" s="1"/>
  <c r="D60" i="70"/>
  <c r="B60" i="70"/>
  <c r="M59" i="70"/>
  <c r="N59" i="70" s="1"/>
  <c r="K59" i="70"/>
  <c r="J59" i="70"/>
  <c r="D59" i="70"/>
  <c r="B59" i="70"/>
  <c r="M58" i="70"/>
  <c r="N58" i="70" s="1"/>
  <c r="K58" i="70"/>
  <c r="J58" i="70" s="1"/>
  <c r="D58" i="70"/>
  <c r="B58" i="70"/>
  <c r="N55" i="70"/>
  <c r="M55" i="70"/>
  <c r="K55" i="70"/>
  <c r="J55" i="70" s="1"/>
  <c r="H55" i="70"/>
  <c r="D55" i="70"/>
  <c r="B55" i="70"/>
  <c r="M54" i="70"/>
  <c r="N54" i="70" s="1"/>
  <c r="K54" i="70"/>
  <c r="J54" i="70"/>
  <c r="D54" i="70"/>
  <c r="B54" i="70"/>
  <c r="N53" i="70"/>
  <c r="M53" i="70"/>
  <c r="K53" i="70"/>
  <c r="J53" i="70" s="1"/>
  <c r="H53" i="70"/>
  <c r="D53" i="70"/>
  <c r="B53" i="70"/>
  <c r="M52" i="70"/>
  <c r="N52" i="70" s="1"/>
  <c r="K52" i="70"/>
  <c r="J52" i="70"/>
  <c r="D52" i="70"/>
  <c r="M51" i="70"/>
  <c r="N51" i="70" s="1"/>
  <c r="K51" i="70"/>
  <c r="J51" i="70"/>
  <c r="D51" i="70"/>
  <c r="B51" i="70"/>
  <c r="N50" i="70"/>
  <c r="M50" i="70"/>
  <c r="K50" i="70"/>
  <c r="J50" i="70" s="1"/>
  <c r="H50" i="70"/>
  <c r="D50" i="70"/>
  <c r="N49" i="70"/>
  <c r="M49" i="70"/>
  <c r="K49" i="70"/>
  <c r="J49" i="70" s="1"/>
  <c r="H49" i="70"/>
  <c r="D49" i="70"/>
  <c r="B49" i="70"/>
  <c r="M48" i="70"/>
  <c r="N48" i="70" s="1"/>
  <c r="K48" i="70"/>
  <c r="J48" i="70"/>
  <c r="D48" i="70"/>
  <c r="B48" i="70"/>
  <c r="N47" i="70"/>
  <c r="M47" i="70"/>
  <c r="K47" i="70"/>
  <c r="J47" i="70" s="1"/>
  <c r="H47" i="70"/>
  <c r="F47" i="70"/>
  <c r="H54" i="70" s="1"/>
  <c r="E47" i="70"/>
  <c r="B45" i="70" s="1"/>
  <c r="D47" i="70"/>
  <c r="B47" i="70"/>
  <c r="H39" i="70"/>
  <c r="H38" i="70"/>
  <c r="H37" i="70"/>
  <c r="H36" i="70"/>
  <c r="H35" i="70"/>
  <c r="H34" i="70"/>
  <c r="H33" i="70"/>
  <c r="J20" i="70"/>
  <c r="M19" i="70"/>
  <c r="I19" i="70"/>
  <c r="G19" i="70"/>
  <c r="P25" i="70" s="1"/>
  <c r="C18" i="70"/>
  <c r="F15" i="70"/>
  <c r="E15" i="70"/>
  <c r="D15" i="70"/>
  <c r="C15" i="70"/>
  <c r="AJ12" i="70"/>
  <c r="AH12" i="70"/>
  <c r="AF12" i="70"/>
  <c r="AD12" i="70"/>
  <c r="AB12" i="70"/>
  <c r="Z12" i="70"/>
  <c r="Y12" i="70"/>
  <c r="Y10" i="70"/>
  <c r="C10" i="70"/>
  <c r="C11" i="70" s="1"/>
  <c r="AJ9" i="70"/>
  <c r="AJ10" i="70" s="1"/>
  <c r="AI9" i="70"/>
  <c r="AI12" i="70" s="1"/>
  <c r="AH9" i="70"/>
  <c r="AH10" i="70" s="1"/>
  <c r="AG9" i="70"/>
  <c r="AG12" i="70" s="1"/>
  <c r="AF9" i="70"/>
  <c r="AF10" i="70" s="1"/>
  <c r="AE9" i="70"/>
  <c r="AE12" i="70" s="1"/>
  <c r="AD9" i="70"/>
  <c r="AD10" i="70" s="1"/>
  <c r="AC9" i="70"/>
  <c r="AC12" i="70" s="1"/>
  <c r="AB9" i="70"/>
  <c r="AB10" i="70" s="1"/>
  <c r="AA9" i="70"/>
  <c r="AA12" i="70" s="1"/>
  <c r="Z9" i="70"/>
  <c r="Z10" i="70" s="1"/>
  <c r="C9" i="70"/>
  <c r="X7" i="70"/>
  <c r="A7" i="70"/>
  <c r="G3" i="70"/>
  <c r="H22" i="70" s="1"/>
  <c r="I2" i="70"/>
  <c r="M12" i="70" s="1"/>
  <c r="G2" i="70"/>
  <c r="F35" i="70" s="1"/>
  <c r="D1" i="70"/>
  <c r="D21" i="71"/>
  <c r="E58" i="70" l="1"/>
  <c r="B56" i="70" s="1"/>
  <c r="C24" i="70" s="1"/>
  <c r="P62" i="72"/>
  <c r="C12" i="70"/>
  <c r="S3" i="70"/>
  <c r="S6" i="70"/>
  <c r="S5" i="70"/>
  <c r="D23" i="72"/>
  <c r="J51" i="72"/>
  <c r="C21" i="71"/>
  <c r="E11" i="70"/>
  <c r="E10" i="70"/>
  <c r="E9" i="70"/>
  <c r="E8" i="70"/>
  <c r="M1" i="70"/>
  <c r="M3" i="70"/>
  <c r="M6" i="70"/>
  <c r="M10" i="70"/>
  <c r="AA10" i="70"/>
  <c r="AC10" i="70"/>
  <c r="AE10" i="70"/>
  <c r="AG10" i="70"/>
  <c r="AI10" i="70"/>
  <c r="M11" i="70"/>
  <c r="Y11" i="70"/>
  <c r="Y13" i="70" s="1"/>
  <c r="AA11" i="70"/>
  <c r="AA13" i="70" s="1"/>
  <c r="AC11" i="70"/>
  <c r="AC13" i="70" s="1"/>
  <c r="AE11" i="70"/>
  <c r="AE13" i="70" s="1"/>
  <c r="AG11" i="70"/>
  <c r="AG13" i="70" s="1"/>
  <c r="AI11" i="70"/>
  <c r="AI13" i="70" s="1"/>
  <c r="N12" i="70"/>
  <c r="C17" i="70"/>
  <c r="G17" i="70"/>
  <c r="I17" i="70"/>
  <c r="F22" i="70"/>
  <c r="P22" i="70"/>
  <c r="P23" i="70"/>
  <c r="P24" i="70"/>
  <c r="F33" i="70"/>
  <c r="F34" i="70"/>
  <c r="L109" i="70"/>
  <c r="N2" i="70"/>
  <c r="N4" i="70"/>
  <c r="M5" i="70"/>
  <c r="N7" i="70"/>
  <c r="N8" i="70"/>
  <c r="N9" i="70"/>
  <c r="N1" i="70"/>
  <c r="H113" i="70"/>
  <c r="F58" i="70"/>
  <c r="F39" i="70"/>
  <c r="F38" i="70"/>
  <c r="F37" i="70"/>
  <c r="F36" i="70"/>
  <c r="M2" i="70"/>
  <c r="S2" i="70"/>
  <c r="B113" i="70"/>
  <c r="M101" i="70"/>
  <c r="K101" i="70"/>
  <c r="I101" i="70"/>
  <c r="G101" i="70"/>
  <c r="E101" i="70"/>
  <c r="C101" i="70"/>
  <c r="L101" i="70"/>
  <c r="H101" i="70"/>
  <c r="H109" i="70" s="1"/>
  <c r="D101" i="70"/>
  <c r="N101" i="70"/>
  <c r="J101" i="70"/>
  <c r="F101" i="70"/>
  <c r="N3" i="70"/>
  <c r="M4" i="70"/>
  <c r="S4" i="70"/>
  <c r="N5" i="70"/>
  <c r="C6" i="70"/>
  <c r="N6" i="70"/>
  <c r="M7" i="70"/>
  <c r="S7" i="70"/>
  <c r="Z7" i="70"/>
  <c r="M8" i="70"/>
  <c r="M9" i="70"/>
  <c r="N10" i="70"/>
  <c r="N11" i="70"/>
  <c r="Z11" i="70"/>
  <c r="Z13" i="70" s="1"/>
  <c r="AB11" i="70"/>
  <c r="AB13" i="70" s="1"/>
  <c r="AD11" i="70"/>
  <c r="AD13" i="70" s="1"/>
  <c r="AF11" i="70"/>
  <c r="AF13" i="70" s="1"/>
  <c r="AH11" i="70"/>
  <c r="AH13" i="70" s="1"/>
  <c r="AJ11" i="70"/>
  <c r="AJ13" i="70" s="1"/>
  <c r="E17" i="70"/>
  <c r="H17" i="70"/>
  <c r="J17" i="70"/>
  <c r="O19" i="70"/>
  <c r="M20" i="70"/>
  <c r="C19" i="70" s="1"/>
  <c r="P21" i="70"/>
  <c r="E22" i="70"/>
  <c r="G22" i="70"/>
  <c r="J22" i="70"/>
  <c r="H82" i="70"/>
  <c r="H84" i="70"/>
  <c r="H87" i="70"/>
  <c r="F100" i="70"/>
  <c r="J100" i="70"/>
  <c r="N100" i="70"/>
  <c r="H48" i="70"/>
  <c r="H51" i="70"/>
  <c r="H52" i="70"/>
  <c r="H70" i="70"/>
  <c r="H72" i="70"/>
  <c r="H74" i="70"/>
  <c r="H81" i="70"/>
  <c r="H83" i="70"/>
  <c r="H85" i="70"/>
  <c r="C108" i="70"/>
  <c r="C100" i="70"/>
  <c r="C23" i="70" s="1"/>
  <c r="C21" i="70" s="1"/>
  <c r="E108" i="70"/>
  <c r="E109" i="70" s="1"/>
  <c r="E100" i="70"/>
  <c r="G108" i="70"/>
  <c r="G100" i="70"/>
  <c r="I108" i="70"/>
  <c r="I109" i="70" s="1"/>
  <c r="I100" i="70"/>
  <c r="K108" i="70"/>
  <c r="K100" i="70"/>
  <c r="M108" i="70"/>
  <c r="M109" i="70" s="1"/>
  <c r="M100" i="70"/>
  <c r="B55" i="1"/>
  <c r="B56" i="1"/>
  <c r="B57" i="1"/>
  <c r="B58" i="1"/>
  <c r="B59" i="1"/>
  <c r="B60" i="1"/>
  <c r="B54" i="1"/>
  <c r="C15" i="71"/>
  <c r="F33" i="71"/>
  <c r="K109" i="70" l="1"/>
  <c r="G109" i="70"/>
  <c r="C109" i="70"/>
  <c r="C34" i="71"/>
  <c r="D33" i="71" s="1"/>
  <c r="J107" i="70"/>
  <c r="J106" i="70"/>
  <c r="J105" i="70"/>
  <c r="J104" i="70"/>
  <c r="J103" i="70"/>
  <c r="J102" i="70"/>
  <c r="D107" i="70"/>
  <c r="D106" i="70"/>
  <c r="D105" i="70"/>
  <c r="D104" i="70"/>
  <c r="D103" i="70"/>
  <c r="D102" i="70"/>
  <c r="L107" i="70"/>
  <c r="L106" i="70"/>
  <c r="L105" i="70"/>
  <c r="L104" i="70"/>
  <c r="L103" i="70"/>
  <c r="L102" i="70"/>
  <c r="E107" i="70"/>
  <c r="E106" i="70"/>
  <c r="E105" i="70"/>
  <c r="E104" i="70"/>
  <c r="E103" i="70"/>
  <c r="E102" i="70"/>
  <c r="I107" i="70"/>
  <c r="I106" i="70"/>
  <c r="I105" i="70"/>
  <c r="I104" i="70"/>
  <c r="I103" i="70"/>
  <c r="I102" i="70"/>
  <c r="M107" i="70"/>
  <c r="M106" i="70"/>
  <c r="M105" i="70"/>
  <c r="M104" i="70"/>
  <c r="M103" i="70"/>
  <c r="M102" i="70"/>
  <c r="H65" i="70"/>
  <c r="H63" i="70"/>
  <c r="H62" i="70"/>
  <c r="H59" i="70"/>
  <c r="H66" i="70"/>
  <c r="H61" i="70"/>
  <c r="H58" i="70"/>
  <c r="H64" i="70"/>
  <c r="H60" i="70"/>
  <c r="D109" i="70"/>
  <c r="J109" i="70"/>
  <c r="C16" i="70"/>
  <c r="C5" i="70" s="1"/>
  <c r="D22" i="70"/>
  <c r="F107" i="70"/>
  <c r="F106" i="70"/>
  <c r="F105" i="70"/>
  <c r="F104" i="70"/>
  <c r="F103" i="70"/>
  <c r="F102" i="70"/>
  <c r="N107" i="70"/>
  <c r="N106" i="70"/>
  <c r="N105" i="70"/>
  <c r="N104" i="70"/>
  <c r="N103" i="70"/>
  <c r="N102" i="70"/>
  <c r="H107" i="70"/>
  <c r="H106" i="70"/>
  <c r="H105" i="70"/>
  <c r="H104" i="70"/>
  <c r="H103" i="70"/>
  <c r="H102" i="70"/>
  <c r="C107" i="70"/>
  <c r="C106" i="70"/>
  <c r="C105" i="70"/>
  <c r="C104" i="70"/>
  <c r="C103" i="70"/>
  <c r="C102" i="70"/>
  <c r="G107" i="70"/>
  <c r="G106" i="70"/>
  <c r="G105" i="70"/>
  <c r="G104" i="70"/>
  <c r="G103" i="70"/>
  <c r="G102" i="70"/>
  <c r="K107" i="70"/>
  <c r="K106" i="70"/>
  <c r="K105" i="70"/>
  <c r="K104" i="70"/>
  <c r="K103" i="70"/>
  <c r="K102"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C115" i="70" s="1"/>
  <c r="D113" i="70"/>
  <c r="N109" i="70"/>
  <c r="F109" i="70"/>
  <c r="C7" i="70"/>
  <c r="F20" i="6"/>
  <c r="D5" i="70" l="1"/>
  <c r="G22" i="6"/>
  <c r="G21" i="6"/>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A15" i="55"/>
  <c r="B66" i="63" s="1"/>
  <c r="A14" i="55"/>
  <c r="A11" i="55"/>
  <c r="A10" i="55"/>
  <c r="A9" i="55"/>
  <c r="A8" i="55"/>
  <c r="A6" i="54"/>
  <c r="A8" i="54"/>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A4" i="55"/>
  <c r="B57" i="63"/>
  <c r="G5" i="54"/>
  <c r="B34" i="63" s="1"/>
  <c r="E5" i="54"/>
  <c r="B32" i="63" s="1"/>
  <c r="R2" i="54"/>
  <c r="B24" i="63" s="1"/>
  <c r="B19" i="63"/>
  <c r="B49" i="50"/>
  <c r="B5" i="63"/>
  <c r="B40" i="50"/>
  <c r="B3" i="63"/>
  <c r="B21" i="63"/>
  <c r="B67" i="63"/>
  <c r="I19" i="46"/>
  <c r="Q13" i="59"/>
  <c r="P13" i="59"/>
  <c r="E13" i="59" s="1"/>
  <c r="O13" i="59"/>
  <c r="N13" i="59"/>
  <c r="B13" i="59" s="1"/>
  <c r="D74" i="59"/>
  <c r="F73" i="59"/>
  <c r="F72" i="59" s="1"/>
  <c r="E73" i="59"/>
  <c r="E72" i="59"/>
  <c r="E71" i="59" s="1"/>
  <c r="C73" i="59"/>
  <c r="D73" i="59" s="1"/>
  <c r="B73" i="59"/>
  <c r="B72" i="59" s="1"/>
  <c r="F71" i="59"/>
  <c r="B71" i="59"/>
  <c r="D70" i="59"/>
  <c r="F69" i="59"/>
  <c r="F68" i="59" s="1"/>
  <c r="E69" i="59"/>
  <c r="E68" i="59"/>
  <c r="E67" i="59" s="1"/>
  <c r="C69" i="59"/>
  <c r="D69" i="59" s="1"/>
  <c r="B69" i="59"/>
  <c r="B68" i="59" s="1"/>
  <c r="F67" i="59"/>
  <c r="B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c r="B41" i="59" s="1"/>
  <c r="S41" i="59" s="1"/>
  <c r="D38" i="59"/>
  <c r="Q37" i="59"/>
  <c r="P37" i="59"/>
  <c r="O37" i="59"/>
  <c r="N37" i="59"/>
  <c r="Q36" i="59"/>
  <c r="P36" i="59"/>
  <c r="O36" i="59"/>
  <c r="N36" i="59"/>
  <c r="Q35" i="59"/>
  <c r="P35" i="59"/>
  <c r="O35" i="59"/>
  <c r="N35" i="59"/>
  <c r="Q34" i="59"/>
  <c r="F35" i="59" s="1"/>
  <c r="F36" i="59"/>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c r="B29" i="59" s="1"/>
  <c r="S29" i="59" s="1"/>
  <c r="D26" i="59"/>
  <c r="Q25" i="59"/>
  <c r="P25" i="59"/>
  <c r="O25" i="59"/>
  <c r="N25" i="59"/>
  <c r="Q24" i="59"/>
  <c r="AB24" i="59" s="1"/>
  <c r="P24" i="59"/>
  <c r="O24" i="59"/>
  <c r="Y24" i="59"/>
  <c r="Z24" i="59" s="1"/>
  <c r="N24" i="59"/>
  <c r="X24" i="59" s="1"/>
  <c r="Q23" i="59"/>
  <c r="AB23" i="59" s="1"/>
  <c r="P23" i="59"/>
  <c r="O23" i="59"/>
  <c r="Y23" i="59" s="1"/>
  <c r="N23" i="59"/>
  <c r="Q22" i="59"/>
  <c r="P22" i="59"/>
  <c r="O22" i="59"/>
  <c r="C23" i="59"/>
  <c r="N22" i="59"/>
  <c r="B23" i="59"/>
  <c r="B24" i="59" s="1"/>
  <c r="B25" i="59"/>
  <c r="S25" i="59" s="1"/>
  <c r="D22" i="59"/>
  <c r="Q21" i="59"/>
  <c r="P21" i="59"/>
  <c r="O21" i="59"/>
  <c r="N21" i="59"/>
  <c r="X21" i="59" s="1"/>
  <c r="Q20" i="59"/>
  <c r="P20" i="59"/>
  <c r="AA20" i="59" s="1"/>
  <c r="O20" i="59"/>
  <c r="N20" i="59"/>
  <c r="X20" i="59" s="1"/>
  <c r="Q19" i="59"/>
  <c r="P19" i="59"/>
  <c r="AA19" i="59" s="1"/>
  <c r="O19" i="59"/>
  <c r="N19" i="59"/>
  <c r="X19" i="59" s="1"/>
  <c r="Q18" i="59"/>
  <c r="F19" i="59"/>
  <c r="P18" i="59"/>
  <c r="E19" i="59"/>
  <c r="E20" i="59" s="1"/>
  <c r="E21" i="59" s="1"/>
  <c r="U21" i="59" s="1"/>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C15" i="59"/>
  <c r="N14" i="59"/>
  <c r="X14" i="59" s="1"/>
  <c r="B15" i="59"/>
  <c r="D14" i="59"/>
  <c r="X3"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B16" i="59"/>
  <c r="B17" i="59"/>
  <c r="S17" i="59" s="1"/>
  <c r="E15" i="59"/>
  <c r="E16" i="59" s="1"/>
  <c r="E17" i="59" s="1"/>
  <c r="U17" i="59" s="1"/>
  <c r="B36" i="59"/>
  <c r="B37" i="59" s="1"/>
  <c r="S37" i="59" s="1"/>
  <c r="E36" i="59"/>
  <c r="E37" i="59"/>
  <c r="U37" i="59" s="1"/>
  <c r="S53" i="59"/>
  <c r="Z23" i="59"/>
  <c r="AA24" i="59"/>
  <c r="F20" i="59"/>
  <c r="F21" i="59" s="1"/>
  <c r="V21" i="59" s="1"/>
  <c r="F28" i="59"/>
  <c r="F29" i="59" s="1"/>
  <c r="V29" i="59" s="1"/>
  <c r="F32" i="59"/>
  <c r="F33" i="59"/>
  <c r="V33" i="59" s="1"/>
  <c r="F40" i="59"/>
  <c r="F41" i="59" s="1"/>
  <c r="V41" i="59" s="1"/>
  <c r="F44" i="59"/>
  <c r="F45" i="59"/>
  <c r="V45" i="59" s="1"/>
  <c r="F48" i="59"/>
  <c r="F49" i="59" s="1"/>
  <c r="V49" i="59" s="1"/>
  <c r="C16" i="59"/>
  <c r="D15" i="59"/>
  <c r="C24" i="59"/>
  <c r="D23" i="59"/>
  <c r="C28" i="59"/>
  <c r="D27" i="59"/>
  <c r="C32" i="59"/>
  <c r="D32" i="59"/>
  <c r="D31" i="59"/>
  <c r="C36" i="59"/>
  <c r="C37" i="59" s="1"/>
  <c r="D35" i="59"/>
  <c r="C40" i="59"/>
  <c r="C41" i="59" s="1"/>
  <c r="D39" i="59"/>
  <c r="C44" i="59"/>
  <c r="D44" i="59" s="1"/>
  <c r="D43" i="59"/>
  <c r="C48" i="59"/>
  <c r="C49" i="59" s="1"/>
  <c r="D47" i="59"/>
  <c r="E51" i="59"/>
  <c r="P50" i="59" s="1"/>
  <c r="N52" i="59"/>
  <c r="B51" i="59"/>
  <c r="N50" i="59" s="1"/>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P51" i="59"/>
  <c r="C71" i="59"/>
  <c r="D71" i="59" s="1"/>
  <c r="D64" i="59"/>
  <c r="C63" i="59"/>
  <c r="D63" i="59"/>
  <c r="D56" i="59"/>
  <c r="C55" i="59"/>
  <c r="D55" i="59" s="1"/>
  <c r="C51" i="59"/>
  <c r="O51" i="59" s="1"/>
  <c r="O52" i="59"/>
  <c r="D52" i="59"/>
  <c r="D68" i="59"/>
  <c r="C67" i="59"/>
  <c r="D67" i="59" s="1"/>
  <c r="D60" i="59"/>
  <c r="C59" i="59"/>
  <c r="D59" i="59"/>
  <c r="N51" i="59"/>
  <c r="D48" i="59"/>
  <c r="C45" i="59"/>
  <c r="T45" i="59" s="1"/>
  <c r="D40" i="59"/>
  <c r="D36" i="59"/>
  <c r="C29" i="59"/>
  <c r="D28" i="59"/>
  <c r="C25" i="59"/>
  <c r="D24" i="59"/>
  <c r="C17" i="59"/>
  <c r="D16" i="59"/>
  <c r="L16" i="4"/>
  <c r="D45" i="59"/>
  <c r="T17" i="59"/>
  <c r="D17" i="59"/>
  <c r="T25" i="59"/>
  <c r="D25" i="59"/>
  <c r="T29" i="59"/>
  <c r="D29" i="59"/>
  <c r="D5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s="1"/>
  <c r="AA21" i="34" s="1"/>
  <c r="Z21" i="33"/>
  <c r="Q21" i="33"/>
  <c r="C21" i="33"/>
  <c r="D83" i="33"/>
  <c r="E83" i="33" s="1"/>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H21" i="34"/>
  <c r="AB21" i="34" s="1"/>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s="1"/>
  <c r="K54" i="46"/>
  <c r="M53" i="46"/>
  <c r="N53" i="46" s="1"/>
  <c r="K53" i="46"/>
  <c r="J53" i="46" s="1"/>
  <c r="D53" i="46"/>
  <c r="M52" i="46"/>
  <c r="N52" i="46"/>
  <c r="K52" i="46"/>
  <c r="J52" i="46"/>
  <c r="D52" i="46"/>
  <c r="M51" i="46"/>
  <c r="N51" i="46" s="1"/>
  <c r="K51" i="46"/>
  <c r="M50" i="46"/>
  <c r="N50" i="46" s="1"/>
  <c r="M49" i="46"/>
  <c r="N49" i="46" s="1"/>
  <c r="K49" i="46"/>
  <c r="J49" i="46" s="1"/>
  <c r="D49" i="46" s="1"/>
  <c r="M48" i="46"/>
  <c r="N48" i="46" s="1"/>
  <c r="K48" i="46"/>
  <c r="J48" i="46" s="1"/>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G1" i="72" s="1"/>
  <c r="A8" i="1"/>
  <c r="A9" i="1"/>
  <c r="A10" i="1"/>
  <c r="R10" i="1"/>
  <c r="A11" i="1"/>
  <c r="A6" i="1"/>
  <c r="T4" i="1"/>
  <c r="K12" i="1"/>
  <c r="M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AE8" i="1" s="1"/>
  <c r="E19" i="4"/>
  <c r="F7" i="1"/>
  <c r="AE7" i="1" s="1"/>
  <c r="B2" i="52"/>
  <c r="B15" i="52" s="1"/>
  <c r="I2" i="46"/>
  <c r="N12" i="46" s="1"/>
  <c r="A7" i="46"/>
  <c r="F41" i="4"/>
  <c r="J52" i="40"/>
  <c r="H61" i="49"/>
  <c r="H39" i="46"/>
  <c r="H38" i="46"/>
  <c r="H37" i="46"/>
  <c r="H36" i="46"/>
  <c r="H35" i="46"/>
  <c r="H34" i="46"/>
  <c r="H33" i="46"/>
  <c r="J20" i="46"/>
  <c r="C18" i="46"/>
  <c r="F15" i="46"/>
  <c r="E15" i="46"/>
  <c r="D15" i="46"/>
  <c r="C15" i="46"/>
  <c r="C10" i="46"/>
  <c r="C11" i="46" s="1"/>
  <c r="E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AC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c r="Q37" i="34"/>
  <c r="Z37" i="34" s="1"/>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c r="Q44" i="33"/>
  <c r="Z44" i="33" s="1"/>
  <c r="Q43" i="33"/>
  <c r="Z43" i="33"/>
  <c r="Q42" i="33"/>
  <c r="Z42" i="33"/>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U8" i="33" s="1"/>
  <c r="F8" i="33"/>
  <c r="AA8" i="33" s="1"/>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s="1"/>
  <c r="S34" i="34"/>
  <c r="W39" i="34"/>
  <c r="H39" i="33"/>
  <c r="AB39" i="33" s="1"/>
  <c r="F26" i="33"/>
  <c r="AA26" i="33" s="1"/>
  <c r="U33" i="33"/>
  <c r="W38" i="33"/>
  <c r="S40" i="33"/>
  <c r="S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E114" i="34"/>
  <c r="H36" i="34"/>
  <c r="U36" i="34" s="1"/>
  <c r="F37" i="34"/>
  <c r="AA37" i="34" s="1"/>
  <c r="F33" i="34"/>
  <c r="S33" i="34" s="1"/>
  <c r="F19" i="34"/>
  <c r="AA19" i="34" s="1"/>
  <c r="J10" i="34"/>
  <c r="AC10" i="34" s="1"/>
  <c r="J28" i="34"/>
  <c r="W28" i="34" s="1"/>
  <c r="S38" i="33"/>
  <c r="E113" i="33"/>
  <c r="F36" i="33"/>
  <c r="S36" i="33" s="1"/>
  <c r="F19" i="33"/>
  <c r="S19" i="33" s="1"/>
  <c r="J19" i="33"/>
  <c r="AC19" i="33" s="1"/>
  <c r="S10" i="21"/>
  <c r="W40" i="33"/>
  <c r="F125" i="21"/>
  <c r="G125" i="21" s="1"/>
  <c r="G86" i="40"/>
  <c r="AB30" i="36"/>
  <c r="AC34" i="36"/>
  <c r="H29" i="35"/>
  <c r="U34" i="37"/>
  <c r="S34" i="37"/>
  <c r="AA34" i="37"/>
  <c r="AB40" i="34"/>
  <c r="W36" i="34"/>
  <c r="J19" i="34"/>
  <c r="AC19" i="34" s="1"/>
  <c r="F113" i="33"/>
  <c r="G113" i="33" s="1"/>
  <c r="H113" i="33" s="1"/>
  <c r="I113" i="33" s="1"/>
  <c r="J113" i="33" s="1"/>
  <c r="K113" i="33" s="1"/>
  <c r="L113" i="33" s="1"/>
  <c r="M113" i="33" s="1"/>
  <c r="H37" i="33"/>
  <c r="AB37" i="33" s="1"/>
  <c r="AC42" i="34"/>
  <c r="W42" i="34"/>
  <c r="AA42" i="34"/>
  <c r="AC38" i="34"/>
  <c r="W38" i="34"/>
  <c r="AA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U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J36" i="37"/>
  <c r="AC36" i="37" s="1"/>
  <c r="G105" i="37"/>
  <c r="AB28" i="36"/>
  <c r="AB31" i="21"/>
  <c r="S46" i="21"/>
  <c r="AC30" i="21"/>
  <c r="W30" i="21"/>
  <c r="AB30" i="21"/>
  <c r="AA28" i="21"/>
  <c r="W14"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c r="F79" i="37"/>
  <c r="AB27" i="37"/>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A13" i="33"/>
  <c r="AC45" i="33"/>
  <c r="U19" i="21"/>
  <c r="AC33" i="21"/>
  <c r="AA36" i="21"/>
  <c r="F43" i="33"/>
  <c r="AA43" i="33" s="1"/>
  <c r="AA23" i="37"/>
  <c r="AB44" i="33"/>
  <c r="G107" i="37"/>
  <c r="H107" i="37"/>
  <c r="I107" i="37" s="1"/>
  <c r="J107" i="37" s="1"/>
  <c r="K107" i="37" s="1"/>
  <c r="L107" i="37" s="1"/>
  <c r="M107" i="37" s="1"/>
  <c r="AA9" i="21"/>
  <c r="F37" i="21"/>
  <c r="S37" i="21"/>
  <c r="J37" i="21"/>
  <c r="W37" i="21"/>
  <c r="H19" i="34"/>
  <c r="AB19" i="34"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s="1"/>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c r="F13" i="39"/>
  <c r="J13" i="39"/>
  <c r="AC13" i="39" s="1"/>
  <c r="AA36" i="35"/>
  <c r="H11" i="37"/>
  <c r="AB11" i="37"/>
  <c r="W37" i="37"/>
  <c r="AA30" i="33"/>
  <c r="S42" i="33"/>
  <c r="AB17" i="37"/>
  <c r="AZ516" i="3"/>
  <c r="AZ524" i="3"/>
  <c r="AZ532" i="3"/>
  <c r="AZ546" i="3"/>
  <c r="AC29" i="33"/>
  <c r="AA45" i="33"/>
  <c r="AC11" i="36"/>
  <c r="AC10" i="36"/>
  <c r="AB45" i="34"/>
  <c r="AC14" i="37"/>
  <c r="AB35" i="35"/>
  <c r="S25" i="35"/>
  <c r="AC30" i="33"/>
  <c r="W30" i="33"/>
  <c r="AC29" i="37"/>
  <c r="W32" i="36"/>
  <c r="AC32" i="36"/>
  <c r="AB28" i="33"/>
  <c r="J33" i="34"/>
  <c r="AC33" i="34" s="1"/>
  <c r="J40" i="34"/>
  <c r="W40" i="34" s="1"/>
  <c r="F16" i="35"/>
  <c r="AA16" i="35" s="1"/>
  <c r="S24" i="36"/>
  <c r="J35" i="34"/>
  <c r="W35"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c r="H19" i="39"/>
  <c r="J19" i="39"/>
  <c r="W19" i="39" s="1"/>
  <c r="F43" i="39"/>
  <c r="H43" i="39"/>
  <c r="U43" i="39"/>
  <c r="J43" i="39"/>
  <c r="F99" i="37"/>
  <c r="AC27" i="37"/>
  <c r="U25" i="35"/>
  <c r="S45" i="34"/>
  <c r="U31" i="34"/>
  <c r="AC40" i="37"/>
  <c r="W40" i="37"/>
  <c r="AC45" i="21"/>
  <c r="S28" i="33"/>
  <c r="S14" i="21"/>
  <c r="AB29" i="35"/>
  <c r="U29" i="35"/>
  <c r="W19" i="33"/>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C12" i="21"/>
  <c r="W12" i="21"/>
  <c r="AB33" i="21"/>
  <c r="S35" i="21"/>
  <c r="AB10" i="21"/>
  <c r="U8" i="21"/>
  <c r="AB8" i="21"/>
  <c r="S34" i="21"/>
  <c r="AC36" i="21"/>
  <c r="AB8" i="33"/>
  <c r="E106" i="33"/>
  <c r="H34" i="33"/>
  <c r="U34" i="33" s="1"/>
  <c r="F34" i="33"/>
  <c r="S34" i="33" s="1"/>
  <c r="E121" i="33"/>
  <c r="F41" i="33"/>
  <c r="S41" i="33" s="1"/>
  <c r="AC34" i="34"/>
  <c r="W34" i="34"/>
  <c r="AA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W41" i="40"/>
  <c r="J23" i="40"/>
  <c r="AC23" i="40" s="1"/>
  <c r="F23" i="40"/>
  <c r="S23" i="40"/>
  <c r="AC15" i="40"/>
  <c r="W15" i="40"/>
  <c r="W27" i="39"/>
  <c r="S23" i="39"/>
  <c r="W14"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c r="H100" i="40"/>
  <c r="I100" i="40"/>
  <c r="J100" i="40" s="1"/>
  <c r="K100" i="40" s="1"/>
  <c r="L100" i="40" s="1"/>
  <c r="M100" i="40" s="1"/>
  <c r="AZ486" i="3"/>
  <c r="AZ504" i="3"/>
  <c r="AZ529" i="3"/>
  <c r="AZ537" i="3"/>
  <c r="AZ548" i="3"/>
  <c r="AB37" i="39"/>
  <c r="U39" i="39"/>
  <c r="J29" i="39"/>
  <c r="AC29" i="39"/>
  <c r="AB21" i="39"/>
  <c r="U21" i="39"/>
  <c r="AB17" i="39"/>
  <c r="AB33" i="36"/>
  <c r="AA11" i="36"/>
  <c r="AA14" i="35"/>
  <c r="S14" i="35"/>
  <c r="G99" i="37"/>
  <c r="F33" i="37"/>
  <c r="AB19" i="39"/>
  <c r="U19" i="39"/>
  <c r="U46" i="34"/>
  <c r="AC30" i="34"/>
  <c r="AA14" i="34"/>
  <c r="W12" i="34"/>
  <c r="U29" i="33"/>
  <c r="AA11" i="34"/>
  <c r="H15" i="33"/>
  <c r="U15" i="33" s="1"/>
  <c r="AA40" i="21"/>
  <c r="U17" i="21"/>
  <c r="S13" i="39"/>
  <c r="AA13" i="39"/>
  <c r="U16" i="40"/>
  <c r="AB34" i="40"/>
  <c r="AB42" i="40"/>
  <c r="U42" i="40"/>
  <c r="AC16" i="40"/>
  <c r="W32" i="40"/>
  <c r="H25" i="40"/>
  <c r="AB25" i="40"/>
  <c r="W15" i="39"/>
  <c r="J37" i="34"/>
  <c r="AC37" i="34" s="1"/>
  <c r="J36" i="33"/>
  <c r="W36" i="33" s="1"/>
  <c r="AB23" i="40"/>
  <c r="U27" i="39"/>
  <c r="H23" i="39"/>
  <c r="AB23" i="39" s="1"/>
  <c r="J23" i="39"/>
  <c r="AC23" i="39" s="1"/>
  <c r="F97" i="39"/>
  <c r="G97" i="39" s="1"/>
  <c r="S16" i="39"/>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AA27" i="34" s="1"/>
  <c r="AC43" i="39"/>
  <c r="W43" i="39"/>
  <c r="AA43" i="39"/>
  <c r="S43" i="39"/>
  <c r="AA19" i="39"/>
  <c r="G96" i="37"/>
  <c r="H96" i="37" s="1"/>
  <c r="I96" i="37" s="1"/>
  <c r="J96" i="37" s="1"/>
  <c r="K96" i="37" s="1"/>
  <c r="L96" i="37" s="1"/>
  <c r="M96" i="37" s="1"/>
  <c r="F32" i="37"/>
  <c r="S32" i="37"/>
  <c r="U11" i="35"/>
  <c r="AB11" i="35"/>
  <c r="S46" i="34"/>
  <c r="U32" i="34"/>
  <c r="U14" i="34"/>
  <c r="AC14" i="34"/>
  <c r="U12" i="34"/>
  <c r="F17" i="34"/>
  <c r="AA17" i="34" s="1"/>
  <c r="J17" i="34"/>
  <c r="AC17" i="34" s="1"/>
  <c r="H11" i="34"/>
  <c r="AB11" i="34" s="1"/>
  <c r="J35" i="33"/>
  <c r="W35" i="33" s="1"/>
  <c r="H11" i="33"/>
  <c r="U11" i="33" s="1"/>
  <c r="H10" i="33"/>
  <c r="U10" i="33" s="1"/>
  <c r="I66" i="33"/>
  <c r="J10" i="33"/>
  <c r="AC10" i="33" s="1"/>
  <c r="U40" i="21"/>
  <c r="U11" i="37"/>
  <c r="U13" i="39"/>
  <c r="AC16" i="35"/>
  <c r="J11" i="34"/>
  <c r="W11" i="34" s="1"/>
  <c r="AC36" i="33"/>
  <c r="F25" i="40"/>
  <c r="AA25" i="40" s="1"/>
  <c r="J11" i="33"/>
  <c r="W11" i="33" s="1"/>
  <c r="H33" i="37"/>
  <c r="AB33" i="37" s="1"/>
  <c r="U20" i="35"/>
  <c r="AB20" i="35"/>
  <c r="W23" i="40"/>
  <c r="D73" i="9"/>
  <c r="N73" i="9" s="1"/>
  <c r="AP11" i="1"/>
  <c r="B11" i="1"/>
  <c r="E11" i="1" s="1"/>
  <c r="K11" i="1"/>
  <c r="M11" i="1" s="1"/>
  <c r="O11" i="1" s="1"/>
  <c r="B9" i="1"/>
  <c r="E9" i="1" s="1"/>
  <c r="K9" i="1"/>
  <c r="M9" i="1" s="1"/>
  <c r="B7" i="1"/>
  <c r="E7" i="1" s="1"/>
  <c r="K7" i="1"/>
  <c r="M7" i="1" s="1"/>
  <c r="C20" i="43"/>
  <c r="F6" i="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A40" i="34"/>
  <c r="S32" i="34"/>
  <c r="AB33" i="34"/>
  <c r="AA12" i="34"/>
  <c r="AA30" i="34"/>
  <c r="AC32" i="34"/>
  <c r="U44" i="34"/>
  <c r="H25" i="34"/>
  <c r="AB25" i="34" s="1"/>
  <c r="J23" i="34"/>
  <c r="W23" i="34" s="1"/>
  <c r="F86" i="34"/>
  <c r="G86" i="34" s="1"/>
  <c r="F23" i="34"/>
  <c r="S23" i="34" s="1"/>
  <c r="H23" i="34"/>
  <c r="U23" i="34" s="1"/>
  <c r="U11" i="34"/>
  <c r="U10" i="34"/>
  <c r="U21" i="34"/>
  <c r="AB41" i="34"/>
  <c r="S13" i="34"/>
  <c r="S9" i="34"/>
  <c r="AC12" i="33"/>
  <c r="U36" i="33"/>
  <c r="S29" i="33"/>
  <c r="W31" i="33"/>
  <c r="U46" i="33"/>
  <c r="W39" i="33"/>
  <c r="AB26" i="33"/>
  <c r="H25" i="33"/>
  <c r="AB25" i="33" s="1"/>
  <c r="J25" i="33"/>
  <c r="W25" i="33" s="1"/>
  <c r="F25" i="33"/>
  <c r="S25" i="33" s="1"/>
  <c r="J23" i="33"/>
  <c r="W23" i="33" s="1"/>
  <c r="F23" i="33"/>
  <c r="AA23" i="33" s="1"/>
  <c r="H23" i="33"/>
  <c r="U23" i="33" s="1"/>
  <c r="F17" i="33"/>
  <c r="AA17" i="33" s="1"/>
  <c r="H17" i="33"/>
  <c r="AB17" i="33" s="1"/>
  <c r="J17" i="33"/>
  <c r="W17" i="33" s="1"/>
  <c r="S14" i="33"/>
  <c r="AC21" i="33"/>
  <c r="W21" i="33"/>
  <c r="W14"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AA29" i="40" s="1"/>
  <c r="H29" i="40"/>
  <c r="J29" i="40"/>
  <c r="AC29" i="40" s="1"/>
  <c r="F98" i="40"/>
  <c r="G98" i="40"/>
  <c r="H98" i="40" s="1"/>
  <c r="I98" i="40"/>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M20" i="15"/>
  <c r="D96" i="9"/>
  <c r="F28" i="15"/>
  <c r="M18" i="15"/>
  <c r="A18" i="64"/>
  <c r="B74" i="63" s="1"/>
  <c r="C53" i="10"/>
  <c r="A25" i="64" s="1"/>
  <c r="A18" i="51"/>
  <c r="B14" i="63" s="1"/>
  <c r="BA16" i="3"/>
  <c r="BA17" i="3"/>
  <c r="AZ17" i="3"/>
  <c r="F3" i="35"/>
  <c r="K1" i="43"/>
  <c r="K1" i="12"/>
  <c r="G1" i="44"/>
  <c r="I4" i="6"/>
  <c r="G3" i="46" s="1"/>
  <c r="AJ11" i="46" s="1"/>
  <c r="AZ15" i="3"/>
  <c r="BK5" i="3"/>
  <c r="BO5" i="3"/>
  <c r="BP5" i="3"/>
  <c r="BN5" i="3"/>
  <c r="BL18" i="3"/>
  <c r="AZ18" i="3"/>
  <c r="BC5" i="3"/>
  <c r="E8" i="6" s="1"/>
  <c r="BD5" i="3"/>
  <c r="BR5" i="3"/>
  <c r="G28" i="6" s="1"/>
  <c r="BS5" i="3"/>
  <c r="BQ5" i="3"/>
  <c r="BL16" i="3"/>
  <c r="BM5" i="3"/>
  <c r="F29" i="6" s="1"/>
  <c r="BA13" i="3"/>
  <c r="G28" i="12"/>
  <c r="G22" i="43"/>
  <c r="G26" i="12"/>
  <c r="D24" i="44"/>
  <c r="D26" i="44"/>
  <c r="G27" i="12"/>
  <c r="G23" i="43"/>
  <c r="G21" i="43"/>
  <c r="E10" i="46"/>
  <c r="N8" i="46"/>
  <c r="N4" i="46"/>
  <c r="N1" i="46"/>
  <c r="F58" i="46" s="1"/>
  <c r="M9" i="46"/>
  <c r="M2" i="46"/>
  <c r="N11" i="46"/>
  <c r="N9" i="46"/>
  <c r="F69" i="46"/>
  <c r="H72"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58" i="46"/>
  <c r="B56" i="46" s="1"/>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AP7" i="1"/>
  <c r="G7" i="1"/>
  <c r="AP9" i="1"/>
  <c r="G9" i="1"/>
  <c r="AP8" i="1"/>
  <c r="G8" i="1"/>
  <c r="I20" i="46"/>
  <c r="L5" i="54"/>
  <c r="B39" i="63"/>
  <c r="K5" i="54"/>
  <c r="B38" i="63"/>
  <c r="T41" i="4"/>
  <c r="A17" i="64"/>
  <c r="B46" i="50"/>
  <c r="B4" i="63"/>
  <c r="C46" i="36"/>
  <c r="D46" i="36"/>
  <c r="E46" i="36" s="1"/>
  <c r="F46" i="36" s="1"/>
  <c r="G46" i="36" s="1"/>
  <c r="C59" i="34"/>
  <c r="D59" i="34"/>
  <c r="E59" i="34" s="1"/>
  <c r="F59" i="34" s="1"/>
  <c r="G59" i="34" s="1"/>
  <c r="H59" i="34" s="1"/>
  <c r="C48" i="35"/>
  <c r="D48" i="35" s="1"/>
  <c r="E48" i="35" s="1"/>
  <c r="C52" i="37"/>
  <c r="D52" i="37" s="1"/>
  <c r="C67" i="40"/>
  <c r="D65" i="40"/>
  <c r="D67" i="40" s="1"/>
  <c r="C72" i="39"/>
  <c r="D70" i="39"/>
  <c r="D72" i="39" s="1"/>
  <c r="O19" i="46"/>
  <c r="H73" i="46"/>
  <c r="H86" i="46"/>
  <c r="H82" i="46"/>
  <c r="H10" i="48"/>
  <c r="H87" i="46"/>
  <c r="H85" i="46"/>
  <c r="H83" i="46"/>
  <c r="K10" i="1"/>
  <c r="M10" i="1" s="1"/>
  <c r="O10" i="1" s="1"/>
  <c r="S11" i="1"/>
  <c r="R11" i="1"/>
  <c r="S13" i="1"/>
  <c r="R13" i="1"/>
  <c r="B6" i="1"/>
  <c r="E6" i="1"/>
  <c r="B10" i="1"/>
  <c r="E10" i="1"/>
  <c r="S10" i="1"/>
  <c r="B8" i="1"/>
  <c r="E8" i="1" s="1"/>
  <c r="B12" i="1"/>
  <c r="E12" i="1" s="1"/>
  <c r="S12" i="1"/>
  <c r="K6" i="1"/>
  <c r="O9" i="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47" i="34"/>
  <c r="AB13" i="34"/>
  <c r="AC13" i="34"/>
  <c r="S47" i="34"/>
  <c r="AA29" i="34"/>
  <c r="S8" i="34"/>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3" i="21"/>
  <c r="AB23" i="21"/>
  <c r="AA23" i="21"/>
  <c r="S23" i="21"/>
  <c r="U15" i="21"/>
  <c r="AB15" i="21"/>
  <c r="W15" i="21"/>
  <c r="AC15" i="21"/>
  <c r="AB39" i="40"/>
  <c r="U39" i="40"/>
  <c r="AC39" i="40"/>
  <c r="W39" i="40"/>
  <c r="AA39" i="40"/>
  <c r="S39" i="40"/>
  <c r="U37" i="40"/>
  <c r="AB37" i="40"/>
  <c r="AA37" i="40"/>
  <c r="S37" i="40"/>
  <c r="U29" i="40"/>
  <c r="AB29" i="40"/>
  <c r="W29" i="40"/>
  <c r="S29" i="40"/>
  <c r="AC19" i="40"/>
  <c r="S19" i="40"/>
  <c r="AB19" i="40"/>
  <c r="U19" i="40"/>
  <c r="AC27" i="40"/>
  <c r="W27" i="40"/>
  <c r="W31" i="39"/>
  <c r="AC31" i="39"/>
  <c r="R22" i="31"/>
  <c r="B21" i="31" s="1"/>
  <c r="A17" i="51"/>
  <c r="B13" i="63" s="1"/>
  <c r="E5" i="6"/>
  <c r="BA5" i="3"/>
  <c r="AZ13" i="3"/>
  <c r="AZ16" i="3"/>
  <c r="E10" i="6"/>
  <c r="A9" i="64"/>
  <c r="A9" i="51"/>
  <c r="B9" i="63" s="1"/>
  <c r="A25" i="51"/>
  <c r="B18" i="63" s="1"/>
  <c r="A3" i="55"/>
  <c r="B56" i="63" s="1"/>
  <c r="E52" i="37"/>
  <c r="F52" i="37" s="1"/>
  <c r="E65" i="40"/>
  <c r="E67" i="40" s="1"/>
  <c r="E4" i="4"/>
  <c r="C4" i="4"/>
  <c r="B20" i="55" s="1"/>
  <c r="B70" i="63" s="1"/>
  <c r="G66" i="36"/>
  <c r="J18" i="36"/>
  <c r="W18" i="36"/>
  <c r="AC18" i="36"/>
  <c r="L20" i="6"/>
  <c r="L19" i="6"/>
  <c r="B21" i="55"/>
  <c r="B72" i="63" s="1"/>
  <c r="F7" i="21"/>
  <c r="S7" i="21" s="1"/>
  <c r="J7" i="21"/>
  <c r="H7" i="21"/>
  <c r="U7" i="21" s="1"/>
  <c r="AC7" i="21"/>
  <c r="V48" i="21" s="1"/>
  <c r="I48" i="21" s="1"/>
  <c r="I52" i="21" s="1"/>
  <c r="J52" i="21" s="1"/>
  <c r="W7" i="21"/>
  <c r="C45" i="9"/>
  <c r="C44" i="9"/>
  <c r="G14" i="66"/>
  <c r="B6" i="66" s="1"/>
  <c r="O40" i="9"/>
  <c r="R7" i="54" s="1"/>
  <c r="B52" i="63" s="1"/>
  <c r="K31" i="9"/>
  <c r="K32" i="9" s="1"/>
  <c r="N69" i="9"/>
  <c r="M84" i="9" s="1"/>
  <c r="N84" i="9" s="1"/>
  <c r="O39" i="9"/>
  <c r="K29" i="9"/>
  <c r="M86" i="9"/>
  <c r="N86" i="9" s="1"/>
  <c r="M88" i="9"/>
  <c r="N88" i="9" s="1"/>
  <c r="M85" i="9"/>
  <c r="N85" i="9" s="1"/>
  <c r="K30" i="9"/>
  <c r="R6" i="54"/>
  <c r="B50" i="63"/>
  <c r="N76" i="9"/>
  <c r="C46" i="9"/>
  <c r="I14" i="66"/>
  <c r="B8" i="66" s="1"/>
  <c r="M24" i="44"/>
  <c r="I6" i="65"/>
  <c r="F12" i="67"/>
  <c r="J15" i="72"/>
  <c r="F18" i="44"/>
  <c r="F6" i="72"/>
  <c r="J36" i="15"/>
  <c r="B14" i="67"/>
  <c r="F36" i="15"/>
  <c r="B12" i="67"/>
  <c r="J7" i="65"/>
  <c r="J36" i="72"/>
  <c r="J15" i="15"/>
  <c r="M21" i="72"/>
  <c r="F10" i="44"/>
  <c r="M25" i="44"/>
  <c r="C19" i="44"/>
  <c r="E12" i="67"/>
  <c r="B9" i="67"/>
  <c r="F42" i="15"/>
  <c r="B13" i="67"/>
  <c r="F9" i="67"/>
  <c r="F8" i="15"/>
  <c r="F37" i="15"/>
  <c r="F40" i="44"/>
  <c r="F9" i="44"/>
  <c r="D21" i="9"/>
  <c r="N4" i="65"/>
  <c r="J6" i="65"/>
  <c r="E10" i="67"/>
  <c r="F8" i="67"/>
  <c r="F37" i="72"/>
  <c r="B10" i="67"/>
  <c r="M26" i="72"/>
  <c r="F16" i="15"/>
  <c r="F7" i="72"/>
  <c r="F7" i="15"/>
  <c r="M24" i="72"/>
  <c r="I3" i="65"/>
  <c r="M8" i="72"/>
  <c r="I5" i="65"/>
  <c r="F40" i="72"/>
  <c r="J4" i="65"/>
  <c r="M9" i="72"/>
  <c r="J17" i="44"/>
  <c r="F8" i="72"/>
  <c r="F28" i="44"/>
  <c r="E9" i="67"/>
  <c r="F38" i="15"/>
  <c r="N3" i="65"/>
  <c r="M26" i="44"/>
  <c r="M21" i="15"/>
  <c r="F45" i="44"/>
  <c r="F38" i="72"/>
  <c r="B8" i="67"/>
  <c r="F43" i="44"/>
  <c r="J3" i="65"/>
  <c r="F15" i="44"/>
  <c r="M9" i="15"/>
  <c r="F13" i="67"/>
  <c r="M8" i="15"/>
  <c r="L48" i="15"/>
  <c r="E11" i="67"/>
  <c r="F42" i="72"/>
  <c r="M6" i="15"/>
  <c r="I7" i="65"/>
  <c r="F11" i="44"/>
  <c r="M24" i="15"/>
  <c r="M26" i="15"/>
  <c r="L48" i="44"/>
  <c r="E13" i="67"/>
  <c r="M22" i="72"/>
  <c r="F13" i="15"/>
  <c r="F36" i="72"/>
  <c r="D20" i="9"/>
  <c r="M10" i="44"/>
  <c r="B11" i="67"/>
  <c r="F8" i="44"/>
  <c r="F43" i="15"/>
  <c r="F26" i="72"/>
  <c r="F39" i="44"/>
  <c r="F13" i="72"/>
  <c r="M28" i="15"/>
  <c r="M29" i="72"/>
  <c r="F35" i="15"/>
  <c r="F16" i="72"/>
  <c r="M11" i="44"/>
  <c r="L48" i="72"/>
  <c r="F10" i="67"/>
  <c r="M27" i="72"/>
  <c r="M29" i="15"/>
  <c r="F43" i="72"/>
  <c r="M28" i="44"/>
  <c r="F35" i="72"/>
  <c r="F6" i="15"/>
  <c r="L47" i="15"/>
  <c r="E8" i="67"/>
  <c r="F38" i="44"/>
  <c r="M23" i="15"/>
  <c r="J5" i="65"/>
  <c r="M31" i="44"/>
  <c r="F26" i="15"/>
  <c r="M8" i="44"/>
  <c r="F9" i="15"/>
  <c r="N7" i="65"/>
  <c r="M22" i="15"/>
  <c r="L49" i="44"/>
  <c r="M23" i="44"/>
  <c r="F11" i="67"/>
  <c r="E14" i="67"/>
  <c r="N5" i="65"/>
  <c r="L47" i="72"/>
  <c r="N6" i="65"/>
  <c r="F9" i="72"/>
  <c r="I4" i="65"/>
  <c r="F40" i="15"/>
  <c r="F41" i="15"/>
  <c r="F37" i="44"/>
  <c r="M30" i="44"/>
  <c r="M23" i="72"/>
  <c r="M29" i="44"/>
  <c r="M6" i="72"/>
  <c r="F46" i="44"/>
  <c r="M28" i="72"/>
  <c r="F14" i="67"/>
  <c r="F41" i="72"/>
  <c r="U34" i="34" l="1"/>
  <c r="F25" i="34"/>
  <c r="AA25" i="34" s="1"/>
  <c r="J25" i="34"/>
  <c r="W25" i="34" s="1"/>
  <c r="F124" i="34"/>
  <c r="G124" i="34" s="1"/>
  <c r="H124" i="34" s="1"/>
  <c r="I124" i="34" s="1"/>
  <c r="J124" i="34" s="1"/>
  <c r="K124" i="34" s="1"/>
  <c r="L124" i="34" s="1"/>
  <c r="M124" i="34" s="1"/>
  <c r="H43" i="34"/>
  <c r="U43" i="34" s="1"/>
  <c r="AC45" i="34"/>
  <c r="W44" i="34"/>
  <c r="AA44" i="34"/>
  <c r="AB36" i="34"/>
  <c r="W43" i="34"/>
  <c r="AB42" i="34"/>
  <c r="AA41" i="34"/>
  <c r="AC40" i="34"/>
  <c r="AB38" i="34"/>
  <c r="AC35" i="34"/>
  <c r="AA33" i="34"/>
  <c r="W33" i="34"/>
  <c r="AB29" i="34"/>
  <c r="W29" i="34"/>
  <c r="AC28" i="34"/>
  <c r="J27" i="34"/>
  <c r="S28" i="34"/>
  <c r="AA28" i="34"/>
  <c r="U30" i="34"/>
  <c r="H28" i="34"/>
  <c r="S27" i="34"/>
  <c r="U27" i="34"/>
  <c r="U25" i="34"/>
  <c r="AA36" i="34"/>
  <c r="AB35" i="34"/>
  <c r="W37" i="34"/>
  <c r="AB37" i="34"/>
  <c r="AC23" i="34"/>
  <c r="AB23" i="34"/>
  <c r="AA23" i="34"/>
  <c r="J21" i="34"/>
  <c r="W19" i="34"/>
  <c r="S19" i="34"/>
  <c r="U19" i="34"/>
  <c r="S17" i="34"/>
  <c r="W17" i="34"/>
  <c r="U17" i="34"/>
  <c r="U15" i="34"/>
  <c r="AA15" i="34"/>
  <c r="W15" i="34"/>
  <c r="S10" i="34"/>
  <c r="W10" i="34"/>
  <c r="W9" i="34"/>
  <c r="U9" i="34"/>
  <c r="W8" i="34"/>
  <c r="AB8" i="34"/>
  <c r="AA44" i="33"/>
  <c r="W44" i="33"/>
  <c r="W43" i="33"/>
  <c r="S43" i="33"/>
  <c r="AB41" i="33"/>
  <c r="U39" i="33"/>
  <c r="S39" i="33"/>
  <c r="AB34" i="33"/>
  <c r="AC37" i="33"/>
  <c r="U37" i="33"/>
  <c r="S37" i="33"/>
  <c r="W42" i="33"/>
  <c r="S32" i="33"/>
  <c r="AB42" i="33"/>
  <c r="U35" i="33"/>
  <c r="S35" i="33"/>
  <c r="AC35" i="33"/>
  <c r="W34" i="33"/>
  <c r="AA34" i="33"/>
  <c r="W33" i="33"/>
  <c r="U32" i="33"/>
  <c r="W32" i="33"/>
  <c r="U30" i="33"/>
  <c r="AC28" i="33"/>
  <c r="W27" i="33"/>
  <c r="AB27" i="33"/>
  <c r="W26" i="33"/>
  <c r="AC25" i="33"/>
  <c r="AA25" i="33"/>
  <c r="AC23" i="33"/>
  <c r="S23" i="33"/>
  <c r="U19" i="33"/>
  <c r="AA19" i="33"/>
  <c r="U17" i="33"/>
  <c r="S17" i="33"/>
  <c r="AB23" i="33"/>
  <c r="AC17" i="33"/>
  <c r="AC15" i="33"/>
  <c r="AB15" i="33"/>
  <c r="S10" i="33"/>
  <c r="AB10" i="33"/>
  <c r="W10" i="33"/>
  <c r="W9" i="33"/>
  <c r="U9" i="33"/>
  <c r="AB13" i="33"/>
  <c r="AA11" i="33"/>
  <c r="AC13" i="33"/>
  <c r="C18" i="9"/>
  <c r="AP6" i="1"/>
  <c r="AE6" i="1"/>
  <c r="I20" i="70"/>
  <c r="AB7" i="21"/>
  <c r="T48" i="21" s="1"/>
  <c r="G48" i="21" s="1"/>
  <c r="E70" i="39"/>
  <c r="F63" i="72"/>
  <c r="F49" i="72"/>
  <c r="M7" i="72"/>
  <c r="F50" i="72"/>
  <c r="C48" i="72" s="1"/>
  <c r="L59" i="72"/>
  <c r="L58" i="72"/>
  <c r="J6" i="72"/>
  <c r="F62" i="72"/>
  <c r="F64" i="72"/>
  <c r="F67" i="72"/>
  <c r="F70" i="72"/>
  <c r="C6" i="72"/>
  <c r="C27" i="72"/>
  <c r="Q72" i="72"/>
  <c r="F65" i="72"/>
  <c r="J53" i="72"/>
  <c r="L56" i="72"/>
  <c r="I54" i="72"/>
  <c r="J57" i="72"/>
  <c r="J55" i="72" s="1"/>
  <c r="J58" i="72" s="1"/>
  <c r="Q51" i="72" s="1"/>
  <c r="M6" i="1"/>
  <c r="F34" i="15"/>
  <c r="F61" i="15" s="1"/>
  <c r="M20" i="72"/>
  <c r="J20" i="72" s="1"/>
  <c r="F34" i="72"/>
  <c r="AG7" i="1"/>
  <c r="AG6" i="1"/>
  <c r="D48" i="46"/>
  <c r="E47" i="46" s="1"/>
  <c r="B45" i="46" s="1"/>
  <c r="C24" i="46" s="1"/>
  <c r="C7" i="46"/>
  <c r="F47" i="46"/>
  <c r="F68" i="72"/>
  <c r="E20" i="70"/>
  <c r="H58" i="46"/>
  <c r="H62" i="46"/>
  <c r="H66" i="46"/>
  <c r="H59" i="46"/>
  <c r="H60" i="46"/>
  <c r="H61" i="46"/>
  <c r="H65" i="46"/>
  <c r="H63" i="46"/>
  <c r="H64" i="46"/>
  <c r="E14" i="52"/>
  <c r="E12" i="6"/>
  <c r="E64" i="39" s="1"/>
  <c r="J22" i="46"/>
  <c r="E11" i="6"/>
  <c r="E58" i="40" s="1"/>
  <c r="L27" i="6"/>
  <c r="E59" i="40"/>
  <c r="F28" i="6"/>
  <c r="E28" i="6" s="1"/>
  <c r="G29" i="6"/>
  <c r="G30" i="6" s="1"/>
  <c r="G31" i="6" s="1"/>
  <c r="E22" i="46"/>
  <c r="AE11" i="46"/>
  <c r="AE13" i="46" s="1"/>
  <c r="G14" i="3"/>
  <c r="E53" i="40"/>
  <c r="F27" i="6"/>
  <c r="E27" i="6" s="1"/>
  <c r="G5" i="3"/>
  <c r="B3" i="3" s="1"/>
  <c r="Q16" i="1"/>
  <c r="F24" i="43" s="1"/>
  <c r="C26" i="43" s="1"/>
  <c r="D24" i="43" s="1"/>
  <c r="H16" i="1"/>
  <c r="D101" i="46"/>
  <c r="D102" i="46" s="1"/>
  <c r="AF11" i="46"/>
  <c r="AF13" i="46" s="1"/>
  <c r="E14" i="6"/>
  <c r="E61" i="40" s="1"/>
  <c r="D12" i="11"/>
  <c r="C12" i="11" s="1"/>
  <c r="O6" i="1"/>
  <c r="P6" i="1" s="1"/>
  <c r="E63" i="39"/>
  <c r="E58" i="39"/>
  <c r="P10" i="1"/>
  <c r="D107" i="46"/>
  <c r="G22" i="46"/>
  <c r="H101" i="46"/>
  <c r="AG11" i="46"/>
  <c r="AG13" i="46" s="1"/>
  <c r="G17" i="46"/>
  <c r="C16" i="46" s="1"/>
  <c r="G6" i="1"/>
  <c r="G16" i="1" s="1"/>
  <c r="H12" i="39" s="1"/>
  <c r="N16" i="4"/>
  <c r="K17" i="4" s="1"/>
  <c r="A22" i="51" s="1"/>
  <c r="B16" i="63" s="1"/>
  <c r="H12" i="40"/>
  <c r="AP16" i="1"/>
  <c r="F22" i="11" s="1"/>
  <c r="C27" i="43"/>
  <c r="C31" i="43"/>
  <c r="C25" i="12"/>
  <c r="C28" i="15"/>
  <c r="C15" i="43"/>
  <c r="AA7" i="21"/>
  <c r="R48" i="21" s="1"/>
  <c r="F65" i="40"/>
  <c r="C30" i="44"/>
  <c r="H46" i="36"/>
  <c r="I46" i="36" s="1"/>
  <c r="J46" i="36" s="1"/>
  <c r="K46" i="36" s="1"/>
  <c r="L46" i="36" s="1"/>
  <c r="M46" i="36" s="1"/>
  <c r="N46" i="36" s="1"/>
  <c r="O46" i="36" s="1"/>
  <c r="I59" i="34"/>
  <c r="J59" i="34" s="1"/>
  <c r="K59" i="34" s="1"/>
  <c r="L59" i="34" s="1"/>
  <c r="M59" i="34" s="1"/>
  <c r="N59" i="34" s="1"/>
  <c r="O59" i="34" s="1"/>
  <c r="G52" i="37"/>
  <c r="H52" i="37" s="1"/>
  <c r="I52" i="37" s="1"/>
  <c r="J52" i="37" s="1"/>
  <c r="K52" i="37" s="1"/>
  <c r="L52" i="37" s="1"/>
  <c r="M52" i="37" s="1"/>
  <c r="N52" i="37" s="1"/>
  <c r="O52" i="37" s="1"/>
  <c r="K33" i="9"/>
  <c r="O41" i="9"/>
  <c r="R8" i="54" s="1"/>
  <c r="B54" i="63" s="1"/>
  <c r="M83" i="9"/>
  <c r="N83" i="9" s="1"/>
  <c r="N89" i="9" s="1"/>
  <c r="O89" i="9" s="1"/>
  <c r="M87" i="9"/>
  <c r="N87" i="9" s="1"/>
  <c r="F48" i="35"/>
  <c r="G48" i="35" s="1"/>
  <c r="H48" i="35" s="1"/>
  <c r="I48" i="35" s="1"/>
  <c r="J48" i="35" s="1"/>
  <c r="K48" i="35" s="1"/>
  <c r="L48" i="35" s="1"/>
  <c r="M48" i="35" s="1"/>
  <c r="N48" i="35" s="1"/>
  <c r="O48" i="35" s="1"/>
  <c r="F30" i="6"/>
  <c r="F31" i="6" s="1"/>
  <c r="E29" i="6"/>
  <c r="E86" i="3"/>
  <c r="E297" i="3"/>
  <c r="E561" i="3"/>
  <c r="M6" i="3"/>
  <c r="E68" i="3"/>
  <c r="E475" i="3"/>
  <c r="E192" i="3"/>
  <c r="E241" i="3"/>
  <c r="E135" i="3"/>
  <c r="E421" i="3"/>
  <c r="E114" i="3"/>
  <c r="E69" i="3"/>
  <c r="E147" i="3"/>
  <c r="E206" i="3"/>
  <c r="E348" i="3"/>
  <c r="E446" i="3"/>
  <c r="E22" i="3"/>
  <c r="E132" i="3"/>
  <c r="E93" i="3"/>
  <c r="E152" i="3"/>
  <c r="E439" i="3"/>
  <c r="E333" i="3"/>
  <c r="E394" i="3"/>
  <c r="E437" i="3"/>
  <c r="E459" i="3"/>
  <c r="E476" i="3"/>
  <c r="E283" i="3"/>
  <c r="E23" i="3"/>
  <c r="E535" i="3"/>
  <c r="AN6" i="3"/>
  <c r="E41" i="3"/>
  <c r="E280" i="3"/>
  <c r="E471" i="3"/>
  <c r="E59" i="3"/>
  <c r="E418" i="3"/>
  <c r="E270" i="3"/>
  <c r="E408"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AO6" i="3"/>
  <c r="E411" i="3"/>
  <c r="E395" i="3"/>
  <c r="E250" i="3"/>
  <c r="E156" i="3"/>
  <c r="E265" i="3"/>
  <c r="E381" i="3"/>
  <c r="E194" i="3"/>
  <c r="E49" i="3"/>
  <c r="AM6" i="3"/>
  <c r="E427" i="3"/>
  <c r="E91" i="3"/>
  <c r="E55" i="3"/>
  <c r="E117" i="3"/>
  <c r="E115" i="3"/>
  <c r="E282" i="3"/>
  <c r="E231" i="3"/>
  <c r="E570" i="3"/>
  <c r="E528" i="3"/>
  <c r="E375" i="3"/>
  <c r="E470" i="3"/>
  <c r="E391" i="3"/>
  <c r="X6" i="3"/>
  <c r="E349"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62" i="3"/>
  <c r="E468" i="3"/>
  <c r="E110" i="3"/>
  <c r="E70" i="3"/>
  <c r="E47" i="3"/>
  <c r="E109" i="3"/>
  <c r="E63" i="3"/>
  <c r="E38" i="3"/>
  <c r="E185" i="3"/>
  <c r="E174" i="3"/>
  <c r="E151" i="3"/>
  <c r="E148" i="3"/>
  <c r="E313" i="3"/>
  <c r="E27" i="3"/>
  <c r="E53" i="3"/>
  <c r="E473" i="3"/>
  <c r="E422" i="3"/>
  <c r="N6" i="3"/>
  <c r="E398" i="3"/>
  <c r="E232" i="3"/>
  <c r="E533" i="3"/>
  <c r="E190" i="3"/>
  <c r="E560" i="3"/>
  <c r="E420" i="3"/>
  <c r="E111" i="3"/>
  <c r="E303" i="3"/>
  <c r="E275" i="3"/>
  <c r="AT6" i="3"/>
  <c r="L6" i="3"/>
  <c r="E467" i="3"/>
  <c r="E429" i="3"/>
  <c r="E67" i="3"/>
  <c r="E116" i="3"/>
  <c r="E214" i="3"/>
  <c r="E372" i="3"/>
  <c r="E393" i="3"/>
  <c r="E417" i="3"/>
  <c r="E88" i="3"/>
  <c r="E145" i="3"/>
  <c r="E480" i="3"/>
  <c r="E279" i="3"/>
  <c r="E220" i="3"/>
  <c r="E347" i="3"/>
  <c r="E517" i="3"/>
  <c r="E400" i="3"/>
  <c r="E448" i="3"/>
  <c r="E105" i="3"/>
  <c r="E74" i="3"/>
  <c r="AG6" i="3"/>
  <c r="E121" i="3"/>
  <c r="E505" i="3"/>
  <c r="E224" i="3"/>
  <c r="E419" i="3"/>
  <c r="E61" i="3"/>
  <c r="E229" i="3"/>
  <c r="E433" i="3"/>
  <c r="E120" i="3"/>
  <c r="E386" i="3"/>
  <c r="E76" i="3"/>
  <c r="E287" i="3"/>
  <c r="E24" i="3"/>
  <c r="E188" i="3"/>
  <c r="E271" i="3"/>
  <c r="E306" i="3"/>
  <c r="E508" i="3"/>
  <c r="E499" i="3"/>
  <c r="E538" i="3"/>
  <c r="E558" i="3"/>
  <c r="E403" i="3"/>
  <c r="E173" i="3"/>
  <c r="E217" i="3"/>
  <c r="E81" i="3"/>
  <c r="E16" i="3"/>
  <c r="E277" i="3"/>
  <c r="E385" i="3"/>
  <c r="E524" i="3"/>
  <c r="E95" i="3"/>
  <c r="E19" i="3"/>
  <c r="E498" i="3"/>
  <c r="E212" i="3"/>
  <c r="E298" i="3"/>
  <c r="E106" i="3"/>
  <c r="E14" i="3"/>
  <c r="E169" i="3"/>
  <c r="E118" i="3"/>
  <c r="E226" i="3"/>
  <c r="E267" i="3"/>
  <c r="E323" i="3"/>
  <c r="E312" i="3"/>
  <c r="E159" i="3"/>
  <c r="E514" i="3"/>
  <c r="E501" i="3"/>
  <c r="E512" i="3"/>
  <c r="E384" i="3"/>
  <c r="E371" i="3"/>
  <c r="E310" i="3"/>
  <c r="E567" i="3"/>
  <c r="E516" i="3"/>
  <c r="E504" i="3"/>
  <c r="E227" i="3"/>
  <c r="E406" i="3"/>
  <c r="E488" i="3"/>
  <c r="E244" i="3"/>
  <c r="E71" i="3"/>
  <c r="E137" i="3"/>
  <c r="E240" i="3"/>
  <c r="E301" i="3"/>
  <c r="E382" i="3"/>
  <c r="E484" i="3"/>
  <c r="E326" i="3"/>
  <c r="E356" i="3"/>
  <c r="E481" i="3"/>
  <c r="E413" i="3"/>
  <c r="E443" i="3"/>
  <c r="E46" i="3"/>
  <c r="E221" i="3"/>
  <c r="E359" i="3"/>
  <c r="E457" i="3"/>
  <c r="E195" i="3"/>
  <c r="E31" i="3"/>
  <c r="E409" i="3"/>
  <c r="E321" i="3"/>
  <c r="E431" i="3"/>
  <c r="E545" i="3"/>
  <c r="E184" i="3"/>
  <c r="E129" i="3"/>
  <c r="E482" i="3"/>
  <c r="E98" i="3"/>
  <c r="E412" i="3"/>
  <c r="E405" i="3"/>
  <c r="E469" i="3"/>
  <c r="W6" i="3"/>
  <c r="E293" i="3"/>
  <c r="E189" i="3"/>
  <c r="E37" i="3"/>
  <c r="E507" i="3"/>
  <c r="E233" i="3"/>
  <c r="E261" i="3"/>
  <c r="E203" i="3"/>
  <c r="E39" i="3"/>
  <c r="E402" i="3"/>
  <c r="E107" i="3"/>
  <c r="E172" i="3"/>
  <c r="E288" i="3"/>
  <c r="E255" i="3"/>
  <c r="E486" i="3"/>
  <c r="E465" i="3"/>
  <c r="E543" i="3"/>
  <c r="E154" i="3"/>
  <c r="E264" i="3"/>
  <c r="E243" i="3"/>
  <c r="E369" i="3"/>
  <c r="E309" i="3"/>
  <c r="V6" i="3"/>
  <c r="E453" i="3"/>
  <c r="E58" i="3"/>
  <c r="AQ6" i="3"/>
  <c r="E197" i="3"/>
  <c r="E162" i="3"/>
  <c r="E285" i="3"/>
  <c r="E235" i="3"/>
  <c r="E123" i="3"/>
  <c r="E302" i="3"/>
  <c r="E66" i="3"/>
  <c r="E529" i="3"/>
  <c r="E191" i="3"/>
  <c r="E300" i="3"/>
  <c r="E555" i="3"/>
  <c r="E379" i="3"/>
  <c r="E355" i="3"/>
  <c r="E530" i="3"/>
  <c r="E180" i="3"/>
  <c r="E493" i="3"/>
  <c r="E551" i="3"/>
  <c r="E108" i="3"/>
  <c r="E246" i="3"/>
  <c r="E436" i="3"/>
  <c r="E177" i="3"/>
  <c r="E260" i="3"/>
  <c r="E307" i="3"/>
  <c r="E432" i="3"/>
  <c r="E90" i="3"/>
  <c r="E153" i="3"/>
  <c r="E210" i="3"/>
  <c r="E339" i="3"/>
  <c r="E35" i="3"/>
  <c r="E361" i="3"/>
  <c r="E182" i="3"/>
  <c r="E315" i="3"/>
  <c r="E378" i="3"/>
  <c r="E163" i="3"/>
  <c r="E364" i="3"/>
  <c r="E351" i="3"/>
  <c r="E342" i="3"/>
  <c r="AL6" i="3"/>
  <c r="E522" i="3"/>
  <c r="E368" i="3"/>
  <c r="E572" i="3"/>
  <c r="E510" i="3"/>
  <c r="E487" i="3"/>
  <c r="E329" i="3"/>
  <c r="AB6" i="3"/>
  <c r="E26" i="3"/>
  <c r="S6" i="3"/>
  <c r="E322" i="3"/>
  <c r="E511" i="3"/>
  <c r="E17" i="3"/>
  <c r="E377" i="3"/>
  <c r="E18" i="3"/>
  <c r="E358" i="3"/>
  <c r="E509" i="3"/>
  <c r="E20" i="3"/>
  <c r="E564" i="3"/>
  <c r="E542" i="3"/>
  <c r="E571" i="3"/>
  <c r="E66" i="39"/>
  <c r="H14" i="66"/>
  <c r="B7" i="66" s="1"/>
  <c r="G52" i="21"/>
  <c r="H52" i="21" s="1"/>
  <c r="G53" i="21"/>
  <c r="H53" i="21" s="1"/>
  <c r="H71" i="46"/>
  <c r="H76" i="46"/>
  <c r="H77" i="46"/>
  <c r="H69" i="46"/>
  <c r="AI11" i="46"/>
  <c r="AI13" i="46" s="1"/>
  <c r="AA11" i="46"/>
  <c r="AA13" i="46" s="1"/>
  <c r="C23" i="46"/>
  <c r="C21" i="46" s="1"/>
  <c r="AH11" i="46"/>
  <c r="AD11" i="46"/>
  <c r="Z11" i="46"/>
  <c r="Z13" i="46" s="1"/>
  <c r="F101" i="46"/>
  <c r="N101" i="46"/>
  <c r="K101" i="46"/>
  <c r="Z7" i="46"/>
  <c r="E101" i="46"/>
  <c r="F22" i="46"/>
  <c r="L101" i="46"/>
  <c r="N104" i="45"/>
  <c r="B113" i="46"/>
  <c r="J101" i="46"/>
  <c r="G101" i="46"/>
  <c r="C101" i="46"/>
  <c r="K14" i="1"/>
  <c r="H109" i="46"/>
  <c r="H106" i="46"/>
  <c r="H105" i="46"/>
  <c r="D103" i="46"/>
  <c r="D109" i="46"/>
  <c r="D104" i="46"/>
  <c r="F7" i="37"/>
  <c r="H7" i="37"/>
  <c r="J7" i="36"/>
  <c r="H7" i="36"/>
  <c r="H7" i="35"/>
  <c r="J7" i="35"/>
  <c r="H7" i="34"/>
  <c r="J7" i="34"/>
  <c r="H70" i="46"/>
  <c r="E13" i="6"/>
  <c r="E15" i="6"/>
  <c r="E506" i="3"/>
  <c r="I101" i="46"/>
  <c r="M101" i="46"/>
  <c r="AC11" i="46"/>
  <c r="AC13" i="46" s="1"/>
  <c r="Y11" i="46"/>
  <c r="Y13" i="46" s="1"/>
  <c r="H74" i="46"/>
  <c r="AB11" i="46"/>
  <c r="H75" i="46"/>
  <c r="E69" i="46"/>
  <c r="B67" i="46" s="1"/>
  <c r="BL5" i="3"/>
  <c r="H22" i="46"/>
  <c r="O7" i="1"/>
  <c r="P7" i="1" s="1"/>
  <c r="P9" i="1"/>
  <c r="P11" i="1"/>
  <c r="AZ500" i="3"/>
  <c r="AZ552" i="3"/>
  <c r="AZ558" i="3"/>
  <c r="E58" i="33"/>
  <c r="AZ465" i="3"/>
  <c r="U25" i="33"/>
  <c r="AC11" i="33"/>
  <c r="AB11" i="33"/>
  <c r="AC11" i="34"/>
  <c r="AA20" i="35"/>
  <c r="AC13" i="40"/>
  <c r="S41" i="40"/>
  <c r="U47" i="39"/>
  <c r="W34" i="40"/>
  <c r="AA29" i="35"/>
  <c r="AB16" i="39"/>
  <c r="U41" i="40"/>
  <c r="S47" i="39"/>
  <c r="W40" i="40"/>
  <c r="H47" i="46"/>
  <c r="AA36" i="37"/>
  <c r="S10" i="35"/>
  <c r="S27" i="37"/>
  <c r="AC41" i="34"/>
  <c r="U28" i="21"/>
  <c r="S45" i="21"/>
  <c r="AA27" i="33"/>
  <c r="W31" i="34"/>
  <c r="AB14" i="21"/>
  <c r="U46" i="21"/>
  <c r="AB13" i="21"/>
  <c r="AB40" i="37"/>
  <c r="W46" i="33"/>
  <c r="W35" i="35"/>
  <c r="S22" i="35"/>
  <c r="AZ392" i="3"/>
  <c r="AZ397" i="3"/>
  <c r="AZ408" i="3"/>
  <c r="AZ413" i="3"/>
  <c r="AZ424" i="3"/>
  <c r="AZ437" i="3"/>
  <c r="AZ451" i="3"/>
  <c r="AZ457" i="3"/>
  <c r="A30" i="51"/>
  <c r="B22" i="63" s="1"/>
  <c r="A30" i="64"/>
  <c r="AZ472" i="3"/>
  <c r="AZ206" i="3"/>
  <c r="AZ210" i="3"/>
  <c r="AZ222" i="3"/>
  <c r="AZ226" i="3"/>
  <c r="AZ238" i="3"/>
  <c r="AZ242" i="3"/>
  <c r="AZ254" i="3"/>
  <c r="AZ258" i="3"/>
  <c r="AZ269" i="3"/>
  <c r="AZ272" i="3"/>
  <c r="AZ285" i="3"/>
  <c r="AZ288" i="3"/>
  <c r="AZ296" i="3"/>
  <c r="AZ125" i="3"/>
  <c r="AZ128" i="3"/>
  <c r="AZ141" i="3"/>
  <c r="AZ144" i="3"/>
  <c r="AZ155" i="3"/>
  <c r="F34" i="35"/>
  <c r="H34" i="35"/>
  <c r="F25" i="37"/>
  <c r="J25" i="37"/>
  <c r="AZ160" i="3"/>
  <c r="AZ176" i="3"/>
  <c r="AZ202" i="3"/>
  <c r="AZ21" i="3"/>
  <c r="AZ28" i="3"/>
  <c r="AZ34" i="3"/>
  <c r="AZ37" i="3"/>
  <c r="AZ44" i="3"/>
  <c r="AZ50" i="3"/>
  <c r="AZ53" i="3"/>
  <c r="AZ60" i="3"/>
  <c r="AZ72" i="3"/>
  <c r="AZ77" i="3"/>
  <c r="I21" i="57"/>
  <c r="D1" i="57" s="1"/>
  <c r="E10" i="57" s="1"/>
  <c r="AZ96" i="3"/>
  <c r="AZ100" i="3"/>
  <c r="AZ103" i="3"/>
  <c r="AZ105" i="3"/>
  <c r="AZ109" i="3"/>
  <c r="D49" i="59"/>
  <c r="T49" i="59"/>
  <c r="D41" i="59"/>
  <c r="T41" i="59"/>
  <c r="D37" i="59"/>
  <c r="T37" i="59"/>
  <c r="O50" i="59"/>
  <c r="Y14" i="59"/>
  <c r="Z14" i="59" s="1"/>
  <c r="F15" i="59"/>
  <c r="F16" i="59" s="1"/>
  <c r="F17" i="59" s="1"/>
  <c r="V17" i="59" s="1"/>
  <c r="X18" i="59"/>
  <c r="B19" i="59"/>
  <c r="B20" i="59" s="1"/>
  <c r="B21" i="59" s="1"/>
  <c r="S21" i="59" s="1"/>
  <c r="AB22" i="59"/>
  <c r="F23" i="59"/>
  <c r="F24" i="59" s="1"/>
  <c r="F25" i="59" s="1"/>
  <c r="V25" i="59" s="1"/>
  <c r="Q51" i="59"/>
  <c r="Q50" i="59"/>
  <c r="B54" i="46"/>
  <c r="C27" i="40"/>
  <c r="S27" i="40"/>
  <c r="S21" i="34"/>
  <c r="Y18" i="59"/>
  <c r="Z18" i="59" s="1"/>
  <c r="C19" i="59"/>
  <c r="AA21" i="59"/>
  <c r="AA22" i="59"/>
  <c r="E23" i="59"/>
  <c r="E24" i="59" s="1"/>
  <c r="E25" i="59" s="1"/>
  <c r="U25" i="59" s="1"/>
  <c r="S13" i="59"/>
  <c r="B12" i="59"/>
  <c r="B11" i="59" s="1"/>
  <c r="U13" i="59"/>
  <c r="E12" i="59"/>
  <c r="E11" i="59" s="1"/>
  <c r="A28" i="64"/>
  <c r="AH10" i="46"/>
  <c r="AH12" i="46"/>
  <c r="AH13" i="46" s="1"/>
  <c r="AD10" i="46"/>
  <c r="AD12" i="46"/>
  <c r="C8" i="59"/>
  <c r="D9" i="59"/>
  <c r="AA7" i="59"/>
  <c r="Y6" i="59"/>
  <c r="Z6" i="59" s="1"/>
  <c r="AB6" i="59"/>
  <c r="AA6" i="59"/>
  <c r="AA18" i="59"/>
  <c r="AB18" i="59"/>
  <c r="Y19" i="59"/>
  <c r="Z19" i="59" s="1"/>
  <c r="AB19" i="59"/>
  <c r="Y20" i="59"/>
  <c r="Z20" i="59" s="1"/>
  <c r="AB20" i="59"/>
  <c r="Y21" i="59"/>
  <c r="Z21" i="59" s="1"/>
  <c r="AB21" i="59"/>
  <c r="X22" i="59"/>
  <c r="Y22" i="59"/>
  <c r="Z22" i="59" s="1"/>
  <c r="X23" i="59"/>
  <c r="AA23" i="59"/>
  <c r="Y9" i="59"/>
  <c r="Z9" i="59" s="1"/>
  <c r="C13" i="59"/>
  <c r="AB9" i="59"/>
  <c r="F13" i="59"/>
  <c r="AB12" i="46"/>
  <c r="AJ12" i="46"/>
  <c r="AJ13" i="46" s="1"/>
  <c r="T9" i="59"/>
  <c r="X8" i="59"/>
  <c r="Y7" i="59"/>
  <c r="Z7" i="59" s="1"/>
  <c r="AB7" i="59"/>
  <c r="X6" i="59"/>
  <c r="V9" i="59"/>
  <c r="K76" i="9"/>
  <c r="K77" i="9" s="1"/>
  <c r="K79" i="9" s="1"/>
  <c r="K81" i="9" s="1"/>
  <c r="AA9" i="59"/>
  <c r="X9" i="59"/>
  <c r="Y8" i="59"/>
  <c r="Z8" i="59" s="1"/>
  <c r="AA8" i="59"/>
  <c r="AB8" i="59"/>
  <c r="X7"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7" i="15"/>
  <c r="F31" i="15"/>
  <c r="M19" i="44"/>
  <c r="F33" i="44"/>
  <c r="F58" i="15"/>
  <c r="C16" i="15"/>
  <c r="D21" i="12"/>
  <c r="C17" i="15"/>
  <c r="E2" i="65"/>
  <c r="M27" i="15"/>
  <c r="C16" i="72"/>
  <c r="E3" i="65"/>
  <c r="C18" i="44"/>
  <c r="C17" i="72"/>
  <c r="C15" i="12"/>
  <c r="S25" i="34" l="1"/>
  <c r="AC25" i="34"/>
  <c r="AB43" i="34"/>
  <c r="W27" i="34"/>
  <c r="AC27" i="34"/>
  <c r="AB28" i="34"/>
  <c r="U28" i="34"/>
  <c r="AC21" i="34"/>
  <c r="W21" i="34"/>
  <c r="D18" i="9"/>
  <c r="M44" i="9" s="1"/>
  <c r="M43" i="9"/>
  <c r="E72" i="39"/>
  <c r="F70" i="39"/>
  <c r="F1" i="72"/>
  <c r="Q53" i="72"/>
  <c r="Q74" i="72"/>
  <c r="Q61" i="72"/>
  <c r="Q62" i="72"/>
  <c r="Q75" i="72"/>
  <c r="F61" i="72"/>
  <c r="C61" i="72" s="1"/>
  <c r="C34" i="72"/>
  <c r="H49" i="46"/>
  <c r="H48" i="46"/>
  <c r="H53" i="46"/>
  <c r="H50" i="46"/>
  <c r="H51" i="46"/>
  <c r="H52" i="46"/>
  <c r="H54" i="46"/>
  <c r="H55" i="46"/>
  <c r="M11" i="72"/>
  <c r="J10" i="72" s="1"/>
  <c r="J5" i="72" s="1"/>
  <c r="F11" i="72"/>
  <c r="P17" i="70"/>
  <c r="N17" i="70"/>
  <c r="G20" i="70" s="1"/>
  <c r="O17" i="70"/>
  <c r="M17" i="70"/>
  <c r="C5" i="46"/>
  <c r="D5" i="46"/>
  <c r="C21" i="12"/>
  <c r="AD13" i="46"/>
  <c r="K26" i="6"/>
  <c r="M26" i="6" s="1"/>
  <c r="I26" i="6" s="1"/>
  <c r="S26" i="6" s="1"/>
  <c r="K22" i="6"/>
  <c r="K25" i="6"/>
  <c r="M25" i="6" s="1"/>
  <c r="I25" i="6" s="1"/>
  <c r="S25" i="6" s="1"/>
  <c r="K20" i="6"/>
  <c r="K24" i="6"/>
  <c r="M24" i="6" s="1"/>
  <c r="I24" i="6" s="1"/>
  <c r="S24" i="6" s="1"/>
  <c r="K23" i="6"/>
  <c r="M23" i="6" s="1"/>
  <c r="I23" i="6" s="1"/>
  <c r="S23" i="6" s="1"/>
  <c r="K21" i="6"/>
  <c r="K19" i="6"/>
  <c r="S6" i="1" s="1"/>
  <c r="H6" i="3"/>
  <c r="AC6" i="3"/>
  <c r="D106" i="46"/>
  <c r="D105" i="46"/>
  <c r="F18" i="11"/>
  <c r="C18" i="11" s="1"/>
  <c r="AB13" i="46"/>
  <c r="H104" i="46"/>
  <c r="H107" i="46"/>
  <c r="H102" i="46"/>
  <c r="H103" i="46"/>
  <c r="D22" i="46"/>
  <c r="F12" i="39"/>
  <c r="S12" i="39" s="1"/>
  <c r="F12" i="40"/>
  <c r="U12" i="39"/>
  <c r="AB12" i="39"/>
  <c r="J12" i="39"/>
  <c r="J12" i="40"/>
  <c r="W12" i="40" s="1"/>
  <c r="AB12" i="40"/>
  <c r="U12" i="40"/>
  <c r="F7" i="35"/>
  <c r="J7" i="37"/>
  <c r="F7" i="34"/>
  <c r="S7" i="34" s="1"/>
  <c r="F7" i="36"/>
  <c r="G65" i="40"/>
  <c r="F67" i="40"/>
  <c r="E48" i="21"/>
  <c r="R49" i="21"/>
  <c r="F12" i="59"/>
  <c r="F11" i="59" s="1"/>
  <c r="V13" i="59"/>
  <c r="D13" i="59"/>
  <c r="T13" i="59"/>
  <c r="C12" i="59"/>
  <c r="C20" i="59"/>
  <c r="D19" i="59"/>
  <c r="AA25" i="37"/>
  <c r="S25" i="37"/>
  <c r="S34" i="35"/>
  <c r="AA34" i="35"/>
  <c r="F58" i="33"/>
  <c r="I102" i="46"/>
  <c r="I109" i="46"/>
  <c r="I107" i="46"/>
  <c r="I105" i="46"/>
  <c r="I104" i="46"/>
  <c r="I103" i="46"/>
  <c r="I106" i="46"/>
  <c r="E67" i="39"/>
  <c r="E62" i="40"/>
  <c r="U7" i="34"/>
  <c r="AB7" i="34"/>
  <c r="T49" i="34" s="1"/>
  <c r="G49" i="34" s="1"/>
  <c r="U7" i="35"/>
  <c r="AB7" i="35"/>
  <c r="T38" i="35" s="1"/>
  <c r="G38" i="35" s="1"/>
  <c r="AC7" i="36"/>
  <c r="V36" i="36" s="1"/>
  <c r="I36" i="36" s="1"/>
  <c r="W7" i="36"/>
  <c r="AA7" i="37"/>
  <c r="R42" i="37" s="1"/>
  <c r="S7" i="37"/>
  <c r="G102" i="46"/>
  <c r="G107" i="46"/>
  <c r="G109" i="46"/>
  <c r="G105" i="46"/>
  <c r="G104"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L102" i="46"/>
  <c r="L105" i="46"/>
  <c r="L104" i="46"/>
  <c r="L106" i="46"/>
  <c r="L107" i="46"/>
  <c r="L109" i="46"/>
  <c r="L103" i="46"/>
  <c r="E104" i="46"/>
  <c r="E106" i="46"/>
  <c r="E105" i="46"/>
  <c r="E109" i="46"/>
  <c r="E103" i="46"/>
  <c r="E107" i="46"/>
  <c r="E102" i="46"/>
  <c r="K107" i="46"/>
  <c r="K109" i="46"/>
  <c r="K104" i="46"/>
  <c r="K103" i="46"/>
  <c r="K105" i="46"/>
  <c r="K102" i="46"/>
  <c r="K106" i="46"/>
  <c r="F106" i="46"/>
  <c r="F103" i="46"/>
  <c r="F109" i="46"/>
  <c r="F105" i="46"/>
  <c r="F102" i="46"/>
  <c r="F107" i="46"/>
  <c r="F104" i="46"/>
  <c r="K15" i="1"/>
  <c r="K16" i="1" s="1"/>
  <c r="E30" i="6"/>
  <c r="E31" i="6" s="1"/>
  <c r="AA7" i="35"/>
  <c r="R38" i="35" s="1"/>
  <c r="S7" i="35"/>
  <c r="W7" i="37"/>
  <c r="AC7" i="37"/>
  <c r="V42" i="37" s="1"/>
  <c r="I42" i="37" s="1"/>
  <c r="AA7" i="36"/>
  <c r="R36" i="36" s="1"/>
  <c r="S7" i="36"/>
  <c r="C7" i="59"/>
  <c r="D8" i="59"/>
  <c r="AZ5" i="3"/>
  <c r="W25" i="37"/>
  <c r="AC25" i="37"/>
  <c r="AB34" i="35"/>
  <c r="U34" i="35"/>
  <c r="M104" i="46"/>
  <c r="M103" i="46"/>
  <c r="M105" i="46"/>
  <c r="M107" i="46"/>
  <c r="M102" i="46"/>
  <c r="M109" i="46"/>
  <c r="M106" i="46"/>
  <c r="E60" i="40"/>
  <c r="E65" i="39"/>
  <c r="W7" i="34"/>
  <c r="AC7" i="34"/>
  <c r="V49" i="34" s="1"/>
  <c r="I49" i="34" s="1"/>
  <c r="W7" i="35"/>
  <c r="AC7" i="35"/>
  <c r="V38" i="35" s="1"/>
  <c r="I38" i="35" s="1"/>
  <c r="AB7" i="36"/>
  <c r="T36" i="36" s="1"/>
  <c r="G36" i="36" s="1"/>
  <c r="U7" i="36"/>
  <c r="AB7" i="37"/>
  <c r="T42" i="37" s="1"/>
  <c r="G42" i="37" s="1"/>
  <c r="U7" i="37"/>
  <c r="E16" i="6"/>
  <c r="M14" i="1"/>
  <c r="C104" i="46"/>
  <c r="C107" i="46"/>
  <c r="C106" i="46"/>
  <c r="C102" i="46"/>
  <c r="C105" i="46"/>
  <c r="C109" i="46"/>
  <c r="C103" i="46"/>
  <c r="J107" i="46"/>
  <c r="J104" i="46"/>
  <c r="J105" i="46"/>
  <c r="J109" i="46"/>
  <c r="J102" i="46"/>
  <c r="J103" i="46"/>
  <c r="J106" i="46"/>
  <c r="N105" i="46"/>
  <c r="N102" i="46"/>
  <c r="N107" i="46"/>
  <c r="N109" i="46"/>
  <c r="N103" i="46"/>
  <c r="N104" i="46"/>
  <c r="N106" i="46"/>
  <c r="E6" i="3"/>
  <c r="K34" i="9"/>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D22" i="71"/>
  <c r="F33" i="12"/>
  <c r="D16" i="71"/>
  <c r="C19" i="11" l="1"/>
  <c r="C20" i="11" s="1"/>
  <c r="C21" i="11" s="1"/>
  <c r="C22" i="11" s="1"/>
  <c r="C23" i="11" s="1"/>
  <c r="B2" i="11" s="1"/>
  <c r="G70" i="39"/>
  <c r="F72" i="39"/>
  <c r="AA7" i="34"/>
  <c r="R49" i="34" s="1"/>
  <c r="E49" i="34" s="1"/>
  <c r="C16" i="71"/>
  <c r="D19" i="71"/>
  <c r="C19" i="71" s="1"/>
  <c r="C22" i="71"/>
  <c r="C20" i="71" s="1"/>
  <c r="G20" i="46"/>
  <c r="C20" i="46" s="1"/>
  <c r="F26" i="71"/>
  <c r="F24" i="72"/>
  <c r="C10" i="72"/>
  <c r="C5" i="72" s="1"/>
  <c r="C52" i="72"/>
  <c r="C47" i="72" s="1"/>
  <c r="J26" i="72"/>
  <c r="J29" i="72" s="1"/>
  <c r="J24" i="72"/>
  <c r="J18" i="72"/>
  <c r="E41" i="70"/>
  <c r="C41" i="70" s="1"/>
  <c r="C20" i="70"/>
  <c r="C34" i="12"/>
  <c r="D33" i="12" s="1"/>
  <c r="K27" i="6"/>
  <c r="M19" i="6"/>
  <c r="I19" i="6" s="1"/>
  <c r="M20" i="6"/>
  <c r="I20" i="6" s="1"/>
  <c r="S20" i="6" s="1"/>
  <c r="S7" i="1"/>
  <c r="M22" i="6"/>
  <c r="I22" i="6" s="1"/>
  <c r="S22" i="6" s="1"/>
  <c r="S9" i="1"/>
  <c r="M21" i="6"/>
  <c r="I21" i="6" s="1"/>
  <c r="S21" i="6" s="1"/>
  <c r="S8" i="1"/>
  <c r="AA12" i="39"/>
  <c r="S5" i="46"/>
  <c r="S3" i="46"/>
  <c r="S4" i="46"/>
  <c r="S2" i="46"/>
  <c r="S7" i="46"/>
  <c r="S6" i="46"/>
  <c r="AA12" i="40"/>
  <c r="S12" i="40"/>
  <c r="AC12" i="40"/>
  <c r="AC12" i="39"/>
  <c r="W12" i="39"/>
  <c r="C49" i="21"/>
  <c r="B3" i="21" s="1"/>
  <c r="B2" i="21" s="1"/>
  <c r="C48" i="21"/>
  <c r="E52" i="21"/>
  <c r="F52" i="21" s="1"/>
  <c r="E53" i="21"/>
  <c r="F53" i="21" s="1"/>
  <c r="I53" i="21"/>
  <c r="J53" i="21" s="1"/>
  <c r="G67" i="40"/>
  <c r="H65" i="40"/>
  <c r="I42" i="35"/>
  <c r="J42" i="35" s="1"/>
  <c r="I53" i="34"/>
  <c r="J53" i="34" s="1"/>
  <c r="O14" i="1"/>
  <c r="O16" i="1" s="1"/>
  <c r="M16" i="1"/>
  <c r="G47" i="37"/>
  <c r="H47" i="37" s="1"/>
  <c r="G46" i="37"/>
  <c r="H46" i="37" s="1"/>
  <c r="G40" i="36"/>
  <c r="H40" i="36" s="1"/>
  <c r="G41" i="36"/>
  <c r="H41" i="36" s="1"/>
  <c r="R50" i="34"/>
  <c r="I46" i="37"/>
  <c r="J46" i="37" s="1"/>
  <c r="R39" i="35"/>
  <c r="E38" i="35"/>
  <c r="C115" i="46"/>
  <c r="D113" i="46" s="1"/>
  <c r="E42" i="37"/>
  <c r="I47" i="37" s="1"/>
  <c r="J47" i="37" s="1"/>
  <c r="R43" i="37"/>
  <c r="I40" i="36"/>
  <c r="J40" i="36" s="1"/>
  <c r="D12" i="59"/>
  <c r="C11" i="59"/>
  <c r="D11" i="59" s="1"/>
  <c r="E3" i="6"/>
  <c r="AY6" i="3"/>
  <c r="D7" i="59"/>
  <c r="C6" i="59"/>
  <c r="E36" i="36"/>
  <c r="R37" i="36"/>
  <c r="G42" i="35"/>
  <c r="H42" i="35" s="1"/>
  <c r="G43" i="35"/>
  <c r="H43" i="35" s="1"/>
  <c r="G53" i="34"/>
  <c r="H53" i="34" s="1"/>
  <c r="G54" i="34"/>
  <c r="H54" i="34" s="1"/>
  <c r="G58" i="33"/>
  <c r="D20" i="59"/>
  <c r="C21" i="59"/>
  <c r="J28" i="44"/>
  <c r="J31" i="44" s="1"/>
  <c r="J26" i="44"/>
  <c r="J20" i="44"/>
  <c r="F21" i="43"/>
  <c r="C23" i="43" s="1"/>
  <c r="D21" i="43" s="1"/>
  <c r="F24" i="15"/>
  <c r="C24" i="15" s="1"/>
  <c r="F26" i="44"/>
  <c r="C26" i="44" s="1"/>
  <c r="F26" i="12"/>
  <c r="C34" i="44"/>
  <c r="C40" i="44"/>
  <c r="C52" i="15"/>
  <c r="C47" i="15" s="1"/>
  <c r="C10" i="15"/>
  <c r="C5" i="15" s="1"/>
  <c r="J26" i="15"/>
  <c r="J29" i="15" s="1"/>
  <c r="J24" i="15"/>
  <c r="J18" i="15"/>
  <c r="L52" i="44"/>
  <c r="G72" i="39" l="1"/>
  <c r="H70" i="39"/>
  <c r="E41" i="46"/>
  <c r="C41" i="46" s="1"/>
  <c r="C27" i="71"/>
  <c r="D26" i="71" s="1"/>
  <c r="C32" i="71" s="1"/>
  <c r="D30" i="71" s="1"/>
  <c r="C59" i="72"/>
  <c r="C65" i="72"/>
  <c r="C24" i="72"/>
  <c r="C38" i="72"/>
  <c r="C32" i="72"/>
  <c r="C39" i="70"/>
  <c r="C20" i="73" s="1"/>
  <c r="C38" i="70"/>
  <c r="T15" i="70"/>
  <c r="V15" i="70" s="1"/>
  <c r="T13" i="70"/>
  <c r="V13" i="70" s="1"/>
  <c r="T9" i="70"/>
  <c r="V9" i="70" s="1"/>
  <c r="T6" i="70"/>
  <c r="V6" i="70" s="1"/>
  <c r="T3" i="70"/>
  <c r="V3" i="70" s="1"/>
  <c r="T4" i="70"/>
  <c r="V4" i="70" s="1"/>
  <c r="C29" i="70"/>
  <c r="C16" i="73" s="1"/>
  <c r="T11" i="70"/>
  <c r="V11" i="70" s="1"/>
  <c r="C37" i="70"/>
  <c r="C18" i="73" s="1"/>
  <c r="C35" i="70"/>
  <c r="C33" i="70"/>
  <c r="T14" i="70"/>
  <c r="V14" i="70" s="1"/>
  <c r="T12" i="70"/>
  <c r="V12" i="70" s="1"/>
  <c r="T8" i="70"/>
  <c r="V8" i="70" s="1"/>
  <c r="T5" i="70"/>
  <c r="V5" i="70" s="1"/>
  <c r="T7" i="70"/>
  <c r="V7" i="70" s="1"/>
  <c r="T2" i="70"/>
  <c r="V2" i="70" s="1"/>
  <c r="T16" i="70"/>
  <c r="V16" i="70" s="1"/>
  <c r="T10" i="70"/>
  <c r="V10" i="70" s="1"/>
  <c r="C36" i="70"/>
  <c r="C34" i="70"/>
  <c r="S16" i="1"/>
  <c r="T13" i="1" s="1"/>
  <c r="T6" i="1"/>
  <c r="M27" i="6"/>
  <c r="H67" i="40"/>
  <c r="I65" i="40"/>
  <c r="C36" i="36"/>
  <c r="C37" i="36"/>
  <c r="B3" i="36" s="1"/>
  <c r="B2" i="36" s="1"/>
  <c r="C5" i="59"/>
  <c r="D6"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11" i="3"/>
  <c r="AY282" i="3"/>
  <c r="AY396" i="3"/>
  <c r="AY465" i="3"/>
  <c r="AY151" i="3"/>
  <c r="AY221" i="3"/>
  <c r="AY323" i="3"/>
  <c r="AY303" i="3"/>
  <c r="AY360" i="3"/>
  <c r="AY245" i="3"/>
  <c r="AY370" i="3"/>
  <c r="AY127" i="3"/>
  <c r="AY531" i="3"/>
  <c r="AY32" i="3"/>
  <c r="AY388" i="3"/>
  <c r="AY431" i="3"/>
  <c r="BN6" i="3"/>
  <c r="AY239" i="3"/>
  <c r="AY407" i="3"/>
  <c r="AY485" i="3"/>
  <c r="AY518" i="3"/>
  <c r="AY552" i="3"/>
  <c r="AY107" i="3"/>
  <c r="AY112" i="3"/>
  <c r="AY244" i="3"/>
  <c r="AY415" i="3"/>
  <c r="BP6" i="3"/>
  <c r="AY247" i="3"/>
  <c r="AY399" i="3"/>
  <c r="AY503" i="3"/>
  <c r="AY553" i="3"/>
  <c r="AY546" i="3"/>
  <c r="AY66" i="3"/>
  <c r="AY242" i="3"/>
  <c r="AY325" i="3"/>
  <c r="AY480" i="3"/>
  <c r="AY78" i="3"/>
  <c r="AY174" i="3"/>
  <c r="AY299" i="3"/>
  <c r="AY90" i="3"/>
  <c r="AY153" i="3"/>
  <c r="AY222" i="3"/>
  <c r="AY385" i="3"/>
  <c r="AY390" i="3"/>
  <c r="AY492" i="3"/>
  <c r="AY540" i="3"/>
  <c r="AY328" i="3"/>
  <c r="AY185" i="3"/>
  <c r="AY484" i="3"/>
  <c r="AY355" i="3"/>
  <c r="AY505" i="3"/>
  <c r="AY63" i="3"/>
  <c r="AY483" i="3"/>
  <c r="AY223" i="3"/>
  <c r="AY506" i="3"/>
  <c r="AY563" i="3"/>
  <c r="AY497" i="3"/>
  <c r="AY68" i="3"/>
  <c r="AY190" i="3"/>
  <c r="AY240" i="3"/>
  <c r="AY440" i="3"/>
  <c r="AY60" i="3"/>
  <c r="AY133"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11" i="3"/>
  <c r="AY229" i="3"/>
  <c r="AY319" i="3"/>
  <c r="AY321" i="3"/>
  <c r="AY562" i="3"/>
  <c r="AY14" i="3"/>
  <c r="BQ6" i="3"/>
  <c r="AY437" i="3"/>
  <c r="AY430" i="3"/>
  <c r="BT6" i="3"/>
  <c r="AY406" i="3"/>
  <c r="AY378" i="3"/>
  <c r="AY544" i="3"/>
  <c r="AY314" i="3"/>
  <c r="BH6" i="3"/>
  <c r="AY193" i="3"/>
  <c r="AY493" i="3"/>
  <c r="AY320" i="3"/>
  <c r="AY86" i="3"/>
  <c r="AY27" i="3"/>
  <c r="AY24" i="3"/>
  <c r="AY268" i="3"/>
  <c r="AY498" i="3"/>
  <c r="AY137" i="3"/>
  <c r="AY456" i="3"/>
  <c r="AY500" i="3"/>
  <c r="AY565" i="3"/>
  <c r="AY140" i="3"/>
  <c r="AY458" i="3"/>
  <c r="AY527" i="3"/>
  <c r="AY152" i="3"/>
  <c r="AY461" i="3"/>
  <c r="AY489" i="3"/>
  <c r="AY519" i="3"/>
  <c r="AY20" i="3"/>
  <c r="AY199" i="3"/>
  <c r="AY208" i="3"/>
  <c r="AY417" i="3"/>
  <c r="AY186" i="3"/>
  <c r="AY287" i="3"/>
  <c r="BF6" i="3"/>
  <c r="AY163" i="3"/>
  <c r="AY351" i="3"/>
  <c r="AY447" i="3"/>
  <c r="AY358" i="3"/>
  <c r="AY375" i="3"/>
  <c r="AY15" i="3"/>
  <c r="AY344" i="3"/>
  <c r="AY559" i="3"/>
  <c r="AY220" i="3"/>
  <c r="AY17" i="3"/>
  <c r="BR6" i="3"/>
  <c r="AY71" i="3"/>
  <c r="AY108" i="3"/>
  <c r="AY285" i="3"/>
  <c r="AY357" i="3"/>
  <c r="AY404" i="3"/>
  <c r="AY235" i="3"/>
  <c r="AY454" i="3"/>
  <c r="AY263" i="3"/>
  <c r="AY499" i="3"/>
  <c r="AY524" i="3"/>
  <c r="AY391" i="3"/>
  <c r="AY231" i="3"/>
  <c r="AY507" i="3"/>
  <c r="AY300" i="3"/>
  <c r="AY554" i="3"/>
  <c r="AY423" i="3"/>
  <c r="AY539" i="3"/>
  <c r="AY228" i="3"/>
  <c r="AY532" i="3"/>
  <c r="AY18" i="3"/>
  <c r="AY564" i="3"/>
  <c r="I27" i="6"/>
  <c r="S19" i="6"/>
  <c r="C42" i="37"/>
  <c r="C43" i="37"/>
  <c r="B3" i="37" s="1"/>
  <c r="B2" i="37" s="1"/>
  <c r="E43" i="35"/>
  <c r="F43" i="35" s="1"/>
  <c r="E42" i="35"/>
  <c r="F42" i="35" s="1"/>
  <c r="E54" i="34"/>
  <c r="F54" i="34" s="1"/>
  <c r="E53" i="34"/>
  <c r="F53" i="34" s="1"/>
  <c r="L16" i="1"/>
  <c r="N16" i="1"/>
  <c r="C29" i="43" s="1"/>
  <c r="C13" i="43"/>
  <c r="I54" i="34"/>
  <c r="J54" i="34" s="1"/>
  <c r="I43" i="35"/>
  <c r="J43" i="35" s="1"/>
  <c r="D21" i="59"/>
  <c r="T21" i="59"/>
  <c r="H58" i="33"/>
  <c r="E41" i="36"/>
  <c r="F41" i="36" s="1"/>
  <c r="E40" i="36"/>
  <c r="F40" i="36" s="1"/>
  <c r="D16" i="43"/>
  <c r="C16" i="43" s="1"/>
  <c r="C21" i="4"/>
  <c r="O5" i="54" s="1"/>
  <c r="B45" i="63" s="1"/>
  <c r="D10" i="11"/>
  <c r="S27" i="6"/>
  <c r="D44" i="9"/>
  <c r="E6" i="6"/>
  <c r="L38" i="9"/>
  <c r="B14" i="66" s="1"/>
  <c r="B1" i="66" s="1"/>
  <c r="D45" i="9"/>
  <c r="D46" i="9"/>
  <c r="I41" i="36"/>
  <c r="J41" i="36" s="1"/>
  <c r="E46" i="37"/>
  <c r="F46" i="37" s="1"/>
  <c r="E47" i="37"/>
  <c r="F47" i="37" s="1"/>
  <c r="C38" i="35"/>
  <c r="C39" i="35"/>
  <c r="B3" i="35" s="1"/>
  <c r="B2" i="35" s="1"/>
  <c r="C50" i="34"/>
  <c r="B3" i="34" s="1"/>
  <c r="B2" i="34" s="1"/>
  <c r="C10" i="71" s="1"/>
  <c r="C49" i="34"/>
  <c r="P14" i="1"/>
  <c r="P16" i="1" s="1"/>
  <c r="Q69" i="44"/>
  <c r="L58" i="44"/>
  <c r="L61" i="44" s="1"/>
  <c r="C32" i="15"/>
  <c r="C38" i="15"/>
  <c r="B5" i="11"/>
  <c r="B3" i="11"/>
  <c r="B4" i="11"/>
  <c r="C59" i="15"/>
  <c r="C65" i="15"/>
  <c r="C27" i="12"/>
  <c r="D26" i="12" s="1"/>
  <c r="C32" i="12" s="1"/>
  <c r="D30" i="12" s="1"/>
  <c r="Q49" i="44"/>
  <c r="Q55" i="44" s="1"/>
  <c r="Q67" i="44"/>
  <c r="Q58" i="44"/>
  <c r="D16" i="12"/>
  <c r="C14" i="15"/>
  <c r="C13" i="12"/>
  <c r="C13" i="71"/>
  <c r="H72" i="39" l="1"/>
  <c r="I70" i="39"/>
  <c r="C14" i="71"/>
  <c r="C17" i="71"/>
  <c r="T8" i="1"/>
  <c r="T10" i="1"/>
  <c r="T7" i="1"/>
  <c r="E36" i="70"/>
  <c r="G36" i="70"/>
  <c r="I36" i="70" s="1"/>
  <c r="G35" i="70"/>
  <c r="I35" i="70" s="1"/>
  <c r="E35" i="70"/>
  <c r="E38" i="70"/>
  <c r="G38" i="70"/>
  <c r="I38" i="70" s="1"/>
  <c r="G34" i="70"/>
  <c r="I34" i="70" s="1"/>
  <c r="E34" i="70"/>
  <c r="G33" i="70"/>
  <c r="I33" i="70" s="1"/>
  <c r="E33" i="70"/>
  <c r="E37" i="70"/>
  <c r="G37" i="70"/>
  <c r="I37" i="70" s="1"/>
  <c r="E29" i="70"/>
  <c r="C30" i="70"/>
  <c r="E30" i="70" s="1"/>
  <c r="E39" i="70"/>
  <c r="G39" i="70"/>
  <c r="I39" i="70" s="1"/>
  <c r="T9" i="1"/>
  <c r="T11" i="1"/>
  <c r="T12" i="1"/>
  <c r="C15" i="15"/>
  <c r="C18" i="15"/>
  <c r="I67" i="40"/>
  <c r="J65" i="40"/>
  <c r="C8" i="66"/>
  <c r="C6" i="66"/>
  <c r="C7" i="66"/>
  <c r="D19" i="12"/>
  <c r="C19" i="12" s="1"/>
  <c r="C16" i="12"/>
  <c r="D5" i="59"/>
  <c r="M20" i="46"/>
  <c r="C19" i="46" s="1"/>
  <c r="C14" i="12"/>
  <c r="C17" i="12"/>
  <c r="D13" i="11"/>
  <c r="C13" i="11" s="1"/>
  <c r="I58" i="33"/>
  <c r="C14" i="43"/>
  <c r="C17" i="43"/>
  <c r="E63" i="40"/>
  <c r="C22" i="4"/>
  <c r="D19" i="6"/>
  <c r="D21" i="6"/>
  <c r="D25" i="6"/>
  <c r="D10" i="6"/>
  <c r="D13" i="6"/>
  <c r="H21" i="6"/>
  <c r="H24" i="6"/>
  <c r="D6" i="6"/>
  <c r="D23" i="6"/>
  <c r="D14" i="6"/>
  <c r="D28" i="6"/>
  <c r="D20" i="6"/>
  <c r="D8" i="6"/>
  <c r="H23" i="6"/>
  <c r="F44" i="9"/>
  <c r="D24" i="6"/>
  <c r="H25" i="6"/>
  <c r="H22" i="6"/>
  <c r="E46" i="9"/>
  <c r="E68" i="39"/>
  <c r="K38" i="9"/>
  <c r="C14" i="66" s="1"/>
  <c r="B2" i="66" s="1"/>
  <c r="D26" i="6"/>
  <c r="D11" i="6"/>
  <c r="H20" i="6"/>
  <c r="D9" i="6"/>
  <c r="D29" i="6"/>
  <c r="H26" i="6"/>
  <c r="E44" i="9"/>
  <c r="H19" i="6"/>
  <c r="D22" i="6"/>
  <c r="R22" i="6" s="1"/>
  <c r="R9" i="1" s="1"/>
  <c r="D12" i="6"/>
  <c r="D5" i="6"/>
  <c r="D15" i="6"/>
  <c r="F46" i="9"/>
  <c r="F45" i="9"/>
  <c r="E45" i="9"/>
  <c r="Q68" i="44"/>
  <c r="Q77" i="44" s="1"/>
  <c r="Q59" i="44"/>
  <c r="Q64" i="44" s="1"/>
  <c r="C14" i="72"/>
  <c r="D22" i="12"/>
  <c r="C16" i="44"/>
  <c r="I72" i="39" l="1"/>
  <c r="J70" i="39"/>
  <c r="C18" i="71"/>
  <c r="C23" i="71" s="1"/>
  <c r="C18" i="72"/>
  <c r="C15" i="72"/>
  <c r="C20" i="44"/>
  <c r="C17" i="44"/>
  <c r="C27" i="70"/>
  <c r="C26" i="70"/>
  <c r="B2" i="70" s="1"/>
  <c r="C22" i="12"/>
  <c r="C20" i="12" s="1"/>
  <c r="H27" i="6"/>
  <c r="T16" i="1"/>
  <c r="C19" i="15"/>
  <c r="C20" i="15" s="1"/>
  <c r="C26" i="15" s="1"/>
  <c r="D30" i="6"/>
  <c r="D16" i="6"/>
  <c r="R23" i="6"/>
  <c r="R26" i="6"/>
  <c r="R24" i="6"/>
  <c r="R25" i="6"/>
  <c r="C18" i="43"/>
  <c r="C19" i="43" s="1"/>
  <c r="C25" i="43" s="1"/>
  <c r="C24" i="43" s="1"/>
  <c r="K65" i="40"/>
  <c r="J67" i="40"/>
  <c r="D8" i="66"/>
  <c r="D6" i="66"/>
  <c r="D7" i="66"/>
  <c r="R20" i="6"/>
  <c r="R7" i="1" s="1"/>
  <c r="R21" i="6"/>
  <c r="R8" i="1" s="1"/>
  <c r="A6" i="51"/>
  <c r="B7" i="63" s="1"/>
  <c r="A20" i="64"/>
  <c r="A20" i="51"/>
  <c r="B15" i="63" s="1"/>
  <c r="N5" i="54"/>
  <c r="B43" i="63" s="1"/>
  <c r="A6" i="64"/>
  <c r="J58" i="33"/>
  <c r="R19" i="6"/>
  <c r="D27" i="6"/>
  <c r="D31" i="6" s="1"/>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C14" i="73" s="1"/>
  <c r="C18" i="12"/>
  <c r="C21" i="44" l="1"/>
  <c r="C22" i="44" s="1"/>
  <c r="J72" i="39"/>
  <c r="K70" i="39"/>
  <c r="C19" i="72"/>
  <c r="C20" i="72" s="1"/>
  <c r="C26" i="72" s="1"/>
  <c r="B4" i="70"/>
  <c r="D4" i="70"/>
  <c r="B3" i="70"/>
  <c r="C23" i="15"/>
  <c r="C29" i="15" s="1"/>
  <c r="C36" i="15" s="1"/>
  <c r="R27" i="6"/>
  <c r="R6" i="1"/>
  <c r="L65" i="40"/>
  <c r="K67" i="40"/>
  <c r="C30" i="46"/>
  <c r="E30" i="46" s="1"/>
  <c r="E29" i="46"/>
  <c r="G35" i="46"/>
  <c r="I35" i="46" s="1"/>
  <c r="E35" i="46"/>
  <c r="E34" i="46"/>
  <c r="G34" i="46"/>
  <c r="I34" i="46" s="1"/>
  <c r="G39" i="46"/>
  <c r="I39" i="46" s="1"/>
  <c r="E39" i="46"/>
  <c r="C23" i="12"/>
  <c r="E36" i="46"/>
  <c r="G36" i="46"/>
  <c r="I36" i="46" s="1"/>
  <c r="G33" i="46"/>
  <c r="I33" i="46" s="1"/>
  <c r="E33" i="46"/>
  <c r="E38" i="46"/>
  <c r="G38" i="46"/>
  <c r="I38" i="46" s="1"/>
  <c r="G37" i="46"/>
  <c r="I37" i="46" s="1"/>
  <c r="E37" i="46"/>
  <c r="C22" i="43"/>
  <c r="C21" i="43" s="1"/>
  <c r="C28" i="43" s="1"/>
  <c r="C30" i="43" s="1"/>
  <c r="C32" i="43" s="1"/>
  <c r="B2" i="43" s="1"/>
  <c r="I6" i="6"/>
  <c r="I5" i="6"/>
  <c r="K58" i="33"/>
  <c r="F7" i="67"/>
  <c r="C25" i="44" l="1"/>
  <c r="C28" i="44"/>
  <c r="K72" i="39"/>
  <c r="L70" i="39"/>
  <c r="C23" i="72"/>
  <c r="C29" i="72" s="1"/>
  <c r="R16" i="1"/>
  <c r="J14" i="15"/>
  <c r="J13" i="15" s="1"/>
  <c r="J23" i="15" s="1"/>
  <c r="C33" i="15"/>
  <c r="C31" i="15" s="1"/>
  <c r="C56" i="15"/>
  <c r="C63" i="15" s="1"/>
  <c r="C13" i="15"/>
  <c r="C37" i="15" s="1"/>
  <c r="J59" i="15"/>
  <c r="J60" i="15" s="1"/>
  <c r="Q49" i="15" s="1"/>
  <c r="Q50" i="15"/>
  <c r="J19" i="15"/>
  <c r="J17" i="15" s="1"/>
  <c r="M65" i="40"/>
  <c r="L67" i="40"/>
  <c r="E4" i="67"/>
  <c r="B5" i="43"/>
  <c r="B3" i="43"/>
  <c r="B4" i="43"/>
  <c r="C27" i="46"/>
  <c r="L58" i="33"/>
  <c r="C26" i="46"/>
  <c r="E7" i="67"/>
  <c r="J22" i="15" l="1"/>
  <c r="J16" i="15" s="1"/>
  <c r="J25" i="15" s="1"/>
  <c r="C31" i="44"/>
  <c r="J16" i="44" s="1"/>
  <c r="J35" i="15"/>
  <c r="M70" i="39"/>
  <c r="L72" i="39"/>
  <c r="C56" i="72"/>
  <c r="C36" i="72"/>
  <c r="J19" i="72"/>
  <c r="J17" i="72" s="1"/>
  <c r="J59" i="72"/>
  <c r="J60" i="72" s="1"/>
  <c r="C13" i="72"/>
  <c r="Q50" i="72"/>
  <c r="C33" i="72"/>
  <c r="C31" i="72" s="1"/>
  <c r="J14" i="72"/>
  <c r="C30" i="15"/>
  <c r="C39" i="15" s="1"/>
  <c r="Q70" i="15" s="1"/>
  <c r="C55" i="15"/>
  <c r="C64" i="15" s="1"/>
  <c r="Q71" i="15"/>
  <c r="C60" i="15"/>
  <c r="C58" i="15" s="1"/>
  <c r="M67" i="40"/>
  <c r="N65" i="40"/>
  <c r="N67" i="40" s="1"/>
  <c r="J9" i="40" s="1"/>
  <c r="E3" i="67"/>
  <c r="M58" i="33"/>
  <c r="B2" i="46"/>
  <c r="C19" i="74"/>
  <c r="C19" i="9"/>
  <c r="C19" i="75"/>
  <c r="B7" i="67"/>
  <c r="J21" i="44" l="1"/>
  <c r="J19" i="44" s="1"/>
  <c r="L43" i="75"/>
  <c r="L43" i="74"/>
  <c r="L43" i="9"/>
  <c r="J24" i="44"/>
  <c r="J15" i="44"/>
  <c r="J25" i="44" s="1"/>
  <c r="C38" i="44"/>
  <c r="C35" i="44"/>
  <c r="C33" i="44" s="1"/>
  <c r="Q51" i="44"/>
  <c r="C15" i="44"/>
  <c r="F9" i="40"/>
  <c r="S9" i="40" s="1"/>
  <c r="M72" i="39"/>
  <c r="N70" i="39"/>
  <c r="N72" i="39" s="1"/>
  <c r="C37" i="72"/>
  <c r="C30" i="72" s="1"/>
  <c r="C39" i="72" s="1"/>
  <c r="C55" i="72"/>
  <c r="C64" i="72" s="1"/>
  <c r="Q71" i="72"/>
  <c r="J35" i="72"/>
  <c r="J13" i="72"/>
  <c r="J23" i="72" s="1"/>
  <c r="J22" i="72"/>
  <c r="Q49" i="72"/>
  <c r="C60" i="72"/>
  <c r="C58" i="72" s="1"/>
  <c r="C63" i="72"/>
  <c r="C40" i="15"/>
  <c r="C43" i="15" s="1"/>
  <c r="J39" i="15"/>
  <c r="J40" i="15" s="1"/>
  <c r="C57" i="15"/>
  <c r="C66" i="15" s="1"/>
  <c r="C67" i="15" s="1"/>
  <c r="C70" i="15" s="1"/>
  <c r="Q69" i="15"/>
  <c r="W9" i="40"/>
  <c r="AC9" i="40"/>
  <c r="V44" i="40" s="1"/>
  <c r="I44" i="40" s="1"/>
  <c r="H9" i="40"/>
  <c r="B2" i="67"/>
  <c r="B4" i="46"/>
  <c r="D4" i="46"/>
  <c r="B3" i="46"/>
  <c r="N58" i="33"/>
  <c r="O58" i="33" s="1"/>
  <c r="F7" i="33"/>
  <c r="L51" i="15"/>
  <c r="L51" i="72"/>
  <c r="C21" i="75"/>
  <c r="C21" i="9"/>
  <c r="C20" i="74"/>
  <c r="C20" i="9"/>
  <c r="C21" i="74"/>
  <c r="C20" i="75"/>
  <c r="G20" i="9" l="1"/>
  <c r="G21" i="9"/>
  <c r="J16" i="72"/>
  <c r="J25" i="72" s="1"/>
  <c r="J18" i="44"/>
  <c r="J27" i="44" s="1"/>
  <c r="C39" i="44"/>
  <c r="C32" i="44" s="1"/>
  <c r="C42" i="44" s="1"/>
  <c r="Q72" i="44"/>
  <c r="C43" i="44"/>
  <c r="AA9" i="40"/>
  <c r="R44" i="40" s="1"/>
  <c r="E44" i="40" s="1"/>
  <c r="F9" i="39"/>
  <c r="J9" i="39"/>
  <c r="H9" i="39"/>
  <c r="C57" i="72"/>
  <c r="C66" i="72" s="1"/>
  <c r="C67" i="72" s="1"/>
  <c r="C70" i="72" s="1"/>
  <c r="J39" i="72"/>
  <c r="J40" i="72" s="1"/>
  <c r="L57" i="72"/>
  <c r="L60" i="72" s="1"/>
  <c r="L46" i="72" s="1"/>
  <c r="Q68" i="72"/>
  <c r="C40" i="72"/>
  <c r="Q70" i="72"/>
  <c r="Q69" i="72" s="1"/>
  <c r="J42" i="15"/>
  <c r="J43" i="15" s="1"/>
  <c r="Q48" i="15"/>
  <c r="Q54" i="15" s="1"/>
  <c r="Q68" i="15"/>
  <c r="L57" i="15"/>
  <c r="L60" i="15" s="1"/>
  <c r="Q66" i="15"/>
  <c r="Q57" i="15"/>
  <c r="C46" i="15"/>
  <c r="I48" i="40"/>
  <c r="J48" i="40" s="1"/>
  <c r="U9" i="40"/>
  <c r="AB9" i="40"/>
  <c r="T44" i="40" s="1"/>
  <c r="G44" i="40" s="1"/>
  <c r="R45" i="40"/>
  <c r="S7" i="33"/>
  <c r="AA7" i="33"/>
  <c r="R48" i="33" s="1"/>
  <c r="H7" i="33"/>
  <c r="J7" i="33"/>
  <c r="B4" i="67"/>
  <c r="B3" i="67"/>
  <c r="Q71" i="44" l="1"/>
  <c r="Q70" i="44" s="1"/>
  <c r="C44" i="44"/>
  <c r="C45" i="44" s="1"/>
  <c r="B2" i="44" s="1"/>
  <c r="U9" i="39"/>
  <c r="AB9" i="39"/>
  <c r="T49" i="39" s="1"/>
  <c r="G49" i="39" s="1"/>
  <c r="AA9" i="39"/>
  <c r="R49" i="39" s="1"/>
  <c r="S9" i="39"/>
  <c r="AC9" i="39"/>
  <c r="V49" i="39" s="1"/>
  <c r="I49" i="39" s="1"/>
  <c r="I53" i="39" s="1"/>
  <c r="J53" i="39" s="1"/>
  <c r="W9" i="39"/>
  <c r="Q57" i="72"/>
  <c r="C43" i="72"/>
  <c r="J42" i="72"/>
  <c r="J43" i="72" s="1"/>
  <c r="Q66" i="72"/>
  <c r="Q48" i="72"/>
  <c r="Q54" i="72" s="1"/>
  <c r="B2" i="72"/>
  <c r="C46" i="72"/>
  <c r="Q58" i="72"/>
  <c r="Q67" i="72"/>
  <c r="Q67" i="15"/>
  <c r="Q76" i="15" s="1"/>
  <c r="L46" i="15"/>
  <c r="B2" i="15" s="1"/>
  <c r="Q58" i="15"/>
  <c r="Q63" i="15" s="1"/>
  <c r="E48" i="40"/>
  <c r="F48" i="40" s="1"/>
  <c r="E49" i="40"/>
  <c r="F49" i="40" s="1"/>
  <c r="G48" i="40"/>
  <c r="H48" i="40" s="1"/>
  <c r="G49" i="40"/>
  <c r="H49" i="40" s="1"/>
  <c r="I49" i="40"/>
  <c r="J49" i="40" s="1"/>
  <c r="C44" i="40"/>
  <c r="C45" i="40"/>
  <c r="U7" i="33"/>
  <c r="AB7" i="33"/>
  <c r="T48" i="33" s="1"/>
  <c r="G48" i="33" s="1"/>
  <c r="W7" i="33"/>
  <c r="AC7" i="33"/>
  <c r="V48" i="33" s="1"/>
  <c r="I48" i="33" s="1"/>
  <c r="E48" i="33"/>
  <c r="D19" i="9"/>
  <c r="R49" i="33" l="1"/>
  <c r="C48" i="33" s="1"/>
  <c r="B3" i="72"/>
  <c r="C8" i="71"/>
  <c r="L44" i="9"/>
  <c r="D22" i="9"/>
  <c r="G19" i="9"/>
  <c r="B3" i="15"/>
  <c r="B3" i="44"/>
  <c r="B4" i="44"/>
  <c r="B5" i="44"/>
  <c r="E49" i="39"/>
  <c r="R50" i="39"/>
  <c r="G54" i="39"/>
  <c r="H54" i="39" s="1"/>
  <c r="G53" i="39"/>
  <c r="H53" i="39" s="1"/>
  <c r="Q63" i="72"/>
  <c r="Q76" i="72"/>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2" i="33"/>
  <c r="F52" i="33" s="1"/>
  <c r="E53" i="33"/>
  <c r="F53" i="33" s="1"/>
  <c r="I52" i="33"/>
  <c r="J52" i="33" s="1"/>
  <c r="I53" i="33"/>
  <c r="J53" i="33" s="1"/>
  <c r="G52" i="33"/>
  <c r="H52" i="33" s="1"/>
  <c r="G53" i="33"/>
  <c r="H53" i="33" s="1"/>
  <c r="C49" i="33" l="1"/>
  <c r="B3" i="33" s="1"/>
  <c r="B2" i="33" s="1"/>
  <c r="C10" i="12" s="1"/>
  <c r="C6" i="12" s="1"/>
  <c r="C29" i="12" s="1"/>
  <c r="C6" i="71"/>
  <c r="C24" i="71" s="1"/>
  <c r="N43" i="9"/>
  <c r="C32" i="9"/>
  <c r="G22" i="9"/>
  <c r="I54" i="39"/>
  <c r="J54" i="39" s="1"/>
  <c r="E53" i="39"/>
  <c r="F53" i="39" s="1"/>
  <c r="E54" i="39"/>
  <c r="F54" i="39" s="1"/>
  <c r="C50" i="39"/>
  <c r="C49" i="39"/>
  <c r="B3" i="40"/>
  <c r="B4" i="40"/>
  <c r="B5" i="40"/>
  <c r="C8" i="12" l="1"/>
  <c r="C29" i="71"/>
  <c r="C28" i="71"/>
  <c r="C26" i="71" s="1"/>
  <c r="C35" i="71"/>
  <c r="C33" i="71" s="1"/>
  <c r="C24" i="12"/>
  <c r="C35" i="12" s="1"/>
  <c r="C33" i="12" s="1"/>
  <c r="O38" i="9"/>
  <c r="C42" i="9"/>
  <c r="C34" i="9"/>
  <c r="C33" i="9"/>
  <c r="O43" i="9"/>
  <c r="C35" i="9"/>
  <c r="F42" i="9" s="1"/>
  <c r="B65" i="39"/>
  <c r="F65" i="39" s="1"/>
  <c r="B60" i="39"/>
  <c r="F60" i="39" s="1"/>
  <c r="B63" i="39"/>
  <c r="F63" i="39" s="1"/>
  <c r="B62" i="39"/>
  <c r="F62" i="39" s="1"/>
  <c r="B64" i="39"/>
  <c r="F64" i="39" s="1"/>
  <c r="F68" i="39"/>
  <c r="B2" i="39" s="1"/>
  <c r="B66" i="39"/>
  <c r="F66" i="39" s="1"/>
  <c r="B58" i="39"/>
  <c r="F58" i="39" s="1"/>
  <c r="B61" i="39"/>
  <c r="F61" i="39" s="1"/>
  <c r="B59" i="39"/>
  <c r="F59" i="39" s="1"/>
  <c r="B67" i="39"/>
  <c r="F67" i="39" s="1"/>
  <c r="C31" i="71" l="1"/>
  <c r="C30" i="71" s="1"/>
  <c r="C36" i="71" s="1"/>
  <c r="B2" i="71" s="1"/>
  <c r="C28" i="12"/>
  <c r="C26" i="12" s="1"/>
  <c r="C31" i="12" s="1"/>
  <c r="C30" i="12" s="1"/>
  <c r="C36" i="12" s="1"/>
  <c r="B2" i="12" s="1"/>
  <c r="D42" i="9"/>
  <c r="Q5" i="54" s="1"/>
  <c r="B47" i="63" s="1"/>
  <c r="N38" i="9"/>
  <c r="K28" i="9" s="1"/>
  <c r="D14" i="66"/>
  <c r="N68" i="9"/>
  <c r="D63" i="9"/>
  <c r="R5" i="54"/>
  <c r="B48" i="63" s="1"/>
  <c r="E42" i="9"/>
  <c r="P5" i="54" s="1"/>
  <c r="B46" i="63" s="1"/>
  <c r="M38" i="9"/>
  <c r="K27" i="9" s="1"/>
  <c r="K26" i="9"/>
  <c r="K25" i="9"/>
  <c r="B4" i="39"/>
  <c r="B3" i="39"/>
  <c r="B5" i="39"/>
  <c r="B5" i="12"/>
  <c r="D19" i="75"/>
  <c r="B4" i="12"/>
  <c r="D19" i="74"/>
  <c r="B4" i="71"/>
  <c r="B3" i="12"/>
  <c r="B3" i="71"/>
  <c r="B5" i="71"/>
  <c r="C17" i="73" l="1"/>
  <c r="C21" i="73" s="1"/>
  <c r="C15" i="73"/>
  <c r="L44" i="75"/>
  <c r="G19" i="75"/>
  <c r="D22" i="75"/>
  <c r="L44" i="74"/>
  <c r="G19" i="74"/>
  <c r="D22" i="74"/>
  <c r="D71" i="9"/>
  <c r="D66" i="9" s="1"/>
  <c r="N72" i="9" s="1"/>
  <c r="D77" i="9"/>
  <c r="N75" i="9" s="1"/>
  <c r="C82" i="9"/>
  <c r="C81" i="9" s="1"/>
  <c r="C85" i="9" s="1"/>
  <c r="C86" i="9" s="1"/>
  <c r="D72" i="9" s="1"/>
  <c r="C96" i="9"/>
  <c r="C91" i="9" s="1"/>
  <c r="C111" i="9"/>
  <c r="C104" i="9" s="1"/>
  <c r="D70" i="9"/>
  <c r="C90" i="9"/>
  <c r="C103" i="9"/>
  <c r="E14" i="66"/>
  <c r="B5" i="66"/>
  <c r="F14" i="66"/>
  <c r="D21" i="75"/>
  <c r="D21" i="74"/>
  <c r="D20" i="74"/>
  <c r="D20" i="75"/>
  <c r="C19" i="73" l="1"/>
  <c r="G20" i="74"/>
  <c r="G20" i="75"/>
  <c r="G21" i="74"/>
  <c r="G21" i="75"/>
  <c r="N43" i="75"/>
  <c r="G22" i="75"/>
  <c r="C32" i="75"/>
  <c r="G22" i="74"/>
  <c r="C32" i="74"/>
  <c r="N43" i="74"/>
  <c r="E16" i="73"/>
  <c r="D34" i="73" s="1"/>
  <c r="E14" i="73"/>
  <c r="C97" i="9"/>
  <c r="C98" i="9" s="1"/>
  <c r="E98" i="9" s="1"/>
  <c r="E99" i="9" s="1"/>
  <c r="D5" i="66"/>
  <c r="C5" i="66"/>
  <c r="C113" i="9"/>
  <c r="I14" i="73" l="1"/>
  <c r="F33" i="73" s="1"/>
  <c r="D33" i="73"/>
  <c r="G16" i="73"/>
  <c r="I16" i="73"/>
  <c r="F34" i="73" s="1"/>
  <c r="F16" i="73"/>
  <c r="F14" i="73"/>
  <c r="E33" i="73" s="1"/>
  <c r="G14" i="73"/>
  <c r="C42" i="75"/>
  <c r="C33" i="75"/>
  <c r="O43" i="75"/>
  <c r="O38" i="75"/>
  <c r="C35" i="75"/>
  <c r="F42" i="75" s="1"/>
  <c r="C34" i="75"/>
  <c r="C33" i="74"/>
  <c r="C34" i="74"/>
  <c r="C35" i="74"/>
  <c r="F42" i="74" s="1"/>
  <c r="C42" i="74"/>
  <c r="O38" i="74"/>
  <c r="O43" i="74"/>
  <c r="E20" i="73"/>
  <c r="E18" i="73"/>
  <c r="D35" i="73" s="1"/>
  <c r="C99" i="9"/>
  <c r="C114" i="9"/>
  <c r="E114" i="9" s="1"/>
  <c r="E115" i="9" s="1"/>
  <c r="D51" i="73" l="1"/>
  <c r="K32" i="73"/>
  <c r="D50" i="73"/>
  <c r="E34" i="73"/>
  <c r="F20" i="73"/>
  <c r="E37" i="73" s="1"/>
  <c r="G20" i="73"/>
  <c r="K35" i="73" s="1"/>
  <c r="F18" i="73"/>
  <c r="E35" i="73" s="1"/>
  <c r="G18" i="73"/>
  <c r="K34" i="73" s="1"/>
  <c r="L34" i="73" s="1"/>
  <c r="I20" i="73"/>
  <c r="F37" i="73" s="1"/>
  <c r="I18" i="73"/>
  <c r="F35" i="73" s="1"/>
  <c r="E42" i="75"/>
  <c r="M38" i="75"/>
  <c r="K27" i="75" s="1"/>
  <c r="K25" i="75"/>
  <c r="K26" i="75"/>
  <c r="D42" i="75"/>
  <c r="N38" i="75"/>
  <c r="K28" i="75" s="1"/>
  <c r="N68" i="75"/>
  <c r="D63" i="75"/>
  <c r="K26" i="74"/>
  <c r="K25" i="74"/>
  <c r="N38" i="74"/>
  <c r="K28" i="74" s="1"/>
  <c r="D42" i="74"/>
  <c r="N68" i="74"/>
  <c r="D63" i="74"/>
  <c r="E42" i="74"/>
  <c r="M38" i="74"/>
  <c r="K27" i="74" s="1"/>
  <c r="D37" i="73"/>
  <c r="C115" i="9"/>
  <c r="D76" i="9" s="1"/>
  <c r="D74" i="9" s="1"/>
  <c r="N74" i="9" s="1"/>
  <c r="O77" i="9" s="1"/>
  <c r="O78" i="9" s="1"/>
  <c r="D53" i="73" l="1"/>
  <c r="D52" i="73"/>
  <c r="C96" i="75"/>
  <c r="C91" i="75" s="1"/>
  <c r="D77" i="75"/>
  <c r="N75" i="75" s="1"/>
  <c r="D71" i="75"/>
  <c r="D66" i="75" s="1"/>
  <c r="N72" i="75" s="1"/>
  <c r="D70" i="75"/>
  <c r="C111" i="75"/>
  <c r="C104" i="75" s="1"/>
  <c r="C103" i="75"/>
  <c r="C90" i="75"/>
  <c r="C82" i="75"/>
  <c r="C81" i="75" s="1"/>
  <c r="C85" i="75" s="1"/>
  <c r="C86" i="75" s="1"/>
  <c r="D72" i="75" s="1"/>
  <c r="D71" i="74"/>
  <c r="D66" i="74" s="1"/>
  <c r="N72" i="74" s="1"/>
  <c r="C82" i="74"/>
  <c r="C81" i="74" s="1"/>
  <c r="C85" i="74" s="1"/>
  <c r="C86" i="74" s="1"/>
  <c r="D72" i="74" s="1"/>
  <c r="C90" i="74"/>
  <c r="C103" i="74"/>
  <c r="C111" i="74"/>
  <c r="C104" i="74" s="1"/>
  <c r="D70" i="74"/>
  <c r="D77" i="74"/>
  <c r="N75" i="74" s="1"/>
  <c r="C96" i="74"/>
  <c r="C91" i="74" s="1"/>
  <c r="E38" i="73"/>
  <c r="L32" i="73"/>
  <c r="Q77" i="9"/>
  <c r="O79" i="9"/>
  <c r="O80" i="9" s="1"/>
  <c r="C97" i="75" l="1"/>
  <c r="C98" i="75" s="1"/>
  <c r="E98" i="75" s="1"/>
  <c r="E99" i="75" s="1"/>
  <c r="C113" i="75"/>
  <c r="C97" i="74"/>
  <c r="C98" i="74" s="1"/>
  <c r="E98" i="74" s="1"/>
  <c r="E99" i="74" s="1"/>
  <c r="C113" i="74"/>
  <c r="O81" i="9"/>
  <c r="C99" i="75" l="1"/>
  <c r="C114" i="75"/>
  <c r="E114" i="75" s="1"/>
  <c r="E115" i="75" s="1"/>
  <c r="C99" i="74"/>
  <c r="C114" i="74"/>
  <c r="E114" i="74" s="1"/>
  <c r="E115" i="74" s="1"/>
  <c r="C115" i="75" l="1"/>
  <c r="D76" i="75" s="1"/>
  <c r="D74" i="75" s="1"/>
  <c r="N74" i="75" s="1"/>
  <c r="O77" i="75" s="1"/>
  <c r="O78" i="75" s="1"/>
  <c r="C115" i="74"/>
  <c r="D76" i="74" s="1"/>
  <c r="D74" i="74" s="1"/>
  <c r="N74" i="74" s="1"/>
  <c r="O77" i="74" s="1"/>
  <c r="O78" i="74" s="1"/>
  <c r="Q77" i="75" l="1"/>
  <c r="O79" i="75"/>
  <c r="O81" i="75" s="1"/>
  <c r="Q77" i="74"/>
  <c r="O79" i="74"/>
  <c r="O81" i="74" s="1"/>
  <c r="O80" i="75" l="1"/>
  <c r="O80" i="74"/>
  <c r="C12" i="73" l="1"/>
  <c r="C24" i="73" l="1"/>
  <c r="C13" i="73" l="1"/>
  <c r="E12" i="73" s="1"/>
  <c r="C25" i="73"/>
  <c r="E24" i="73" s="1"/>
  <c r="I12" i="73" l="1"/>
  <c r="F12" i="73"/>
  <c r="G12" i="73"/>
  <c r="K33" i="73" l="1"/>
  <c r="L33" i="73" s="1"/>
  <c r="L36" i="7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<sst xmlns="http://schemas.openxmlformats.org/spreadsheetml/2006/main" count="8575" uniqueCount="3340">
  <si>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</si>
  <si>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</si>
  <si>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</si>
  <si>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</si>
  <si>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</si>
  <si>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</si>
  <si>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</si>
  <si>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</si>
  <si>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</si>
  <si>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</si>
  <si>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</si>
  <si>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</si>
  <si>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</si>
  <si>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</si>
  <si>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</si>
  <si>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</si>
  <si>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</si>
  <si>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</si>
  <si>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</si>
  <si>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</si>
  <si>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</si>
  <si>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</si>
  <si>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</si>
  <si>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</si>
  <si>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</si>
  <si>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</si>
  <si>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</si>
  <si>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</si>
  <si>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</si>
  <si>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</si>
  <si>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</si>
  <si>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</si>
  <si>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</si>
  <si>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</si>
  <si>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</si>
  <si>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</si>
  <si>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</si>
  <si>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</si>
  <si>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</si>
  <si>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</si>
  <si>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</si>
  <si>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</si>
  <si>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</si>
  <si>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</si>
  <si>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</si>
  <si>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</si>
  <si>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</si>
  <si>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</si>
  <si>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</si>
  <si>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</si>
  <si>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</si>
  <si>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</si>
  <si>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</si>
  <si>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</si>
  <si>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</si>
  <si>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</si>
  <si>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</si>
  <si>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</si>
  <si>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</si>
  <si>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</si>
  <si>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</si>
  <si>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</si>
  <si>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</si>
  <si>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</si>
  <si>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</si>
  <si>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</si>
  <si>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</si>
  <si>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</si>
  <si>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</si>
  <si>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</si>
  <si>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</si>
  <si>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</si>
  <si>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</si>
  <si>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</si>
  <si>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</si>
  <si>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</si>
  <si>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</si>
  <si>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</si>
  <si>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</si>
  <si>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</si>
  <si>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</si>
  <si>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</si>
  <si>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</si>
  <si>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</si>
  <si>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</si>
  <si>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</si>
  <si>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</si>
  <si>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</si>
  <si>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</si>
  <si>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</si>
  <si>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</si>
  <si>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</si>
  <si>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</si>
  <si>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</si>
  <si>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</si>
  <si>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</si>
  <si>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</si>
  <si>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</si>
  <si>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</si>
  <si>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</si>
  <si>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</si>
  <si>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</si>
  <si>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</si>
  <si>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</si>
  <si>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</si>
  <si>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</si>
  <si>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</si>
  <si>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</si>
  <si>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</si>
  <si>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</si>
  <si>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</si>
  <si>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</si>
  <si>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</si>
  <si>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</si>
  <si>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</si>
  <si>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</si>
  <si>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</si>
  <si>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</si>
  <si>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</si>
  <si>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</si>
  <si>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</si>
  <si>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</si>
  <si>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</si>
  <si>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</si>
  <si>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</si>
  <si>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</si>
  <si>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</si>
  <si>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</si>
  <si>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</si>
  <si>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</si>
  <si>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</si>
  <si>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</si>
  <si>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</si>
  <si>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</si>
  <si>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</si>
  <si>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</si>
  <si>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</si>
  <si>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</si>
  <si>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</si>
  <si>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</si>
  <si>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</si>
  <si>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</si>
  <si>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</si>
  <si>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</si>
  <si>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</si>
  <si>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</si>
  <si>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</si>
  <si>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</si>
  <si>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</si>
  <si>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</si>
  <si>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</si>
  <si>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</si>
  <si>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</si>
  <si>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</si>
  <si>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</si>
  <si>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</si>
  <si>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</si>
  <si>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</si>
  <si>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</si>
  <si>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</si>
  <si>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</si>
  <si>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</si>
  <si>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</si>
  <si>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</si>
  <si>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</si>
  <si>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</si>
  <si>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</si>
  <si>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</si>
  <si>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</si>
  <si>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</si>
  <si>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</si>
  <si>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</si>
  <si>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</si>
  <si>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</si>
  <si>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</si>
  <si>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</si>
  <si>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</si>
  <si>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</si>
  <si>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</si>
  <si>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</si>
  <si>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</si>
  <si>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</si>
  <si>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</si>
  <si>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</si>
  <si>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</si>
  <si>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</si>
  <si>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</si>
  <si>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</si>
  <si>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</si>
  <si>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</si>
  <si>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</si>
  <si>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</si>
  <si>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</si>
  <si>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</si>
  <si>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</si>
  <si>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</si>
  <si>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</si>
  <si>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</si>
  <si>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</si>
  <si>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</si>
  <si>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</si>
  <si>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</si>
  <si>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</si>
  <si>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</si>
  <si>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</si>
  <si>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</si>
  <si>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</si>
  <si>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</si>
  <si>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</si>
  <si>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</si>
  <si>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</si>
  <si>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</si>
  <si>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</si>
  <si>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</si>
  <si>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</si>
  <si>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</si>
  <si>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</si>
  <si>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</si>
  <si>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</si>
  <si>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</si>
  <si>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</si>
  <si>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</si>
  <si>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</si>
  <si>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</si>
  <si>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</si>
  <si>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</si>
  <si>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</si>
  <si>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</si>
  <si>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</si>
  <si>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</si>
  <si>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</si>
  <si>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</si>
  <si>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</si>
  <si>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</si>
  <si>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</si>
  <si>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</si>
  <si>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</si>
  <si>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</si>
  <si>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</si>
  <si>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</si>
  <si>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</si>
  <si>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</si>
  <si>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</si>
  <si>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</si>
  <si>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</si>
  <si>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</si>
  <si>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</si>
  <si>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</si>
  <si>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</si>
  <si>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</si>
  <si>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</si>
  <si>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</si>
  <si>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</si>
  <si>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</si>
  <si>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</si>
  <si>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</si>
  <si>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</si>
  <si>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</si>
  <si>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</si>
  <si>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</si>
  <si>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</si>
  <si>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</si>
  <si>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</si>
  <si>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</si>
  <si>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</si>
  <si>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</si>
  <si>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</si>
  <si>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</si>
  <si>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</si>
  <si>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</si>
  <si>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</si>
  <si>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</si>
  <si>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</si>
  <si>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</si>
  <si>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</si>
  <si>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</si>
  <si>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</si>
  <si>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</si>
  <si>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</si>
  <si>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</si>
  <si>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</si>
  <si>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</si>
  <si>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</si>
  <si>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</si>
  <si>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</si>
  <si>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</si>
  <si>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</si>
  <si>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</si>
  <si>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</si>
  <si>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</si>
  <si>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</si>
  <si>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</si>
  <si>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</si>
  <si>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</si>
  <si>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</si>
  <si>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</si>
  <si>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</si>
  <si>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</si>
  <si>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</si>
  <si>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</si>
  <si>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</si>
  <si>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</si>
  <si>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</si>
  <si>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</si>
  <si>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</si>
  <si>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</si>
  <si>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</si>
  <si>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</si>
  <si>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</si>
  <si>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</si>
  <si>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</si>
  <si>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</si>
  <si>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</si>
  <si>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</si>
  <si>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</si>
  <si>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</si>
  <si>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</si>
  <si>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</si>
  <si>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</si>
  <si>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</si>
  <si>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</si>
  <si>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</si>
  <si>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</si>
  <si>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</si>
  <si>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</si>
  <si>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</si>
  <si>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</si>
  <si>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</si>
  <si>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</si>
  <si>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</si>
  <si>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</si>
  <si>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</si>
  <si>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</si>
  <si>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</si>
  <si>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</si>
  <si>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</si>
  <si>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</si>
  <si>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</si>
  <si>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</si>
  <si>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</si>
  <si>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</si>
  <si>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</si>
  <si>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</si>
  <si>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</si>
  <si>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</si>
  <si>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</si>
  <si>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</si>
  <si>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</si>
  <si>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</si>
  <si>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</si>
  <si>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</si>
  <si>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</si>
  <si>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</si>
  <si>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</si>
  <si>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</si>
  <si>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</si>
  <si>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</si>
  <si>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</si>
  <si>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</si>
  <si>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</si>
  <si>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</si>
  <si>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</si>
  <si>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</si>
  <si>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</si>
  <si>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</si>
  <si>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</si>
  <si>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</si>
  <si>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</si>
  <si>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</si>
  <si>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</si>
  <si>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</si>
  <si>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</si>
  <si>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</si>
  <si>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</si>
  <si>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</si>
  <si>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</si>
  <si>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</si>
  <si>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</si>
  <si>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</si>
  <si>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</si>
  <si>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</si>
  <si>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</si>
  <si>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</si>
  <si>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</si>
  <si>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</si>
  <si>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</si>
  <si>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</si>
  <si>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</si>
  <si>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</si>
  <si>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</si>
  <si>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</si>
  <si>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</si>
  <si>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</si>
  <si>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</si>
  <si>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</si>
  <si>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</si>
  <si>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</si>
  <si>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</si>
  <si>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</si>
  <si>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</si>
  <si>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</si>
  <si>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</si>
  <si>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</si>
  <si>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</si>
  <si>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</si>
  <si>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</si>
  <si>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</si>
  <si>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</si>
  <si>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</si>
  <si>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</si>
  <si>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</si>
  <si>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</si>
  <si>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</si>
  <si>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</si>
  <si>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</si>
  <si>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</si>
  <si>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</si>
  <si>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</si>
  <si>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</si>
  <si>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</si>
  <si>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</si>
  <si>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</si>
  <si>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</si>
  <si>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</si>
  <si>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</si>
  <si>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</si>
  <si>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</si>
  <si>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</si>
  <si>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</si>
  <si>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</si>
  <si>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</si>
  <si>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</si>
  <si>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</si>
  <si>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</si>
  <si>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</si>
  <si>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</si>
  <si>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</si>
  <si>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</si>
  <si>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</si>
  <si>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</si>
  <si>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</si>
  <si>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</si>
  <si>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</si>
  <si>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</si>
  <si>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</si>
  <si>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</si>
  <si>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</si>
  <si>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</si>
  <si>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</si>
  <si>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</si>
  <si>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</si>
  <si>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</si>
  <si>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</si>
  <si>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</si>
  <si>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</si>
  <si>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</si>
  <si>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</si>
  <si>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</si>
  <si>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</si>
  <si>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</si>
  <si>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</si>
  <si>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</si>
  <si>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</si>
  <si>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</si>
  <si>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</si>
  <si>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</si>
  <si>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</si>
  <si>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</si>
  <si>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</si>
  <si>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</si>
  <si>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</si>
  <si>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</si>
  <si>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</si>
  <si>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</si>
  <si>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</si>
  <si>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</si>
  <si>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</si>
  <si>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</si>
  <si>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</si>
  <si>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</si>
  <si>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</si>
  <si>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</si>
  <si>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</si>
  <si>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</si>
  <si>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</si>
  <si>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</si>
  <si>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</si>
  <si>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</si>
  <si>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</si>
  <si>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</si>
  <si>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</si>
  <si>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</si>
  <si>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</si>
  <si>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</si>
  <si>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</si>
  <si>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</si>
  <si>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</si>
  <si>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</si>
  <si>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</si>
  <si>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</si>
  <si>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</si>
  <si>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</si>
  <si>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</si>
  <si>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</si>
  <si>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</si>
  <si>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</si>
  <si>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</si>
  <si>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</si>
  <si>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</si>
  <si>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</si>
  <si>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</si>
  <si>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</si>
  <si>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</si>
  <si>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</si>
  <si>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</si>
  <si>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</si>
  <si>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</si>
  <si>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</si>
  <si>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</si>
  <si>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</si>
  <si>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</si>
  <si>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</si>
  <si>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</si>
  <si>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</si>
  <si>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</si>
  <si>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</si>
  <si>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</si>
  <si>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</si>
  <si>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</si>
  <si>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</si>
  <si>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</si>
  <si>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</si>
  <si>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</si>
  <si>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</si>
  <si>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</si>
  <si>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</si>
  <si>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</si>
  <si>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</si>
  <si>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</si>
  <si>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</si>
  <si>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</si>
  <si>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</si>
  <si>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</si>
  <si>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</si>
  <si>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</si>
  <si>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</si>
  <si>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</si>
  <si>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</si>
  <si>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</si>
  <si>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</si>
  <si>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</si>
  <si>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</si>
  <si>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</si>
  <si>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</si>
  <si>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</si>
  <si>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</si>
  <si>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</si>
  <si>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</si>
  <si>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</si>
  <si>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</si>
  <si>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</si>
  <si>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</si>
  <si>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</si>
  <si>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</si>
  <si>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</si>
  <si>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</si>
  <si>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</si>
  <si>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</si>
  <si>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</si>
  <si>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</si>
  <si>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</si>
  <si>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</si>
  <si>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</si>
  <si>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</si>
  <si>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</si>
  <si>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</si>
  <si>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</si>
  <si>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</si>
  <si>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</si>
  <si>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</si>
  <si>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</si>
  <si>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</si>
  <si>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</si>
  <si>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</si>
  <si>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</si>
  <si>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</si>
  <si>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</si>
  <si>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</si>
  <si>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</si>
  <si>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</si>
  <si>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</si>
  <si>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</si>
  <si>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</si>
  <si>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</si>
  <si>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</si>
  <si>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</si>
  <si>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</si>
  <si>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</si>
  <si>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</si>
  <si>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</si>
  <si>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</si>
  <si>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</si>
  <si>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</si>
  <si>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</si>
  <si>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</si>
  <si>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</si>
  <si>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</si>
  <si>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</si>
  <si>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</si>
  <si>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</si>
  <si>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</si>
  <si>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</si>
  <si>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</si>
  <si>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</si>
  <si>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</si>
  <si>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</si>
  <si>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</si>
  <si>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</si>
  <si>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</si>
  <si>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</si>
  <si>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</si>
  <si>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</si>
  <si>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</si>
  <si>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</si>
  <si>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</si>
  <si>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</si>
  <si>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</si>
  <si>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</si>
  <si>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</si>
  <si>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</si>
  <si>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</si>
  <si>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</si>
  <si>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</si>
  <si>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</si>
  <si>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</si>
  <si>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</si>
  <si>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</si>
  <si>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</si>
  <si>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</si>
  <si>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</si>
  <si>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</si>
  <si>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</si>
  <si>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</si>
  <si>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</si>
  <si>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</si>
  <si>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</si>
  <si>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</si>
  <si>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</si>
  <si>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</si>
  <si>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</si>
  <si>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</si>
  <si>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</si>
  <si>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</si>
  <si>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</si>
  <si>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</si>
  <si>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</si>
  <si>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</si>
  <si>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</si>
  <si>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</si>
  <si>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</si>
  <si>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</si>
  <si>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</si>
  <si>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</si>
  <si>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</si>
  <si>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</si>
  <si>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</si>
  <si>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</si>
  <si>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</si>
  <si>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</si>
  <si>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</si>
  <si>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</si>
  <si>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</si>
  <si>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</si>
  <si>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</si>
  <si>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</si>
  <si>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</si>
  <si>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</si>
  <si>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</si>
  <si>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</si>
  <si>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</si>
  <si>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</si>
  <si>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</si>
  <si>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</si>
  <si>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</si>
  <si>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</si>
  <si>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</si>
  <si>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</si>
  <si>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</si>
  <si>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</si>
  <si>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</si>
  <si>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</si>
  <si>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</si>
  <si>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</si>
  <si>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</si>
  <si>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</si>
  <si>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</si>
  <si>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</si>
  <si>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</si>
  <si>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</si>
  <si>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</si>
  <si>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</si>
  <si>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</si>
  <si>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</si>
  <si>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</si>
  <si>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</si>
  <si>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</si>
  <si>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</si>
  <si>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</si>
  <si>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</si>
  <si>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</si>
  <si>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</si>
  <si>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</si>
  <si>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</si>
  <si>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</si>
  <si>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</si>
  <si>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</si>
  <si>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</si>
  <si>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</si>
  <si>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</si>
  <si>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</si>
  <si>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</si>
  <si>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</si>
  <si>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</si>
  <si>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</si>
  <si>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</si>
  <si>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</si>
  <si>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</si>
  <si>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</si>
  <si>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</si>
  <si>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</si>
  <si>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</si>
  <si>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</si>
  <si>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</si>
  <si>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</si>
  <si>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</si>
  <si>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</si>
  <si>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</si>
  <si>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</si>
  <si>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</si>
  <si>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</si>
  <si>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</si>
  <si>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</si>
  <si>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</si>
  <si>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</si>
  <si>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</si>
  <si>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</si>
  <si>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</si>
  <si>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</si>
  <si>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</si>
  <si>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</si>
  <si>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</si>
  <si>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</si>
  <si>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</si>
  <si>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</si>
  <si>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</si>
  <si>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</si>
  <si>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</si>
  <si>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</si>
  <si>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</si>
  <si>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</si>
  <si>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</si>
  <si>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</si>
  <si>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</si>
  <si>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</si>
  <si>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</si>
  <si>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</si>
  <si>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</si>
  <si>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</si>
  <si>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</si>
  <si>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</si>
  <si>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</si>
  <si>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</si>
  <si>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</si>
  <si>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</si>
  <si>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</si>
  <si>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</si>
  <si>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</si>
  <si>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</si>
  <si>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</si>
  <si>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</si>
  <si>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</si>
  <si>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</si>
  <si>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</si>
  <si>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</si>
  <si>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</si>
  <si>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</si>
  <si>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</si>
  <si>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</si>
  <si>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</si>
  <si>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</si>
  <si>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</si>
  <si>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</si>
  <si>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</si>
  <si>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</si>
  <si>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</si>
  <si>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</si>
  <si>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</si>
  <si>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</si>
  <si>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</si>
  <si>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</si>
  <si>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</si>
  <si>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</si>
  <si>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</si>
  <si>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</si>
  <si>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</si>
  <si>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</si>
  <si>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</si>
  <si>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</si>
  <si>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</si>
  <si>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</si>
  <si>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</si>
  <si>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</si>
  <si>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</si>
  <si>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</si>
  <si>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</si>
  <si>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</si>
  <si>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</si>
  <si>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</si>
  <si>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</si>
  <si>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</si>
  <si>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</si>
  <si>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</si>
  <si>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</si>
  <si>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</si>
  <si>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</si>
  <si>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</si>
  <si>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</si>
  <si>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</si>
  <si>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</si>
  <si>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</si>
  <si>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</si>
  <si>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</si>
  <si>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</si>
  <si>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</si>
  <si>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</si>
  <si>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</si>
  <si>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</si>
  <si>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</si>
  <si>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</si>
  <si>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</si>
  <si>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</si>
  <si>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</si>
  <si>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</si>
  <si>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</si>
  <si>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</si>
  <si>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</si>
  <si>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</si>
  <si>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</si>
  <si>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</si>
  <si>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</si>
  <si>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</si>
  <si>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</si>
  <si>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</si>
  <si>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</si>
  <si>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</si>
  <si>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</si>
  <si>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</si>
  <si>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</si>
  <si>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</si>
  <si>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</si>
  <si>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</si>
  <si>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</si>
  <si>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</si>
  <si>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</si>
  <si>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</si>
  <si>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</si>
  <si>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</si>
  <si>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</si>
  <si>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</si>
  <si>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</si>
  <si>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</si>
  <si>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</si>
  <si>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</si>
  <si>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</si>
  <si>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</si>
  <si>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</si>
  <si>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</si>
  <si>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</si>
  <si>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</si>
  <si>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</si>
  <si>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</si>
  <si>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</si>
  <si>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</si>
  <si>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</si>
  <si>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</si>
  <si>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</si>
  <si>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</si>
  <si>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</si>
  <si>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</si>
  <si>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</si>
  <si>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</si>
  <si>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</si>
  <si>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</si>
  <si>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</si>
  <si>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</si>
  <si>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</si>
  <si>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</si>
  <si>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</si>
  <si>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</si>
  <si>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</si>
  <si>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</si>
  <si>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</si>
  <si>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</si>
  <si>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</si>
  <si>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</si>
  <si>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</si>
  <si>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</si>
  <si>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</si>
  <si>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</si>
  <si>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</si>
  <si>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</si>
  <si>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</si>
  <si>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</si>
  <si>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</si>
  <si>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</si>
  <si>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</si>
  <si>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</si>
  <si>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</si>
  <si>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</si>
  <si>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</si>
  <si>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</si>
  <si>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</si>
  <si>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</si>
  <si>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</si>
  <si>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</si>
  <si>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</si>
  <si>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</si>
  <si>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</si>
  <si>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</si>
  <si>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</si>
  <si>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</si>
  <si>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</si>
  <si>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</si>
  <si>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</si>
  <si>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</si>
  <si>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</si>
  <si>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</si>
  <si>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</si>
  <si>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</si>
  <si>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</si>
  <si>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</si>
  <si>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</si>
  <si>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</si>
  <si>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</si>
  <si>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</si>
  <si>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</si>
  <si>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</si>
  <si>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</si>
  <si>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</si>
  <si>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</si>
  <si>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</si>
  <si>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</si>
  <si>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</si>
  <si>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</si>
  <si>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</si>
  <si>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</si>
  <si>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</si>
  <si>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</si>
  <si>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</si>
  <si>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</si>
  <si>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</si>
  <si>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</si>
  <si>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</si>
  <si>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</si>
  <si>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</si>
  <si>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</si>
  <si>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</si>
  <si>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</si>
  <si>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</si>
  <si>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</si>
  <si>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</si>
  <si>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</si>
  <si>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</si>
  <si>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</si>
  <si>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</si>
  <si>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</si>
  <si>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</si>
  <si>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</si>
  <si>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</si>
  <si>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</si>
  <si>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</si>
  <si>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</si>
  <si>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</si>
  <si>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</si>
  <si>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</si>
  <si>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</si>
  <si>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</si>
  <si>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</si>
  <si>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</si>
  <si>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</si>
  <si>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</si>
  <si>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</si>
  <si>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</si>
  <si>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</si>
  <si>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</si>
  <si>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</si>
  <si>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</si>
  <si>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</si>
  <si>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</si>
  <si>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</si>
  <si>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</si>
  <si>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</si>
  <si>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</si>
  <si>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</si>
  <si>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</si>
  <si>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</si>
  <si>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</si>
  <si>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</si>
  <si>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</si>
  <si>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</si>
  <si>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</si>
  <si>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</si>
  <si>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</si>
  <si>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</si>
  <si>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</si>
  <si>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</si>
  <si>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</si>
  <si>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</si>
  <si>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</si>
  <si>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</si>
  <si>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</si>
  <si>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</si>
  <si>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</si>
  <si>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</si>
  <si>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</si>
  <si>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</si>
  <si>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</si>
  <si>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</si>
  <si>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</si>
  <si>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</si>
  <si>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</si>
  <si>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</si>
  <si>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</si>
  <si>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</si>
  <si>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</si>
  <si>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</si>
  <si>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</si>
  <si>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</si>
  <si>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</si>
  <si>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</si>
  <si>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</si>
  <si>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</si>
  <si>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</si>
  <si>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</si>
  <si>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</si>
  <si>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</si>
  <si>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</si>
  <si>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</si>
  <si>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</si>
  <si>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</si>
  <si>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</si>
  <si>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</si>
  <si>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</si>
  <si>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</si>
  <si>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</si>
  <si>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</si>
  <si>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</si>
  <si>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</si>
  <si>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</si>
  <si>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</si>
  <si>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</si>
  <si>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</si>
  <si>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</si>
  <si>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</si>
  <si>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</si>
  <si>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</si>
  <si>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</si>
  <si>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</si>
  <si>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</si>
  <si>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</si>
  <si>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</si>
  <si>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</si>
  <si>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</si>
  <si>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</si>
  <si>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</si>
  <si>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</si>
  <si>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</si>
  <si>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</si>
  <si>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</si>
  <si>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</si>
  <si>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</si>
  <si>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</si>
  <si>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</si>
  <si>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</si>
  <si>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</si>
  <si>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</si>
  <si>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</si>
  <si>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</si>
  <si>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</si>
  <si>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</si>
  <si>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</si>
  <si>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</si>
  <si>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</si>
  <si>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</si>
  <si>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</si>
  <si>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</si>
  <si>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</si>
  <si>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</si>
  <si>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</si>
  <si>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</si>
  <si>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</si>
  <si>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</si>
  <si>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</si>
  <si>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</si>
  <si>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</si>
  <si>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</si>
  <si>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</si>
  <si>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</si>
  <si>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</si>
  <si>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</si>
  <si>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</si>
  <si>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</si>
  <si>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</si>
  <si>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</si>
  <si>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</si>
  <si>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</si>
  <si>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</si>
  <si>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</si>
  <si>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</si>
  <si>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</si>
  <si>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</si>
  <si>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</si>
  <si>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</si>
  <si>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</si>
  <si>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</si>
  <si>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</si>
  <si>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</si>
  <si>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</si>
  <si>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</si>
  <si>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</si>
  <si>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</si>
  <si>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</si>
  <si>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</si>
  <si>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</si>
  <si>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</si>
  <si>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</si>
  <si>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</si>
  <si>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</si>
  <si>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</si>
  <si>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</si>
  <si>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</si>
  <si>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</si>
  <si>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</si>
  <si>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</si>
  <si>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</si>
  <si>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</si>
  <si>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</si>
  <si>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</si>
  <si>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</si>
  <si>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</si>
  <si>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</si>
  <si>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</si>
  <si>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</si>
  <si>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</si>
  <si>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</si>
  <si>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</si>
  <si>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</si>
  <si>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</si>
  <si>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</si>
  <si>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</si>
  <si>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</si>
  <si>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</si>
  <si>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</si>
  <si>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</si>
  <si>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</si>
  <si>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</si>
  <si>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</si>
  <si>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</si>
  <si>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</si>
  <si>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</si>
  <si>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</si>
  <si>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</si>
  <si>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</si>
  <si>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</si>
  <si>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</si>
  <si>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</si>
  <si>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</si>
  <si>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</si>
  <si>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</si>
  <si>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</si>
  <si>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</si>
  <si>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</si>
  <si>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</si>
  <si>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</si>
  <si>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</si>
  <si>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</si>
  <si>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</si>
  <si>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</si>
  <si>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</si>
  <si>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</si>
  <si>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</si>
  <si>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</si>
  <si>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</si>
  <si>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</si>
  <si>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</si>
  <si>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</si>
  <si>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</si>
  <si>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</si>
  <si>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</si>
  <si>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</si>
  <si>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</si>
  <si>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</si>
  <si>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</si>
  <si>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</si>
  <si>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</si>
  <si>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</si>
  <si>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</si>
  <si>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</si>
  <si>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</si>
  <si>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</si>
  <si>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</si>
  <si>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</si>
  <si>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</si>
  <si>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</si>
  <si>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</si>
  <si>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</si>
  <si>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</si>
  <si>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</si>
  <si>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</si>
  <si>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</si>
  <si>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</si>
  <si>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</si>
  <si>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</si>
  <si>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</si>
  <si>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</si>
  <si>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</si>
  <si>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</si>
  <si>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</si>
  <si>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</si>
  <si>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</si>
  <si>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</si>
  <si>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</si>
  <si>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</si>
  <si>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</si>
  <si>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</si>
  <si>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</si>
  <si>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</si>
  <si>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</si>
  <si>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</si>
  <si>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</si>
  <si>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</si>
  <si>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</si>
  <si>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</si>
  <si>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</si>
  <si>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</si>
  <si>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</si>
  <si>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</si>
  <si>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</si>
  <si>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</si>
  <si>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</si>
  <si>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</si>
  <si>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</si>
  <si>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</si>
  <si>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</si>
  <si>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</si>
  <si>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</si>
  <si>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</si>
  <si>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</si>
  <si>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</si>
  <si>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</si>
  <si>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</si>
  <si>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</si>
  <si>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</si>
  <si>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</si>
  <si>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</si>
  <si>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</si>
  <si>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</si>
  <si>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</si>
  <si>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</si>
  <si>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</si>
  <si>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</si>
  <si>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</si>
  <si>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</si>
  <si>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</si>
  <si>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</si>
  <si>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</si>
  <si>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</si>
  <si>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</si>
  <si>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</si>
  <si>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</si>
  <si>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</si>
  <si>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</si>
  <si>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</si>
  <si>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</si>
  <si>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</si>
  <si>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</si>
  <si>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</si>
  <si>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</si>
  <si>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</si>
  <si>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</si>
  <si>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</si>
  <si>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</si>
  <si>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</si>
  <si>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</si>
  <si>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</si>
  <si>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</si>
  <si>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</si>
  <si>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</si>
  <si>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</si>
  <si>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</si>
  <si>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</si>
  <si>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</si>
  <si>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</si>
  <si>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</si>
  <si>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</si>
  <si>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</si>
  <si>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</si>
  <si>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</si>
  <si>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</si>
  <si>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</si>
  <si>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</si>
  <si>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</si>
  <si>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</si>
  <si>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</si>
  <si>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</si>
  <si>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</si>
  <si>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</si>
  <si>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</si>
  <si>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</si>
  <si>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</si>
  <si>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</si>
  <si>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</si>
  <si>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</si>
  <si>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</si>
  <si>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</si>
  <si>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</si>
  <si>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</si>
  <si>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</si>
  <si>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</si>
  <si>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</si>
  <si>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</si>
  <si>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</si>
  <si>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</si>
  <si>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</si>
  <si>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</si>
  <si>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</si>
  <si>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</si>
  <si>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</si>
  <si>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</si>
  <si>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</si>
  <si>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</si>
  <si>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</si>
  <si>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</si>
  <si>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</si>
  <si>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</si>
  <si>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</si>
  <si>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</si>
  <si>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</si>
  <si>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</si>
  <si>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</si>
  <si>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</si>
  <si>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</si>
  <si>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</si>
  <si>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</si>
  <si>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</si>
  <si>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</si>
  <si>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</si>
  <si>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</si>
  <si>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</si>
  <si>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</si>
  <si>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</si>
  <si>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</si>
  <si>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</si>
  <si>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</si>
  <si>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</si>
  <si>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</si>
  <si>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</si>
  <si>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</si>
  <si>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</si>
  <si>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</si>
  <si>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</si>
  <si>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</si>
  <si>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</si>
  <si>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</si>
  <si>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</si>
  <si>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</si>
  <si>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</si>
  <si>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</si>
  <si>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</si>
  <si>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</si>
  <si>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</si>
  <si>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</si>
  <si>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</si>
  <si>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</si>
  <si>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</si>
  <si>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</si>
  <si>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</si>
  <si>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</si>
  <si>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</si>
  <si>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</si>
  <si>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</si>
  <si>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</si>
  <si>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</si>
  <si>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</si>
  <si>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</si>
  <si>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</si>
  <si>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</si>
  <si>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</si>
  <si>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</si>
  <si>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</si>
  <si>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</si>
  <si>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</si>
  <si>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</si>
  <si>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</si>
  <si>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</si>
  <si>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</si>
  <si>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</si>
  <si>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</si>
  <si>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</si>
  <si>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</si>
  <si>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</si>
  <si>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</si>
  <si>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</si>
  <si>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</si>
  <si>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</si>
  <si>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</si>
  <si>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</si>
  <si>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</si>
  <si>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</si>
  <si>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</si>
  <si>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</si>
  <si>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</si>
  <si>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</si>
  <si>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</si>
  <si>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</si>
  <si>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</si>
  <si>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</si>
  <si>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</si>
  <si>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</si>
  <si>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</si>
  <si>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</si>
  <si>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</si>
  <si>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</si>
  <si>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</si>
  <si>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</si>
  <si>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</si>
  <si>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</si>
  <si>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</si>
  <si>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</si>
  <si>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</si>
  <si>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</si>
  <si>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</si>
  <si>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</si>
  <si>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</si>
  <si>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</si>
  <si>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</si>
  <si>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</si>
  <si>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</si>
  <si>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</si>
  <si>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</si>
  <si>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</si>
  <si>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</si>
  <si>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</si>
  <si>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</si>
  <si>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</si>
  <si>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</si>
  <si>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</si>
  <si>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</si>
  <si>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</si>
  <si>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</si>
  <si>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</si>
  <si>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</si>
  <si>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</si>
  <si>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</si>
  <si>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</si>
  <si>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</si>
  <si>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</si>
  <si>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</si>
  <si>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</si>
  <si>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</si>
  <si>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</si>
  <si>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</si>
  <si>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</si>
  <si>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</si>
  <si>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</si>
  <si>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</si>
  <si>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</si>
  <si>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</si>
  <si>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</si>
  <si>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</si>
  <si>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</si>
  <si>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</si>
  <si>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</si>
  <si>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</si>
  <si>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</si>
  <si>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</si>
  <si>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</si>
  <si>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</si>
  <si>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</si>
  <si>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</si>
  <si>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</si>
  <si>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</si>
  <si>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</si>
  <si>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</si>
  <si>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</si>
  <si>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</si>
  <si>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</si>
  <si>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</si>
  <si>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</si>
  <si>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</si>
  <si>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</si>
  <si>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</si>
  <si>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</si>
  <si>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</si>
  <si>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</si>
  <si>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</si>
  <si>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</si>
  <si>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</si>
  <si>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</si>
  <si>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</si>
  <si>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</si>
  <si>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</si>
  <si>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</si>
  <si>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</si>
  <si>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</si>
  <si>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</si>
  <si>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</si>
  <si>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</si>
  <si>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</si>
  <si>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</si>
  <si>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</si>
  <si>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</si>
  <si>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</si>
  <si>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</si>
  <si>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</si>
  <si>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</si>
  <si>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</si>
  <si>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</si>
  <si>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</si>
  <si>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</si>
  <si>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</si>
  <si>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</si>
  <si>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</si>
  <si>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</si>
  <si>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</si>
  <si>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</si>
  <si>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</si>
  <si>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</si>
  <si>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</si>
  <si>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</si>
  <si>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</si>
  <si>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</si>
  <si>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</si>
  <si>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</si>
  <si>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</si>
  <si>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</si>
  <si>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</si>
  <si>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</si>
  <si>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</si>
  <si>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</si>
  <si>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</si>
  <si>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</si>
  <si>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</si>
  <si>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</si>
  <si>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</si>
  <si>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</si>
  <si>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</si>
  <si>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</si>
  <si>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</si>
  <si>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</si>
  <si>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</si>
  <si>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</si>
  <si>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</si>
  <si>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</si>
  <si>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</si>
  <si>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</si>
  <si>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</si>
  <si>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</si>
  <si>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</si>
  <si>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</si>
  <si>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</si>
  <si>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</si>
  <si>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</si>
  <si>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</si>
  <si>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</si>
  <si>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</si>
  <si>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</si>
  <si>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</si>
  <si>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</si>
  <si>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</si>
  <si>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</si>
  <si>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</si>
  <si>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</si>
  <si>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</si>
  <si>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</si>
  <si>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</si>
  <si>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</si>
  <si>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</si>
  <si>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</si>
  <si>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</si>
  <si>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</si>
  <si>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</si>
  <si>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</si>
  <si>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</si>
  <si>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</si>
  <si>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</si>
  <si>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</si>
  <si>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</si>
  <si>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</si>
  <si>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</si>
  <si>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</si>
  <si>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</si>
  <si>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</si>
  <si>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</si>
  <si>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</si>
  <si>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</si>
  <si>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</si>
  <si>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</si>
  <si>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</si>
  <si>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</si>
  <si>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</si>
  <si>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</si>
  <si>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</si>
  <si>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</si>
  <si>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</si>
  <si>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</si>
  <si>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</si>
  <si>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</si>
  <si>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</si>
  <si>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</si>
  <si>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</si>
  <si>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</si>
  <si>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</si>
  <si>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</si>
  <si>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</si>
  <si>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</si>
  <si>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</si>
  <si>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</si>
  <si>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</si>
  <si>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</si>
  <si>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</si>
  <si>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</si>
  <si>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</si>
  <si>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</si>
  <si>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</si>
  <si>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</si>
  <si>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</si>
  <si>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</si>
  <si>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</si>
  <si>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</si>
  <si>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</si>
  <si>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</si>
  <si>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</si>
  <si>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</si>
  <si>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</si>
  <si>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</si>
  <si>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</si>
  <si>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</si>
  <si>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</si>
  <si>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</si>
  <si>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</si>
  <si>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</si>
  <si>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</si>
  <si>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</si>
  <si>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</si>
  <si>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</si>
  <si>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</si>
  <si>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</si>
  <si>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</si>
  <si>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</si>
  <si>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</si>
  <si>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</si>
  <si>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</si>
  <si>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</si>
  <si>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</si>
  <si>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</si>
  <si>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</si>
  <si>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</si>
  <si>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</si>
  <si>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</si>
  <si>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</si>
  <si>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</si>
  <si>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</si>
  <si>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</si>
  <si>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</si>
  <si>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</si>
  <si>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</si>
  <si>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</si>
  <si>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</si>
  <si>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</si>
  <si>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</si>
  <si>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</si>
  <si>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</si>
  <si>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</si>
  <si>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</si>
  <si>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</si>
  <si>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</si>
  <si>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</si>
  <si>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</si>
  <si>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</si>
  <si>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</si>
  <si>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</si>
  <si>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</si>
  <si>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</si>
  <si>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</si>
  <si>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</si>
  <si>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</si>
  <si>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</si>
  <si>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</si>
  <si>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</si>
  <si>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</si>
  <si>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</si>
  <si>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</si>
  <si>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</si>
  <si>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</si>
  <si>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</si>
  <si>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</si>
  <si>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</si>
  <si>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</si>
  <si>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</si>
  <si>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</si>
  <si>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</si>
  <si>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</si>
  <si>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</si>
  <si>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</si>
  <si>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</si>
  <si>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</si>
  <si>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</si>
  <si>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</si>
  <si>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</si>
  <si>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</si>
  <si>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</si>
  <si>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</si>
  <si>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</si>
  <si>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</si>
  <si>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</si>
  <si>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</si>
  <si>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</si>
  <si>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</si>
  <si>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</si>
  <si>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</si>
  <si>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</si>
  <si>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</si>
  <si>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</si>
  <si>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</si>
  <si>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</si>
  <si>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</si>
  <si>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</si>
  <si>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</si>
  <si>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</si>
  <si>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</si>
  <si>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</si>
  <si>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</si>
  <si>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</si>
  <si>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</si>
  <si>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</si>
  <si>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</si>
  <si>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</si>
  <si>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</si>
  <si>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</si>
  <si>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</si>
  <si>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</si>
  <si>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</si>
  <si>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</si>
  <si>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</si>
  <si>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</si>
  <si>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</si>
  <si>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</si>
  <si>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</si>
  <si>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</si>
  <si>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</si>
  <si>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</si>
  <si>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</si>
  <si>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</si>
  <si>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</si>
  <si>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</si>
  <si>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</si>
  <si>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</si>
  <si>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</si>
  <si>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</si>
  <si>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</si>
  <si>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</si>
  <si>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</si>
  <si>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</si>
  <si>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</si>
  <si>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</si>
  <si>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</si>
  <si>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</si>
  <si>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</si>
  <si>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</si>
  <si>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</si>
  <si>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</si>
  <si>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</si>
  <si>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</si>
  <si>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</si>
  <si>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</si>
  <si>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</si>
  <si>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</si>
  <si>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</si>
  <si>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</si>
  <si>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</si>
  <si>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</si>
  <si>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</si>
  <si>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</si>
  <si>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</si>
  <si>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</si>
  <si>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</si>
  <si>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</si>
  <si>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</si>
  <si>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</si>
  <si>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</si>
  <si>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</si>
  <si>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</si>
  <si>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</si>
  <si>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</si>
  <si>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</si>
  <si>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</si>
  <si>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</si>
  <si>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</si>
  <si>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</si>
  <si>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</si>
  <si>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</si>
  <si>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</si>
  <si>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</si>
  <si>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</si>
  <si>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</si>
  <si>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</si>
  <si>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</si>
  <si>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</si>
  <si>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</si>
  <si>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</si>
  <si>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</si>
  <si>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</si>
  <si>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</si>
  <si>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</si>
  <si>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</si>
  <si>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</si>
  <si>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</si>
  <si>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</si>
  <si>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</si>
  <si>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</si>
  <si>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</si>
  <si>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</si>
  <si>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</si>
  <si>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</si>
  <si>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</si>
  <si>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</si>
  <si>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</si>
  <si>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</si>
  <si>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</si>
  <si>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</si>
  <si>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</si>
  <si>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</si>
  <si>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</si>
  <si>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</si>
  <si>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</si>
  <si>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</si>
  <si>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</si>
  <si>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</si>
  <si>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</si>
  <si>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</si>
  <si>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</si>
  <si>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</si>
  <si>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</si>
  <si>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</si>
  <si>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</si>
  <si>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</si>
  <si>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</si>
  <si>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</si>
  <si>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</si>
  <si>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</si>
  <si>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</si>
  <si>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</si>
  <si>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</si>
  <si>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</si>
  <si>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</si>
  <si>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</si>
  <si>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</si>
  <si>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</si>
  <si>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</si>
  <si>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</si>
  <si>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</si>
  <si>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</si>
  <si>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</si>
  <si>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</si>
  <si>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</si>
  <si>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</si>
  <si>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</si>
  <si>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</si>
  <si>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</si>
  <si>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</si>
  <si>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</si>
  <si>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</si>
  <si>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</si>
  <si>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</si>
  <si>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</si>
  <si>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</si>
  <si>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</si>
  <si>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</si>
  <si>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</si>
  <si>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</si>
  <si>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</si>
  <si>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</si>
  <si>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</si>
  <si>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</si>
  <si>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</si>
  <si>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</si>
  <si>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</si>
  <si>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</si>
  <si>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</si>
  <si>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</si>
  <si>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</si>
  <si>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</si>
  <si>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</si>
  <si>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</si>
  <si>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</si>
  <si>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</si>
  <si>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</si>
  <si>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</si>
  <si>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</si>
  <si>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</si>
  <si>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</si>
  <si>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</si>
  <si>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</si>
  <si>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</si>
  <si>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</si>
  <si>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</si>
  <si>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</si>
  <si>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</si>
  <si>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</si>
  <si>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</si>
  <si>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</si>
  <si>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</si>
  <si>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</si>
  <si>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</si>
  <si>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</si>
  <si>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</si>
  <si>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</si>
  <si>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</si>
  <si>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</si>
  <si>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</si>
  <si>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</si>
  <si>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</si>
  <si>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</si>
  <si>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</si>
  <si>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</si>
  <si>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</si>
  <si>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</si>
  <si>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</si>
  <si>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</si>
  <si>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</si>
  <si>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</si>
  <si>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</si>
  <si>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</si>
  <si>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</si>
  <si>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</si>
  <si>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</si>
  <si>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</si>
  <si>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</si>
  <si>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</si>
  <si>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</si>
  <si>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</si>
  <si>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</si>
  <si>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</si>
  <si>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</si>
  <si>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</si>
  <si>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</si>
  <si>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</si>
  <si>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</si>
  <si>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</si>
  <si>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</si>
  <si>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</si>
  <si>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</si>
  <si>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</si>
  <si>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</si>
  <si>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</si>
  <si>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</si>
  <si>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</si>
  <si>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</si>
  <si>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</si>
  <si>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</si>
  <si>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</si>
  <si>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</si>
  <si>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</si>
  <si>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</si>
  <si>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</si>
  <si>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</si>
  <si>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</si>
  <si>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</si>
  <si>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</si>
  <si>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</si>
  <si>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</si>
  <si>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</si>
  <si>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</si>
  <si>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</si>
  <si>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</si>
  <si>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</si>
  <si>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</si>
  <si>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</si>
  <si>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</si>
  <si>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</si>
  <si>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</si>
  <si>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</si>
  <si>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</si>
  <si>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</si>
  <si>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</si>
  <si>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</si>
  <si>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</si>
  <si>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</si>
  <si>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</si>
  <si>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</si>
  <si>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</si>
  <si>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</si>
  <si>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</si>
  <si>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</si>
  <si>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</si>
  <si>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</si>
  <si>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</si>
  <si>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</si>
  <si>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</si>
  <si>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</si>
  <si>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</si>
  <si>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</si>
  <si>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</si>
  <si>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</si>
  <si>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</si>
  <si>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</si>
  <si>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</si>
  <si>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</si>
  <si>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</si>
  <si>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</si>
  <si>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</si>
  <si>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</si>
  <si>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</si>
  <si>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</si>
  <si>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</si>
  <si>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</si>
  <si>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</si>
  <si>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</si>
  <si>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</si>
  <si>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</si>
  <si>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</si>
  <si>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</si>
  <si>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</si>
  <si>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</si>
  <si>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</si>
  <si>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</si>
  <si>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</si>
  <si>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</si>
  <si>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</si>
  <si>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</si>
  <si>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</si>
  <si>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</si>
  <si>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</si>
  <si>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</si>
  <si>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</si>
  <si>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</si>
  <si>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</si>
  <si>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</si>
  <si>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</si>
  <si>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</si>
  <si>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</si>
  <si>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</si>
  <si>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</si>
  <si>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</si>
  <si>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</si>
  <si>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</si>
  <si>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</si>
  <si>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</si>
  <si>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</si>
  <si>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</si>
  <si>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</si>
  <si>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</si>
  <si>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</si>
  <si>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</si>
  <si>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</si>
  <si>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</si>
  <si>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</si>
  <si>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</si>
  <si>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</si>
  <si>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</si>
  <si>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</si>
  <si>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</si>
  <si>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</si>
  <si>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</si>
  <si>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</si>
  <si>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</si>
  <si>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</si>
  <si>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</si>
  <si>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</si>
  <si>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</si>
  <si>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</si>
  <si>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</si>
  <si>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</si>
  <si>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</si>
  <si>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</si>
  <si>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</si>
  <si>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</si>
  <si>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</si>
  <si>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</si>
  <si>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</si>
  <si>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</si>
  <si>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</si>
  <si>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</si>
  <si>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</si>
  <si>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</si>
  <si>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</si>
  <si>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</si>
  <si>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</si>
  <si>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</si>
  <si>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</si>
  <si>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</si>
  <si>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</si>
  <si>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</si>
  <si>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</si>
  <si>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</si>
  <si>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</si>
  <si>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</si>
  <si>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</si>
  <si>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</si>
  <si>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</si>
  <si>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</si>
  <si>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</si>
  <si>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</si>
  <si>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</si>
  <si>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</si>
  <si>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</si>
  <si>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</si>
  <si>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</si>
  <si>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</si>
  <si>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</si>
  <si>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</si>
  <si>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</si>
  <si>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</si>
  <si>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</si>
  <si>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</si>
  <si>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</si>
  <si>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</si>
  <si>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</si>
  <si>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</si>
  <si>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</si>
  <si>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</si>
  <si>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</si>
  <si>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</si>
  <si>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</si>
  <si>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</si>
  <si>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</si>
  <si>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</si>
  <si>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</si>
  <si>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</si>
  <si>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</si>
  <si>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</si>
  <si>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</si>
  <si>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</si>
  <si>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</si>
  <si>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</si>
  <si>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</si>
  <si>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</si>
  <si>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</si>
  <si>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</si>
  <si>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</si>
  <si>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</si>
  <si>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</si>
  <si>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</si>
  <si>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</si>
  <si>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</si>
  <si>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</si>
  <si>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</si>
  <si>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</si>
  <si>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</si>
  <si>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</si>
  <si>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</si>
  <si>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</si>
  <si>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</si>
  <si>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</si>
  <si>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</si>
  <si>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</si>
  <si>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</si>
  <si>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</si>
  <si>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</si>
  <si>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</si>
  <si>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</si>
  <si>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</si>
  <si>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</si>
  <si>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</si>
  <si>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</si>
  <si>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</si>
  <si>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</si>
  <si>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</si>
  <si>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</si>
  <si>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</si>
  <si>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</si>
  <si>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</si>
  <si>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</si>
  <si>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</si>
  <si>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</si>
  <si>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</si>
  <si>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</si>
  <si>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</si>
  <si>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</si>
  <si>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</si>
  <si>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</si>
  <si>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</si>
  <si>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</si>
  <si>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</si>
  <si>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</si>
  <si>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</si>
  <si>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</si>
  <si>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</si>
  <si>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</si>
  <si>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</si>
  <si>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</si>
  <si>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</si>
  <si>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</si>
  <si>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</si>
  <si>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</si>
  <si>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</si>
  <si>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</si>
  <si>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</si>
  <si>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</si>
  <si>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</si>
  <si>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</si>
  <si>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</si>
  <si>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</si>
  <si>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</si>
  <si>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</si>
  <si>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</si>
  <si>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</si>
  <si>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</si>
  <si>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</si>
  <si>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</si>
  <si>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</si>
  <si>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</si>
  <si>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</si>
  <si>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</si>
  <si>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</si>
  <si>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</si>
  <si>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</si>
  <si>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</si>
  <si>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</si>
  <si>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</si>
  <si>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</si>
  <si>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</si>
  <si>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</si>
  <si>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</si>
  <si>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</si>
  <si>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</si>
  <si>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</si>
  <si>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</si>
  <si>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</si>
  <si>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</si>
  <si>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</si>
  <si>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</si>
  <si>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</si>
  <si>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</si>
  <si>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</si>
  <si>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</si>
  <si>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</si>
  <si>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</si>
  <si>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</si>
  <si>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</si>
  <si>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</si>
  <si>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</si>
  <si>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</si>
  <si>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</si>
  <si>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</si>
  <si>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</si>
  <si>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</si>
  <si>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</si>
  <si>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</si>
  <si>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</si>
  <si>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</si>
  <si>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</si>
  <si>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</si>
  <si>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</si>
  <si>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</si>
  <si>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</si>
  <si>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</si>
  <si>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</si>
  <si>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</si>
  <si>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</si>
  <si>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</si>
  <si>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</si>
  <si>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</si>
  <si>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</si>
  <si>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</si>
  <si>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</si>
  <si>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</si>
  <si>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</si>
  <si>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</si>
  <si>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</si>
  <si>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</si>
  <si>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</si>
  <si>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</si>
  <si>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</si>
  <si>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</si>
  <si>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</si>
  <si>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</si>
  <si>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</si>
  <si>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</si>
  <si>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</si>
  <si>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</si>
  <si>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</si>
  <si>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</si>
  <si>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</si>
  <si>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</si>
  <si>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</si>
  <si>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</si>
  <si>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</si>
  <si>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</si>
  <si>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</si>
  <si>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</si>
  <si>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</si>
  <si>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</si>
  <si>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</si>
  <si>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</si>
  <si>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</si>
  <si>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</si>
  <si>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</si>
  <si>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</si>
  <si>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</si>
  <si>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</si>
  <si>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</si>
  <si>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</si>
  <si>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</si>
  <si>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</si>
  <si>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</si>
  <si>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</si>
  <si>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</si>
  <si>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</si>
  <si>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</si>
  <si>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</si>
  <si>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</si>
  <si>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</si>
  <si>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</si>
  <si>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</si>
  <si>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</si>
  <si>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</si>
  <si>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</si>
  <si>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</si>
  <si>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</si>
  <si>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</si>
  <si>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</si>
  <si>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</si>
  <si>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</si>
  <si>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</si>
  <si>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</si>
  <si>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</si>
  <si>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</si>
  <si>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</si>
  <si>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</si>
  <si>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</si>
  <si>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</si>
  <si>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</si>
  <si>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</si>
  <si>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</si>
  <si>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</si>
  <si>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</si>
  <si>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</si>
  <si>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</si>
  <si>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</si>
  <si>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</si>
  <si>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</si>
  <si>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</si>
  <si>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</si>
  <si>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</si>
  <si>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</si>
  <si>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</si>
  <si>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</si>
  <si>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</si>
  <si>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</si>
  <si>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</si>
  <si>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</si>
  <si>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</si>
  <si>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</si>
  <si>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</si>
  <si>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</si>
  <si>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</si>
  <si>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</si>
  <si>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</si>
  <si>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</si>
  <si>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</si>
  <si>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</si>
  <si>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</si>
  <si>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</si>
  <si>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</si>
  <si>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</si>
  <si>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</si>
  <si>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</si>
  <si>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</si>
  <si>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</si>
  <si>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</si>
  <si>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</si>
  <si>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</si>
  <si>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</si>
  <si>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</si>
  <si>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</si>
  <si>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</si>
  <si>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</si>
  <si>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</si>
  <si>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</si>
  <si>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</si>
  <si>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</si>
  <si>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</si>
  <si>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</si>
  <si>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</si>
  <si>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</si>
  <si>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</si>
  <si>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</si>
  <si>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</si>
  <si>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</si>
  <si>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</si>
  <si>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</si>
  <si>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</si>
  <si>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</si>
  <si>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</si>
  <si>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</si>
  <si>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</si>
  <si>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</si>
  <si>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</si>
  <si>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</si>
  <si>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</si>
  <si>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</si>
  <si>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</si>
  <si>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</si>
  <si>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</si>
  <si>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</si>
  <si>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</si>
  <si>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</si>
  <si>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</si>
  <si>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</si>
  <si>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</si>
  <si>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</si>
  <si>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</si>
  <si>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</si>
  <si>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</si>
  <si>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</si>
  <si>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</si>
  <si>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</si>
  <si>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</si>
  <si>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</si>
  <si>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</si>
  <si>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</si>
  <si>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</si>
  <si>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</si>
  <si>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</si>
  <si>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</si>
  <si>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</si>
  <si>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</si>
  <si>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</si>
  <si>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</si>
  <si>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</si>
  <si>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</si>
  <si>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</si>
  <si>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</si>
  <si>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</si>
  <si>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</si>
  <si>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</si>
  <si>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</si>
  <si>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</si>
  <si>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</si>
  <si>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</si>
  <si>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</si>
  <si>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</si>
  <si>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</si>
  <si>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</si>
  <si>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</si>
  <si>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</si>
  <si>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</si>
  <si>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</si>
  <si>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</si>
  <si>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</si>
  <si>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</si>
  <si>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</si>
  <si>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</si>
  <si>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</si>
  <si>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</si>
  <si>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</si>
  <si>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</si>
  <si>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</si>
  <si>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</si>
  <si>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</si>
  <si>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</si>
  <si>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</si>
  <si>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</si>
  <si>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</si>
  <si>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</si>
  <si>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</si>
  <si>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</si>
  <si>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</si>
  <si>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</si>
  <si>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</si>
  <si>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</si>
  <si>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</si>
  <si>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</si>
  <si>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</si>
  <si>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</si>
  <si>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</si>
  <si>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</si>
  <si>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</si>
  <si>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</si>
  <si>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</si>
  <si>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</si>
  <si>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</si>
  <si>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</si>
  <si>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</si>
  <si>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</si>
  <si>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</si>
  <si>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</si>
  <si>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</si>
  <si>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</si>
  <si>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</si>
  <si>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</si>
  <si>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</si>
  <si>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</si>
  <si>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</si>
  <si>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</si>
  <si>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</si>
  <si>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</si>
  <si>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</si>
  <si>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</si>
  <si>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</si>
  <si>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</si>
  <si>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</si>
  <si>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</si>
  <si>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</si>
  <si>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</si>
  <si>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</si>
  <si>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</si>
  <si>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</si>
  <si>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</si>
  <si>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</si>
  <si>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</si>
  <si>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</si>
  <si>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</si>
  <si>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</si>
  <si>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</si>
  <si>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</si>
  <si>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</si>
  <si>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</si>
  <si>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</si>
  <si>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</si>
  <si>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</si>
  <si>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</si>
  <si>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</si>
  <si>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</si>
  <si>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</si>
  <si>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</si>
  <si>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</si>
  <si>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</si>
  <si>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</si>
  <si>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</si>
  <si>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</si>
  <si>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</si>
  <si>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</si>
  <si>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</si>
  <si>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</si>
  <si>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</si>
  <si>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</si>
  <si>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</si>
  <si>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</si>
  <si>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</si>
  <si>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</si>
  <si>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</si>
  <si>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</si>
  <si>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</si>
  <si>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</si>
  <si>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</si>
  <si>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</si>
  <si>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</si>
  <si>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</si>
  <si>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</si>
  <si>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</si>
  <si>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</si>
  <si>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</si>
  <si>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</si>
  <si>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</si>
  <si>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</si>
  <si>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</si>
  <si>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</si>
  <si>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</si>
  <si>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</si>
  <si>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</si>
  <si>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</si>
  <si>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</si>
  <si>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</si>
  <si>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</si>
  <si>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</si>
  <si>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</si>
  <si>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</si>
  <si>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</si>
  <si>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</si>
  <si>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</si>
  <si>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</si>
  <si>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</si>
  <si>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</si>
  <si>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</si>
  <si>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</si>
  <si>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</si>
  <si>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</si>
  <si>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</si>
  <si>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</si>
  <si>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</si>
  <si>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</si>
  <si>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</si>
  <si>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</si>
  <si>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</si>
  <si>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</si>
  <si>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</si>
  <si>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</si>
  <si>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</si>
  <si>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</si>
  <si>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</si>
  <si>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</si>
  <si>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</si>
  <si>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</si>
  <si>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</si>
  <si>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</si>
  <si>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</si>
  <si>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</si>
  <si>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</si>
  <si>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</si>
  <si>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</si>
  <si>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</si>
  <si>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</si>
  <si>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</si>
  <si>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</si>
  <si>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</si>
  <si>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</si>
  <si>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</si>
  <si>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</si>
  <si>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</si>
  <si>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</si>
  <si>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</si>
  <si>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</si>
  <si>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</si>
  <si>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</si>
  <si>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</si>
  <si>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</si>
  <si>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</si>
  <si>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</si>
  <si>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</si>
  <si>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</si>
  <si>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</si>
  <si>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</si>
  <si>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</si>
  <si>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</si>
  <si>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</si>
  <si>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</si>
  <si>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</si>
  <si>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</si>
  <si>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</si>
  <si>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</si>
  <si>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</si>
  <si>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</si>
  <si>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</si>
  <si>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</si>
  <si>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</si>
  <si>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</si>
  <si>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</si>
  <si>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</si>
  <si>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</si>
  <si>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</si>
  <si>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</si>
  <si>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</si>
  <si>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</si>
  <si>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</si>
  <si>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</si>
  <si>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</si>
  <si>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</si>
  <si>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</si>
  <si>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</si>
  <si>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</si>
  <si>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</si>
  <si>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</si>
  <si>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</si>
  <si>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</si>
  <si>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</si>
  <si>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</si>
  <si>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</si>
  <si>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</si>
  <si>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</si>
  <si>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</si>
  <si>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</si>
  <si>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</si>
  <si>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</si>
  <si>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</si>
  <si>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</si>
  <si>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</si>
  <si>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</si>
  <si>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</si>
  <si>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</si>
  <si>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</si>
  <si>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</si>
  <si>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</si>
  <si>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</si>
  <si>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</si>
  <si>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</si>
  <si>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</si>
  <si>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</si>
  <si>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</si>
  <si>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</si>
  <si>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</si>
  <si>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</si>
  <si>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</si>
  <si>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</si>
  <si>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</si>
  <si>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</si>
  <si>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</si>
  <si>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</si>
  <si>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</si>
  <si>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</si>
  <si>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</si>
  <si>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</si>
  <si>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</si>
  <si>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</si>
  <si>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</si>
  <si>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</si>
  <si>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</si>
  <si>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</si>
  <si>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</si>
  <si>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</si>
  <si>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</si>
  <si>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</si>
  <si>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</si>
  <si>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</si>
  <si>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</si>
  <si>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</si>
  <si>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</si>
  <si>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</si>
  <si>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</si>
  <si>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</si>
  <si>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</si>
  <si>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</si>
  <si>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</si>
  <si>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</si>
  <si>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</si>
  <si>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</si>
  <si>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</si>
  <si>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</si>
  <si>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</si>
  <si>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</si>
  <si>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</si>
  <si>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</si>
  <si>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</si>
  <si>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</si>
  <si>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</si>
  <si>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</si>
  <si>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</si>
  <si>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</si>
  <si>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</si>
  <si>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</si>
  <si>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</si>
  <si>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</si>
  <si>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</si>
  <si>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</si>
  <si>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</si>
  <si>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</si>
  <si>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</si>
  <si>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</si>
  <si>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</si>
  <si>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</si>
  <si>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</si>
  <si>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</si>
  <si>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</si>
  <si>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</si>
  <si>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</si>
  <si>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</si>
  <si>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</si>
  <si>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</si>
  <si>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</si>
  <si>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</si>
  <si>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</si>
  <si>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</si>
  <si>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</si>
  <si>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</si>
  <si>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</si>
  <si>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</si>
  <si>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</si>
  <si>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</si>
  <si>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</si>
  <si>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</si>
  <si>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</si>
  <si>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</si>
  <si>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</si>
  <si>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</si>
  <si>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</si>
  <si>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</si>
  <si>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</si>
  <si>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</si>
  <si>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</si>
  <si>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</si>
  <si>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</si>
  <si>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</si>
  <si>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</si>
  <si>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</si>
  <si>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</si>
  <si>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</si>
  <si>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</si>
  <si>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</si>
  <si>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</si>
  <si>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</si>
  <si>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</si>
  <si>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</si>
  <si>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</si>
  <si>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</si>
  <si>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</si>
  <si>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</si>
  <si>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</si>
  <si>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</si>
  <si>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</si>
  <si>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</si>
  <si>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</si>
  <si>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</si>
  <si>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</si>
  <si>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</si>
  <si>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</si>
  <si>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</si>
  <si>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</si>
  <si>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</si>
  <si>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</si>
  <si>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</si>
  <si>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</si>
  <si>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</si>
  <si>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</si>
  <si>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</si>
  <si>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</si>
  <si>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</si>
  <si>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</si>
  <si>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</si>
  <si>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</si>
  <si>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</si>
  <si>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</si>
  <si>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</si>
  <si>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</si>
  <si>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</si>
  <si>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</si>
  <si>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</si>
  <si>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</si>
  <si>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</si>
  <si>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</si>
  <si>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</si>
  <si>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</si>
  <si>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</si>
  <si>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</si>
  <si>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</si>
  <si>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</si>
  <si>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</si>
  <si>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</si>
  <si>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</si>
  <si>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</si>
  <si>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</si>
  <si>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</si>
  <si>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</si>
  <si>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</si>
  <si>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</si>
  <si>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</si>
  <si>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</si>
  <si>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</si>
  <si>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</si>
  <si>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</si>
  <si>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</si>
  <si>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</si>
  <si>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</si>
  <si>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</si>
  <si>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</si>
  <si>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</si>
  <si>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</si>
  <si>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</si>
  <si>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</si>
  <si>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</si>
  <si>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</si>
  <si>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</si>
  <si>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</si>
  <si>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</si>
  <si>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</si>
  <si>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</si>
  <si>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</si>
  <si>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</si>
  <si>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</si>
  <si>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</si>
  <si>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</si>
  <si>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</si>
  <si>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</si>
  <si>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</si>
  <si>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</si>
  <si>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</si>
  <si>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</si>
  <si>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</si>
  <si>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</si>
  <si>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</si>
  <si>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</si>
  <si>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</si>
  <si>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</si>
  <si>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</si>
  <si>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</si>
  <si>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</si>
  <si>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</si>
  <si>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</si>
  <si>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</si>
  <si>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</si>
  <si>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</si>
  <si>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</si>
  <si>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</si>
  <si>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</si>
  <si>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</si>
  <si>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</si>
  <si>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</si>
  <si>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</si>
  <si>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</si>
  <si>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</si>
  <si>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</si>
  <si>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</si>
  <si>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</si>
  <si>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</si>
  <si>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</si>
  <si>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</si>
  <si>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</si>
  <si>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</si>
  <si>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</si>
  <si>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</si>
  <si>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</si>
  <si>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</si>
  <si>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</si>
  <si>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</si>
  <si>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</si>
  <si>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</si>
  <si>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</si>
  <si>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</si>
  <si>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</si>
  <si>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</si>
  <si>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</si>
  <si>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</si>
  <si>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</si>
  <si>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</si>
  <si>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</si>
  <si>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</si>
  <si>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</si>
  <si>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</si>
  <si>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</si>
  <si>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</si>
  <si>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</si>
  <si>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</si>
  <si>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</si>
  <si>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</si>
  <si>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</si>
  <si>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</si>
  <si>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</si>
  <si>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</si>
  <si>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</si>
  <si>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</si>
  <si>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</si>
  <si>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</si>
  <si>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</si>
  <si>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</si>
  <si>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</si>
  <si>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</si>
  <si>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</si>
  <si>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</si>
  <si>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</si>
  <si>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</si>
  <si>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</si>
  <si>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</si>
  <si>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</si>
  <si>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</si>
  <si>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</si>
  <si>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</si>
  <si>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</si>
  <si>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</si>
  <si>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</si>
  <si>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</si>
  <si>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</si>
  <si>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</si>
  <si>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</si>
  <si>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</si>
  <si>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</si>
  <si>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</si>
  <si>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</si>
  <si>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</si>
  <si>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</si>
  <si>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</si>
  <si>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</si>
  <si>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</si>
  <si>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</si>
  <si>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</si>
  <si>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</si>
  <si>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</si>
  <si>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</si>
  <si>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</si>
  <si>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</si>
  <si>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</si>
  <si>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</si>
  <si>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</si>
  <si>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</si>
  <si>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</si>
  <si>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</si>
  <si>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</si>
  <si>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</si>
  <si>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</si>
  <si>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</si>
  <si>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</si>
  <si>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</si>
  <si>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</si>
  <si>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</si>
  <si>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市场价格</t>
  </si>
  <si>
    <t>企业</t>
  </si>
  <si>
    <t>商业</t>
  </si>
  <si>
    <t>Ⅰ—02</t>
  </si>
  <si>
    <t>地上</t>
  </si>
  <si>
    <t>地下</t>
  </si>
  <si>
    <t>车库</t>
  </si>
  <si>
    <t>地上办公</t>
  </si>
  <si>
    <t>地上办公</t>
    <phoneticPr fontId="7" type="noConversion"/>
  </si>
  <si>
    <t>地下办公</t>
    <phoneticPr fontId="7" type="noConversion"/>
  </si>
  <si>
    <t>地下车库</t>
    <phoneticPr fontId="7" type="noConversion"/>
  </si>
  <si>
    <t>估价对象容积率</t>
  </si>
  <si>
    <t>不临58条商业街</t>
  </si>
  <si>
    <t>有</t>
  </si>
  <si>
    <t>无</t>
  </si>
  <si>
    <t>按公示增长率计算</t>
  </si>
  <si>
    <t>容积率修正</t>
  </si>
  <si>
    <t>较好</t>
  </si>
  <si>
    <t>好</t>
  </si>
  <si>
    <t>一般</t>
  </si>
  <si>
    <t>押一</t>
  </si>
  <si>
    <t>土地（套用方法）</t>
  </si>
  <si>
    <t>钢混</t>
  </si>
  <si>
    <t>商业</t>
    <phoneticPr fontId="7" type="noConversion"/>
  </si>
  <si>
    <t>不动产收益法-商业</t>
  </si>
  <si>
    <t>不动产收益法-办公</t>
  </si>
  <si>
    <t>土地</t>
  </si>
  <si>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</si>
  <si>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</si>
  <si>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t>基准地价-商业</t>
  </si>
  <si>
    <t>否</t>
  </si>
  <si>
    <t>地下办公</t>
  </si>
  <si>
    <t>批发零售用地</t>
  </si>
  <si>
    <t>地下车库</t>
    <phoneticPr fontId="228" type="noConversion"/>
  </si>
  <si>
    <t>(万元）</t>
  </si>
  <si>
    <r>
      <t>（元/</t>
    </r>
    <r>
      <rPr>
        <b/>
        <sz val="12"/>
        <color rgb="FF000000"/>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</si>
  <si>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</si>
  <si>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t>熟地总价</t>
  </si>
  <si>
    <r>
      <t>（元/</t>
    </r>
    <r>
      <rPr>
        <b/>
        <sz val="12"/>
        <color theme="1"/>
        <rFont val="华文仿宋"/>
        <family val="3"/>
        <charset val="134"/>
      </rPr>
      <t>㎡</t>
    </r>
    <r>
      <rPr>
        <b/>
        <sz val="12"/>
        <color theme="1"/>
        <rFont val="仿宋_GB2312"/>
        <family val="3"/>
        <charset val="134"/>
      </rPr>
      <t>）</t>
    </r>
    <phoneticPr fontId="228" type="noConversion"/>
  </si>
  <si>
    <r>
      <t>（</t>
    </r>
    <r>
      <rPr>
        <b/>
        <sz val="12"/>
        <color theme="1"/>
        <rFont val="华文仿宋"/>
        <family val="3"/>
        <charset val="134"/>
      </rPr>
      <t>㎡</t>
    </r>
    <r>
      <rPr>
        <b/>
        <sz val="12"/>
        <color theme="1"/>
        <rFont val="仿宋_GB2312"/>
        <family val="3"/>
        <charset val="134"/>
      </rPr>
      <t>）</t>
    </r>
  </si>
  <si>
    <t>单价</t>
  </si>
  <si>
    <t>面积</t>
  </si>
  <si>
    <t>地面熟地单价</t>
  </si>
  <si>
    <t>出让建筑面积</t>
  </si>
  <si>
    <t>用途</t>
  </si>
  <si>
    <t>部位</t>
  </si>
  <si>
    <t>政府土地出让收益总价（元/㎡）</t>
    <phoneticPr fontId="228" type="noConversion"/>
  </si>
  <si>
    <t>政府土地出让收益楼面单价</t>
    <phoneticPr fontId="228" type="noConversion"/>
  </si>
  <si>
    <t>楼面熟地</t>
  </si>
  <si>
    <t>出让建筑</t>
  </si>
  <si>
    <r>
      <t>Ã</t>
    </r>
    <r>
      <rPr>
        <b/>
        <sz val="14"/>
        <color theme="1"/>
        <rFont val="仿宋_GB2312"/>
        <family val="3"/>
        <charset val="134"/>
      </rPr>
      <t>政府土地出让收益</t>
    </r>
  </si>
  <si>
    <r>
      <t>Ã</t>
    </r>
    <r>
      <rPr>
        <b/>
        <sz val="14"/>
        <color theme="1"/>
        <rFont val="仿宋_GB2312"/>
        <family val="3"/>
        <charset val="134"/>
      </rPr>
      <t>熟地价</t>
    </r>
  </si>
  <si>
    <t>剩余法</t>
    <phoneticPr fontId="228" type="noConversion"/>
  </si>
  <si>
    <t>基准地价法</t>
    <phoneticPr fontId="228" type="noConversion"/>
  </si>
  <si>
    <t>剩余法</t>
    <phoneticPr fontId="228" type="noConversion"/>
  </si>
  <si>
    <t>基准地价法</t>
    <phoneticPr fontId="228" type="noConversion"/>
  </si>
  <si>
    <t>地面熟地单价（元/㎡）</t>
    <phoneticPr fontId="228" type="noConversion"/>
  </si>
  <si>
    <t>政府土地出让收益总价（元/㎡）</t>
    <phoneticPr fontId="228" type="noConversion"/>
  </si>
  <si>
    <t>政府土地出让收益楼面单价（元/㎡）</t>
    <phoneticPr fontId="228" type="noConversion"/>
  </si>
  <si>
    <t>楼面熟地总价（元/㎡）</t>
    <phoneticPr fontId="228" type="noConversion"/>
  </si>
  <si>
    <t>权重楼面熟地单价（元/㎡）</t>
    <phoneticPr fontId="228" type="noConversion"/>
  </si>
  <si>
    <t>权重</t>
    <phoneticPr fontId="228" type="noConversion"/>
  </si>
  <si>
    <t>楼面熟地单价</t>
    <phoneticPr fontId="286" type="noConversion"/>
  </si>
  <si>
    <t>方法</t>
    <phoneticPr fontId="228" type="noConversion"/>
  </si>
  <si>
    <t>用途</t>
    <phoneticPr fontId="228" type="noConversion"/>
  </si>
  <si>
    <t>合计</t>
    <phoneticPr fontId="228" type="noConversion"/>
  </si>
  <si>
    <t>小计</t>
    <phoneticPr fontId="228" type="noConversion"/>
  </si>
  <si>
    <t>地下车库</t>
    <phoneticPr fontId="228" type="noConversion"/>
  </si>
  <si>
    <t>地下</t>
    <phoneticPr fontId="228" type="noConversion"/>
  </si>
  <si>
    <t>=</t>
    <phoneticPr fontId="228" type="noConversion"/>
  </si>
  <si>
    <t>-</t>
    <phoneticPr fontId="228" type="noConversion"/>
  </si>
  <si>
    <t>地上</t>
    <phoneticPr fontId="228" type="noConversion"/>
  </si>
  <si>
    <t>变更</t>
    <phoneticPr fontId="228" type="noConversion"/>
  </si>
  <si>
    <t>变更前</t>
    <phoneticPr fontId="228" type="noConversion"/>
  </si>
  <si>
    <t>变更后</t>
    <phoneticPr fontId="228" type="noConversion"/>
  </si>
  <si>
    <t>地上办公</t>
    <phoneticPr fontId="228" type="noConversion"/>
  </si>
  <si>
    <t>地上商业</t>
    <phoneticPr fontId="228" type="noConversion"/>
  </si>
  <si>
    <t>地下办公</t>
    <phoneticPr fontId="228" type="noConversion"/>
  </si>
  <si>
    <t>不变</t>
    <phoneticPr fontId="228" type="noConversion"/>
  </si>
  <si>
    <t>不变</t>
    <phoneticPr fontId="228" type="noConversion"/>
  </si>
  <si>
    <t>减少</t>
    <phoneticPr fontId="228" type="noConversion"/>
  </si>
  <si>
    <t>增加</t>
    <phoneticPr fontId="228" type="noConversion"/>
  </si>
  <si>
    <t>地上商业（40年）</t>
    <phoneticPr fontId="228" type="noConversion"/>
  </si>
  <si>
    <t>地下办公</t>
    <phoneticPr fontId="228" type="noConversion"/>
  </si>
  <si>
    <t>已部分缴纳</t>
  </si>
  <si>
    <t>——</t>
    <phoneticPr fontId="3" type="noConversion"/>
  </si>
  <si>
    <r>
      <rPr>
        <b/>
        <sz val="10"/>
        <rFont val="仿宋_GB2312"/>
        <family val="3"/>
        <charset val="134"/>
      </rPr>
      <t>应纳增值税税额</t>
    </r>
    <phoneticPr fontId="3" type="noConversion"/>
  </si>
  <si>
    <t>5.</t>
    <phoneticPr fontId="3" type="noConversion"/>
  </si>
  <si>
    <r>
      <rPr>
        <b/>
        <sz val="10"/>
        <rFont val="仿宋_GB2312"/>
        <family val="3"/>
        <charset val="134"/>
      </rPr>
      <t>增值额与扣除项比率</t>
    </r>
    <phoneticPr fontId="3" type="noConversion"/>
  </si>
  <si>
    <t>4.</t>
    <phoneticPr fontId="3" type="noConversion"/>
  </si>
  <si>
    <r>
      <rPr>
        <b/>
        <sz val="10"/>
        <rFont val="仿宋_GB2312"/>
        <family val="3"/>
        <charset val="134"/>
      </rPr>
      <t>增值额</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</si>
  <si>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 type="noConversion"/>
  </si>
  <si>
    <r>
      <rPr>
        <sz val="10"/>
        <rFont val="仿宋_GB2312"/>
        <family val="3"/>
        <charset val="134"/>
      </rPr>
      <t>加计扣除金额</t>
    </r>
    <phoneticPr fontId="3" type="noConversion"/>
  </si>
  <si>
    <t>不含增值税，仅附加税</t>
    <phoneticPr fontId="3" type="noConversion"/>
  </si>
  <si>
    <r>
      <rPr>
        <sz val="10"/>
        <rFont val="仿宋_GB2312"/>
        <family val="3"/>
        <charset val="134"/>
      </rPr>
      <t>转让税金支出</t>
    </r>
    <phoneticPr fontId="3" type="noConversion"/>
  </si>
  <si>
    <t>（5）</t>
    <phoneticPr fontId="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</si>
  <si>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 type="noConversion"/>
  </si>
  <si>
    <r>
      <rPr>
        <sz val="10"/>
        <rFont val="仿宋_GB2312"/>
        <family val="3"/>
        <charset val="134"/>
      </rPr>
      <t>开发费用扣除</t>
    </r>
    <phoneticPr fontId="3" type="noConversion"/>
  </si>
  <si>
    <t>（4）</t>
    <phoneticPr fontId="3" type="noConversion"/>
  </si>
  <si>
    <r>
      <rPr>
        <sz val="10"/>
        <color indexed="8"/>
        <rFont val="仿宋_GB2312"/>
        <family val="3"/>
        <charset val="134"/>
      </rPr>
      <t>包括前期工程费、建筑安装工程费、基础设施费和公共配套费等</t>
    </r>
    <phoneticPr fontId="3" type="noConversion"/>
  </si>
  <si>
    <r>
      <rPr>
        <sz val="10"/>
        <rFont val="仿宋_GB2312"/>
        <family val="3"/>
        <charset val="134"/>
      </rPr>
      <t>建造成本</t>
    </r>
    <phoneticPr fontId="3" type="noConversion"/>
  </si>
  <si>
    <t>（3）</t>
    <phoneticPr fontId="3" type="noConversion"/>
  </si>
  <si>
    <r>
      <rPr>
        <sz val="10"/>
        <rFont val="仿宋_GB2312"/>
        <family val="3"/>
        <charset val="134"/>
      </rPr>
      <t>土地开发费</t>
    </r>
    <phoneticPr fontId="3" type="noConversion"/>
  </si>
  <si>
    <r>
      <rPr>
        <sz val="10"/>
        <color indexed="8"/>
        <rFont val="仿宋_GB2312"/>
        <family val="3"/>
        <charset val="134"/>
      </rPr>
      <t>契税及印花税</t>
    </r>
    <phoneticPr fontId="3" type="noConversion"/>
  </si>
  <si>
    <r>
      <rPr>
        <sz val="10"/>
        <rFont val="仿宋_GB2312"/>
        <family val="3"/>
        <charset val="134"/>
      </rPr>
      <t>相关税费</t>
    </r>
    <phoneticPr fontId="3" type="noConversion"/>
  </si>
  <si>
    <r>
      <rPr>
        <sz val="9"/>
        <color indexed="8"/>
        <rFont val="仿宋_GB2312"/>
        <family val="3"/>
        <charset val="134"/>
      </rPr>
      <t>出让价款内涵：</t>
    </r>
    <phoneticPr fontId="3" type="noConversion"/>
  </si>
  <si>
    <r>
      <rPr>
        <sz val="10"/>
        <color indexed="8"/>
        <rFont val="仿宋_GB2312"/>
        <family val="3"/>
        <charset val="134"/>
      </rPr>
      <t>依据出让合同</t>
    </r>
    <phoneticPr fontId="3" type="noConversion"/>
  </si>
  <si>
    <r>
      <rPr>
        <sz val="10"/>
        <rFont val="仿宋_GB2312"/>
        <family val="3"/>
        <charset val="134"/>
      </rPr>
      <t>土地取得费用</t>
    </r>
    <phoneticPr fontId="3" type="noConversion"/>
  </si>
  <si>
    <r>
      <rPr>
        <sz val="10"/>
        <rFont val="仿宋_GB2312"/>
        <family val="3"/>
        <charset val="134"/>
      </rPr>
      <t>土地取得成本</t>
    </r>
    <phoneticPr fontId="3" type="noConversion"/>
  </si>
  <si>
    <r>
      <rPr>
        <b/>
        <sz val="10"/>
        <color indexed="8"/>
        <rFont val="仿宋_GB2312"/>
        <family val="3"/>
        <charset val="134"/>
      </rPr>
      <t>扣除项合计</t>
    </r>
    <phoneticPr fontId="3" type="noConversion"/>
  </si>
  <si>
    <r>
      <rPr>
        <b/>
        <sz val="10"/>
        <rFont val="仿宋_GB2312"/>
        <family val="3"/>
        <charset val="134"/>
      </rPr>
      <t>转让收入</t>
    </r>
    <phoneticPr fontId="3" type="noConversion"/>
  </si>
  <si>
    <r>
      <rPr>
        <sz val="10"/>
        <color indexed="8"/>
        <rFont val="仿宋_GB2312"/>
        <family val="3"/>
        <charset val="134"/>
      </rPr>
      <t>备注</t>
    </r>
    <phoneticPr fontId="3" type="noConversion"/>
  </si>
  <si>
    <r>
      <rPr>
        <b/>
        <sz val="10"/>
        <rFont val="仿宋_GB2312"/>
        <family val="3"/>
        <charset val="134"/>
      </rPr>
      <t>系数</t>
    </r>
    <phoneticPr fontId="3" type="noConversion"/>
  </si>
  <si>
    <r>
      <rPr>
        <b/>
        <sz val="10"/>
        <rFont val="仿宋_GB2312"/>
        <family val="3"/>
        <charset val="134"/>
      </rPr>
      <t>项目</t>
    </r>
    <phoneticPr fontId="3" type="noConversion"/>
  </si>
  <si>
    <r>
      <rPr>
        <b/>
        <sz val="10"/>
        <rFont val="仿宋_GB2312"/>
        <family val="3"/>
        <charset val="134"/>
      </rPr>
      <t>土地增值税（自行开发建设）</t>
    </r>
    <phoneticPr fontId="3" type="noConversion"/>
  </si>
  <si>
    <t>——</t>
    <phoneticPr fontId="3" type="noConversion"/>
  </si>
  <si>
    <r>
      <rPr>
        <b/>
        <sz val="10"/>
        <rFont val="仿宋_GB2312"/>
        <family val="3"/>
        <charset val="134"/>
      </rPr>
      <t>应纳增值税税额</t>
    </r>
    <phoneticPr fontId="3" type="noConversion"/>
  </si>
  <si>
    <t>5.</t>
    <phoneticPr fontId="3" type="noConversion"/>
  </si>
  <si>
    <r>
      <rPr>
        <b/>
        <sz val="10"/>
        <rFont val="仿宋_GB2312"/>
        <family val="3"/>
        <charset val="134"/>
      </rPr>
      <t>增值额与扣除项比率</t>
    </r>
    <phoneticPr fontId="3" type="noConversion"/>
  </si>
  <si>
    <t>4.</t>
    <phoneticPr fontId="3" type="noConversion"/>
  </si>
  <si>
    <r>
      <rPr>
        <b/>
        <sz val="10"/>
        <rFont val="仿宋_GB2312"/>
        <family val="3"/>
        <charset val="134"/>
      </rPr>
      <t>增值额</t>
    </r>
    <phoneticPr fontId="3" type="noConversion"/>
  </si>
  <si>
    <t>3.</t>
    <phoneticPr fontId="3" type="noConversion"/>
  </si>
  <si>
    <t>不含增值税，仅附加税</t>
    <phoneticPr fontId="3" type="noConversion"/>
  </si>
  <si>
    <r>
      <rPr>
        <sz val="10"/>
        <rFont val="仿宋_GB2312"/>
        <family val="3"/>
        <charset val="134"/>
      </rPr>
      <t>转让税金支出</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</si>
  <si>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</si>
  <si>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仿宋_GB2312"/>
        <family val="3"/>
        <charset val="134"/>
      </rPr>
      <t>含契税及印花税</t>
    </r>
    <phoneticPr fontId="3" type="noConversion"/>
  </si>
  <si>
    <r>
      <rPr>
        <sz val="10"/>
        <rFont val="仿宋_GB2312"/>
        <family val="3"/>
        <charset val="134"/>
      </rPr>
      <t>相关税费</t>
    </r>
    <phoneticPr fontId="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</si>
  <si>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 type="noConversion"/>
  </si>
  <si>
    <r>
      <rPr>
        <sz val="10"/>
        <rFont val="仿宋_GB2312"/>
        <family val="3"/>
        <charset val="134"/>
      </rPr>
      <t>加计扣减项</t>
    </r>
    <phoneticPr fontId="3" type="noConversion"/>
  </si>
  <si>
    <r>
      <rPr>
        <sz val="11"/>
        <color indexed="8"/>
        <rFont val="仿宋_GB2312"/>
        <family val="3"/>
        <charset val="134"/>
      </rPr>
      <t>已购年限</t>
    </r>
    <phoneticPr fontId="3" type="noConversion"/>
  </si>
  <si>
    <r>
      <rPr>
        <sz val="11"/>
        <color indexed="8"/>
        <rFont val="仿宋_GB2312"/>
        <family val="3"/>
        <charset val="134"/>
      </rPr>
      <t>原购房价依据</t>
    </r>
    <phoneticPr fontId="3" type="noConversion"/>
  </si>
  <si>
    <r>
      <rPr>
        <sz val="10"/>
        <rFont val="仿宋_GB2312"/>
        <family val="3"/>
        <charset val="134"/>
      </rPr>
      <t>原购房价</t>
    </r>
    <phoneticPr fontId="3" type="noConversion"/>
  </si>
  <si>
    <r>
      <rPr>
        <sz val="10"/>
        <rFont val="仿宋_GB2312"/>
        <family val="3"/>
        <charset val="134"/>
      </rPr>
      <t>原购房价及相关税费</t>
    </r>
    <phoneticPr fontId="3" type="noConversion"/>
  </si>
  <si>
    <r>
      <rPr>
        <b/>
        <sz val="10"/>
        <rFont val="仿宋_GB2312"/>
        <family val="3"/>
        <charset val="134"/>
      </rPr>
      <t>系数</t>
    </r>
    <phoneticPr fontId="3" type="noConversion"/>
  </si>
  <si>
    <r>
      <rPr>
        <b/>
        <sz val="10"/>
        <rFont val="仿宋_GB2312"/>
        <family val="3"/>
        <charset val="134"/>
      </rPr>
      <t>项目</t>
    </r>
    <phoneticPr fontId="3" type="noConversion"/>
  </si>
  <si>
    <r>
      <rPr>
        <b/>
        <sz val="10"/>
        <rFont val="仿宋_GB2312"/>
        <family val="3"/>
        <charset val="134"/>
      </rPr>
      <t>土地增值税（转让取得）</t>
    </r>
    <phoneticPr fontId="3" type="noConversion"/>
  </si>
  <si>
    <r>
      <rPr>
        <b/>
        <sz val="10"/>
        <rFont val="仿宋_GB2312"/>
        <family val="3"/>
        <charset val="134"/>
      </rPr>
      <t>纳税额</t>
    </r>
    <phoneticPr fontId="3" type="noConversion"/>
  </si>
  <si>
    <r>
      <rPr>
        <b/>
        <sz val="10"/>
        <rFont val="仿宋_GB2312"/>
        <family val="3"/>
        <charset val="134"/>
      </rPr>
      <t>纳税基数</t>
    </r>
    <phoneticPr fontId="3" type="noConversion"/>
  </si>
  <si>
    <r>
      <rPr>
        <b/>
        <sz val="10"/>
        <rFont val="仿宋_GB2312"/>
        <family val="3"/>
        <charset val="134"/>
      </rPr>
      <t>原购房价</t>
    </r>
    <r>
      <rPr>
        <b/>
        <sz val="10"/>
        <rFont val="Arial"/>
        <family val="2"/>
      </rPr>
      <t>/</t>
    </r>
    <r>
      <rPr>
        <b/>
        <sz val="10"/>
        <rFont val="仿宋_GB2312"/>
        <family val="3"/>
        <charset val="134"/>
      </rPr>
      <t>作价</t>
    </r>
    <phoneticPr fontId="3" type="noConversion"/>
  </si>
  <si>
    <r>
      <rPr>
        <sz val="10"/>
        <rFont val="仿宋_GB2312"/>
        <family val="3"/>
        <charset val="134"/>
      </rPr>
      <t>价外费用</t>
    </r>
    <phoneticPr fontId="3" type="noConversion"/>
  </si>
  <si>
    <r>
      <rPr>
        <sz val="10"/>
        <rFont val="仿宋_GB2312"/>
        <family val="3"/>
        <charset val="134"/>
      </rPr>
      <t>全部价款</t>
    </r>
    <phoneticPr fontId="3" type="noConversion"/>
  </si>
  <si>
    <r>
      <rPr>
        <sz val="10"/>
        <color indexed="8"/>
        <rFont val="仿宋_GB2312"/>
        <family val="3"/>
        <charset val="134"/>
      </rPr>
      <t>抵押净值单价</t>
    </r>
    <phoneticPr fontId="3" type="noConversion"/>
  </si>
  <si>
    <r>
      <rPr>
        <b/>
        <sz val="10"/>
        <rFont val="仿宋_GB2312"/>
        <family val="3"/>
        <charset val="134"/>
      </rPr>
      <t>销售额</t>
    </r>
    <phoneticPr fontId="3" type="noConversion"/>
  </si>
  <si>
    <r>
      <rPr>
        <sz val="10"/>
        <color indexed="8"/>
        <rFont val="仿宋_GB2312"/>
        <family val="3"/>
        <charset val="134"/>
      </rPr>
      <t>抵押净值</t>
    </r>
    <phoneticPr fontId="3" type="noConversion"/>
  </si>
  <si>
    <r>
      <rPr>
        <b/>
        <sz val="10"/>
        <color indexed="8"/>
        <rFont val="仿宋_GB2312"/>
        <family val="3"/>
        <charset val="134"/>
      </rPr>
      <t>销售不动产增值税及附加计算</t>
    </r>
    <phoneticPr fontId="3" type="noConversion"/>
  </si>
  <si>
    <r>
      <rPr>
        <sz val="10"/>
        <color indexed="10"/>
        <rFont val="仿宋_GB2312"/>
        <family val="3"/>
        <charset val="134"/>
      </rPr>
      <t>属于免缴时请录入面缴类别</t>
    </r>
    <phoneticPr fontId="3" type="noConversion"/>
  </si>
  <si>
    <r>
      <t>4.</t>
    </r>
    <r>
      <rPr>
        <sz val="10"/>
        <color indexed="8"/>
        <rFont val="仿宋_GB2312"/>
        <family val="3"/>
        <charset val="134"/>
      </rPr>
      <t>个人所得税</t>
    </r>
    <phoneticPr fontId="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</si>
  <si>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3"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</si>
  <si>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</si>
  <si>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3" type="noConversion"/>
  </si>
  <si>
    <r>
      <rPr>
        <sz val="10"/>
        <color indexed="8"/>
        <rFont val="仿宋_GB2312"/>
        <family val="3"/>
        <charset val="134"/>
      </rPr>
      <t>免征</t>
    </r>
    <phoneticPr fontId="3" type="noConversion"/>
  </si>
  <si>
    <r>
      <rPr>
        <sz val="10"/>
        <color indexed="8"/>
        <rFont val="仿宋_GB2312"/>
        <family val="3"/>
        <charset val="134"/>
      </rPr>
      <t>个人住宅</t>
    </r>
    <phoneticPr fontId="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</si>
  <si>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3" type="noConversion"/>
  </si>
  <si>
    <r>
      <rPr>
        <sz val="10"/>
        <color indexed="8"/>
        <rFont val="仿宋_GB2312"/>
        <family val="3"/>
        <charset val="134"/>
      </rPr>
      <t>土地增值税</t>
    </r>
    <phoneticPr fontId="3" type="noConversion"/>
  </si>
  <si>
    <r>
      <t>3.</t>
    </r>
    <r>
      <rPr>
        <sz val="10"/>
        <color indexed="8"/>
        <rFont val="仿宋_GB2312"/>
        <family val="3"/>
        <charset val="134"/>
      </rPr>
      <t>土地增值税</t>
    </r>
    <phoneticPr fontId="3" type="noConversion"/>
  </si>
  <si>
    <r>
      <rPr>
        <sz val="10"/>
        <color indexed="8"/>
        <rFont val="仿宋_GB2312"/>
        <family val="3"/>
        <charset val="134"/>
      </rPr>
      <t>印花税</t>
    </r>
    <phoneticPr fontId="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</si>
  <si>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3" type="noConversion"/>
  </si>
  <si>
    <r>
      <t>2.</t>
    </r>
    <r>
      <rPr>
        <sz val="10"/>
        <color indexed="8"/>
        <rFont val="仿宋_GB2312"/>
        <family val="3"/>
        <charset val="134"/>
      </rPr>
      <t>印花税</t>
    </r>
    <phoneticPr fontId="3" type="noConversion"/>
  </si>
  <si>
    <r>
      <rPr>
        <sz val="10"/>
        <color indexed="8"/>
        <rFont val="仿宋_GB2312"/>
        <family val="3"/>
        <charset val="134"/>
      </rPr>
      <t>增值税及附加</t>
    </r>
    <phoneticPr fontId="3" type="noConversion"/>
  </si>
  <si>
    <r>
      <rPr>
        <sz val="10"/>
        <color indexed="8"/>
        <rFont val="仿宋_GB2312"/>
        <family val="3"/>
        <charset val="134"/>
      </rPr>
      <t>差额计税</t>
    </r>
    <phoneticPr fontId="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</si>
  <si>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</si>
  <si>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3" type="noConversion"/>
  </si>
  <si>
    <r>
      <rPr>
        <sz val="10"/>
        <color indexed="8"/>
        <rFont val="仿宋_GB2312"/>
        <family val="3"/>
        <charset val="134"/>
      </rPr>
      <t>全额计税</t>
    </r>
    <phoneticPr fontId="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</si>
  <si>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3"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</si>
  <si>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3" type="noConversion"/>
  </si>
  <si>
    <r>
      <rPr>
        <b/>
        <sz val="10"/>
        <color indexed="8"/>
        <rFont val="仿宋_GB2312"/>
        <family val="3"/>
        <charset val="134"/>
      </rPr>
      <t>处置时需缴纳的相关税费</t>
    </r>
    <phoneticPr fontId="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</si>
  <si>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3" type="noConversion"/>
  </si>
  <si>
    <t>土地抵押价格</t>
    <phoneticPr fontId="3" type="noConversion"/>
  </si>
  <si>
    <r>
      <rPr>
        <sz val="10"/>
        <color indexed="8"/>
        <rFont val="仿宋_GB2312"/>
        <family val="3"/>
        <charset val="134"/>
      </rPr>
      <t>个体工商户购买的住宅</t>
    </r>
    <phoneticPr fontId="3" type="noConversion"/>
  </si>
  <si>
    <r>
      <rPr>
        <b/>
        <sz val="10"/>
        <color indexed="8"/>
        <rFont val="仿宋_GB2312"/>
        <family val="3"/>
        <charset val="134"/>
      </rPr>
      <t>评估总值</t>
    </r>
    <phoneticPr fontId="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</si>
  <si>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</si>
  <si>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3" type="noConversion"/>
  </si>
  <si>
    <r>
      <t>1.</t>
    </r>
    <r>
      <rPr>
        <sz val="10"/>
        <color indexed="8"/>
        <rFont val="仿宋_GB2312"/>
        <family val="3"/>
        <charset val="134"/>
      </rPr>
      <t>增值税及附加</t>
    </r>
    <phoneticPr fontId="3" type="noConversion"/>
  </si>
  <si>
    <r>
      <rPr>
        <b/>
        <sz val="10"/>
        <color indexed="8"/>
        <rFont val="仿宋_GB2312"/>
        <family val="3"/>
        <charset val="134"/>
      </rPr>
      <t>估价对象基本情况</t>
    </r>
    <phoneticPr fontId="3" type="noConversion"/>
  </si>
  <si>
    <r>
      <rPr>
        <b/>
        <sz val="10"/>
        <color indexed="8"/>
        <rFont val="仿宋_GB2312"/>
        <family val="3"/>
        <charset val="134"/>
      </rPr>
      <t>税（费）率</t>
    </r>
    <phoneticPr fontId="3" type="noConversion"/>
  </si>
  <si>
    <r>
      <rPr>
        <sz val="10"/>
        <color indexed="8"/>
        <rFont val="仿宋_GB2312"/>
        <family val="3"/>
        <charset val="134"/>
      </rPr>
      <t>计算方法</t>
    </r>
    <phoneticPr fontId="3" type="noConversion"/>
  </si>
  <si>
    <r>
      <rPr>
        <sz val="10"/>
        <color indexed="8"/>
        <rFont val="仿宋_GB2312"/>
        <family val="3"/>
        <charset val="134"/>
      </rPr>
      <t>金额</t>
    </r>
    <phoneticPr fontId="3" type="noConversion"/>
  </si>
  <si>
    <r>
      <rPr>
        <b/>
        <sz val="10"/>
        <color indexed="8"/>
        <rFont val="仿宋_GB2312"/>
        <family val="3"/>
        <charset val="134"/>
      </rPr>
      <t>税（费）种</t>
    </r>
    <phoneticPr fontId="3" type="noConversion"/>
  </si>
  <si>
    <r>
      <rPr>
        <b/>
        <sz val="10"/>
        <color indexed="8"/>
        <rFont val="仿宋_GB2312"/>
        <family val="3"/>
        <charset val="134"/>
      </rPr>
      <t>处置时需缴纳的相关税费</t>
    </r>
    <phoneticPr fontId="3" type="noConversion"/>
  </si>
  <si>
    <r>
      <rPr>
        <sz val="10"/>
        <color indexed="8"/>
        <rFont val="仿宋_GB2312"/>
        <family val="3"/>
        <charset val="134"/>
      </rPr>
      <t>计算</t>
    </r>
    <phoneticPr fontId="3" type="noConversion"/>
  </si>
  <si>
    <r>
      <rPr>
        <sz val="10"/>
        <color indexed="8"/>
        <rFont val="仿宋_GB2312"/>
        <family val="3"/>
        <charset val="134"/>
      </rPr>
      <t>按评估值的</t>
    </r>
    <phoneticPr fontId="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</si>
  <si>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3" type="noConversion"/>
  </si>
  <si>
    <r>
      <rPr>
        <b/>
        <sz val="14"/>
        <color indexed="10"/>
        <rFont val="仿宋_GB2312"/>
        <family val="3"/>
        <charset val="134"/>
      </rPr>
      <t>抵押净值计算</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</si>
  <si>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3" type="noConversion"/>
  </si>
  <si>
    <r>
      <rPr>
        <b/>
        <sz val="10"/>
        <color indexed="8"/>
        <rFont val="仿宋_GB2312"/>
        <family val="3"/>
        <charset val="134"/>
      </rPr>
      <t>终审意见：</t>
    </r>
    <r>
      <rPr>
        <b/>
        <sz val="10"/>
        <color indexed="8"/>
        <rFont val="Arial"/>
        <family val="2"/>
      </rPr>
      <t xml:space="preserve">      </t>
    </r>
    <phoneticPr fontId="3" type="noConversion"/>
  </si>
  <si>
    <r>
      <rPr>
        <b/>
        <sz val="10"/>
        <color indexed="8"/>
        <rFont val="仿宋_GB2312"/>
        <family val="3"/>
        <charset val="134"/>
      </rPr>
      <t>初审意见：</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</si>
  <si>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3" type="noConversion"/>
  </si>
  <si>
    <r>
      <rPr>
        <b/>
        <sz val="10"/>
        <color indexed="8"/>
        <rFont val="仿宋_GB2312"/>
        <family val="3"/>
        <charset val="134"/>
      </rPr>
      <t>测算人员：</t>
    </r>
    <r>
      <rPr>
        <b/>
        <sz val="10"/>
        <color indexed="8"/>
        <rFont val="Arial"/>
        <family val="2"/>
      </rPr>
      <t xml:space="preserve">      </t>
    </r>
    <phoneticPr fontId="3" type="noConversion"/>
  </si>
  <si>
    <r>
      <rPr>
        <b/>
        <u/>
        <sz val="12"/>
        <color indexed="8"/>
        <rFont val="仿宋_GB2312"/>
        <family val="3"/>
        <charset val="134"/>
      </rPr>
      <t>测算中的特殊事项处理：</t>
    </r>
    <phoneticPr fontId="3" type="noConversion"/>
  </si>
  <si>
    <r>
      <t>1.</t>
    </r>
    <r>
      <rPr>
        <b/>
        <sz val="11"/>
        <color indexed="8"/>
        <rFont val="仿宋_GB2312"/>
        <family val="3"/>
        <charset val="134"/>
      </rPr>
      <t>土地价格</t>
    </r>
    <phoneticPr fontId="3" type="noConversion"/>
  </si>
  <si>
    <r>
      <rPr>
        <b/>
        <sz val="12"/>
        <color indexed="8"/>
        <rFont val="仿宋_GB2312"/>
        <family val="3"/>
        <charset val="134"/>
      </rPr>
      <t>每亩价格</t>
    </r>
    <phoneticPr fontId="3" type="noConversion"/>
  </si>
  <si>
    <r>
      <rPr>
        <b/>
        <sz val="12"/>
        <color indexed="8"/>
        <rFont val="仿宋_GB2312"/>
        <family val="3"/>
        <charset val="134"/>
      </rPr>
      <t>单位面积地价</t>
    </r>
    <phoneticPr fontId="3" type="noConversion"/>
  </si>
  <si>
    <r>
      <rPr>
        <b/>
        <sz val="12"/>
        <color indexed="8"/>
        <rFont val="仿宋_GB2312"/>
        <family val="3"/>
        <charset val="134"/>
      </rPr>
      <t>楼面地价</t>
    </r>
    <phoneticPr fontId="3" type="noConversion"/>
  </si>
  <si>
    <r>
      <rPr>
        <b/>
        <sz val="12"/>
        <color indexed="8"/>
        <rFont val="仿宋_GB2312"/>
        <family val="3"/>
        <charset val="134"/>
      </rPr>
      <t>总额</t>
    </r>
    <phoneticPr fontId="3" type="noConversion"/>
  </si>
  <si>
    <r>
      <rPr>
        <b/>
        <sz val="12"/>
        <color indexed="8"/>
        <rFont val="仿宋_GB2312"/>
        <family val="3"/>
        <charset val="134"/>
      </rPr>
      <t>项目</t>
    </r>
    <phoneticPr fontId="3" type="noConversion"/>
  </si>
  <si>
    <r>
      <rPr>
        <b/>
        <sz val="14"/>
        <color indexed="10"/>
        <rFont val="仿宋_GB2312"/>
        <family val="3"/>
        <charset val="134"/>
      </rPr>
      <t>最终结果</t>
    </r>
    <phoneticPr fontId="3" type="noConversion"/>
  </si>
  <si>
    <r>
      <rPr>
        <sz val="10"/>
        <color indexed="8"/>
        <rFont val="仿宋_GB2312"/>
        <family val="3"/>
        <charset val="134"/>
      </rPr>
      <t>不固定格式</t>
    </r>
    <r>
      <rPr>
        <sz val="10"/>
        <color indexed="8"/>
        <rFont val="Arial"/>
        <family val="2"/>
      </rPr>
      <t>)</t>
    </r>
    <phoneticPr fontId="3" type="noConversion"/>
  </si>
  <si>
    <r>
      <t>(</t>
    </r>
    <r>
      <rPr>
        <sz val="10"/>
        <color indexed="8"/>
        <rFont val="仿宋_GB2312"/>
        <family val="3"/>
        <charset val="134"/>
      </rPr>
      <t>列示计算过程</t>
    </r>
    <r>
      <rPr>
        <sz val="10"/>
        <color indexed="8"/>
        <rFont val="Arial"/>
        <family val="2"/>
      </rPr>
      <t>,</t>
    </r>
    <phoneticPr fontId="3" type="noConversion"/>
  </si>
  <si>
    <r>
      <rPr>
        <sz val="11"/>
        <color indexed="10"/>
        <rFont val="仿宋_GB2312"/>
        <family val="3"/>
        <charset val="134"/>
      </rPr>
      <t>总值</t>
    </r>
    <phoneticPr fontId="3" type="noConversion"/>
  </si>
  <si>
    <r>
      <rPr>
        <sz val="11"/>
        <color indexed="10"/>
        <rFont val="仿宋_GB2312"/>
        <family val="3"/>
        <charset val="134"/>
      </rPr>
      <t>税费</t>
    </r>
    <phoneticPr fontId="3" type="noConversion"/>
  </si>
  <si>
    <r>
      <rPr>
        <sz val="11"/>
        <color indexed="10"/>
        <rFont val="仿宋_GB2312"/>
        <family val="3"/>
        <charset val="134"/>
      </rPr>
      <t>单价</t>
    </r>
    <phoneticPr fontId="3" type="noConversion"/>
  </si>
  <si>
    <r>
      <rPr>
        <sz val="11"/>
        <color indexed="10"/>
        <rFont val="仿宋_GB2312"/>
        <family val="3"/>
        <charset val="134"/>
      </rPr>
      <t>面积</t>
    </r>
    <phoneticPr fontId="3" type="noConversion"/>
  </si>
  <si>
    <r>
      <rPr>
        <b/>
        <sz val="11"/>
        <color indexed="8"/>
        <rFont val="仿宋_GB2312"/>
        <family val="3"/>
        <charset val="134"/>
      </rPr>
      <t>补交地价款</t>
    </r>
    <phoneticPr fontId="3" type="noConversion"/>
  </si>
  <si>
    <r>
      <rPr>
        <sz val="11"/>
        <color indexed="8"/>
        <rFont val="仿宋_GB2312"/>
        <family val="3"/>
        <charset val="134"/>
      </rPr>
      <t>补交地价款</t>
    </r>
    <phoneticPr fontId="3" type="noConversion"/>
  </si>
  <si>
    <r>
      <rPr>
        <sz val="11"/>
        <color indexed="8"/>
        <rFont val="仿宋_GB2312"/>
        <family val="3"/>
        <charset val="134"/>
      </rPr>
      <t>其他</t>
    </r>
    <phoneticPr fontId="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</si>
  <si>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3" type="noConversion"/>
  </si>
  <si>
    <r>
      <rPr>
        <sz val="11"/>
        <color indexed="8"/>
        <rFont val="仿宋_GB2312"/>
        <family val="3"/>
        <charset val="134"/>
      </rPr>
      <t>拖欠工程款</t>
    </r>
    <phoneticPr fontId="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</si>
  <si>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3" type="noConversion"/>
  </si>
  <si>
    <r>
      <rPr>
        <b/>
        <sz val="11"/>
        <color indexed="8"/>
        <rFont val="仿宋_GB2312"/>
        <family val="3"/>
        <charset val="134"/>
      </rPr>
      <t>单位面积地价</t>
    </r>
    <phoneticPr fontId="3" type="noConversion"/>
  </si>
  <si>
    <r>
      <rPr>
        <sz val="11"/>
        <color indexed="8"/>
        <rFont val="仿宋_GB2312"/>
        <family val="3"/>
        <charset val="134"/>
      </rPr>
      <t>已抵押担保数额</t>
    </r>
    <phoneticPr fontId="3" type="noConversion"/>
  </si>
  <si>
    <r>
      <rPr>
        <b/>
        <sz val="11"/>
        <color indexed="8"/>
        <rFont val="仿宋_GB2312"/>
        <family val="3"/>
        <charset val="134"/>
      </rPr>
      <t>优先受偿情况</t>
    </r>
    <phoneticPr fontId="3" type="noConversion"/>
  </si>
  <si>
    <r>
      <rPr>
        <b/>
        <sz val="11"/>
        <color indexed="8"/>
        <rFont val="仿宋_GB2312"/>
        <family val="3"/>
        <charset val="134"/>
      </rPr>
      <t>楼面地价</t>
    </r>
    <phoneticPr fontId="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</si>
  <si>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3" type="noConversion"/>
  </si>
  <si>
    <r>
      <rPr>
        <b/>
        <sz val="10"/>
        <color indexed="8"/>
        <rFont val="仿宋_GB2312"/>
        <family val="3"/>
        <charset val="134"/>
      </rPr>
      <t>万元</t>
    </r>
    <phoneticPr fontId="3" type="noConversion"/>
  </si>
  <si>
    <r>
      <rPr>
        <b/>
        <sz val="11"/>
        <color indexed="8"/>
        <rFont val="仿宋_GB2312"/>
        <family val="3"/>
        <charset val="134"/>
      </rPr>
      <t>总价</t>
    </r>
    <phoneticPr fontId="3" type="noConversion"/>
  </si>
  <si>
    <r>
      <rPr>
        <b/>
        <sz val="11"/>
        <color indexed="8"/>
        <rFont val="仿宋_GB2312"/>
        <family val="3"/>
        <charset val="134"/>
      </rPr>
      <t>土地价格</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</si>
  <si>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3" type="noConversion"/>
  </si>
  <si>
    <r>
      <rPr>
        <sz val="11"/>
        <color indexed="10"/>
        <rFont val="仿宋_GB2312"/>
        <family val="3"/>
        <charset val="134"/>
      </rPr>
      <t>合计</t>
    </r>
    <phoneticPr fontId="3" type="noConversion"/>
  </si>
  <si>
    <r>
      <rPr>
        <sz val="11"/>
        <color indexed="10"/>
        <rFont val="仿宋_GB2312"/>
        <family val="3"/>
        <charset val="134"/>
      </rPr>
      <t>单价</t>
    </r>
    <phoneticPr fontId="3" type="noConversion"/>
  </si>
  <si>
    <r>
      <rPr>
        <sz val="11"/>
        <color indexed="10"/>
        <rFont val="仿宋_GB2312"/>
        <family val="3"/>
        <charset val="134"/>
      </rPr>
      <t>面积</t>
    </r>
    <phoneticPr fontId="3" type="noConversion"/>
  </si>
  <si>
    <r>
      <rPr>
        <sz val="11"/>
        <color indexed="10"/>
        <rFont val="仿宋_GB2312"/>
        <family val="3"/>
        <charset val="134"/>
      </rPr>
      <t>扣减项</t>
    </r>
    <phoneticPr fontId="3" type="noConversion"/>
  </si>
  <si>
    <r>
      <rPr>
        <sz val="11"/>
        <color indexed="8"/>
        <rFont val="仿宋_GB2312"/>
        <family val="3"/>
        <charset val="134"/>
      </rPr>
      <t>总价</t>
    </r>
    <phoneticPr fontId="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</si>
  <si>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</si>
  <si>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3" type="noConversion"/>
  </si>
  <si>
    <r>
      <rPr>
        <b/>
        <sz val="11"/>
        <color indexed="8"/>
        <rFont val="仿宋_GB2312"/>
        <family val="3"/>
        <charset val="134"/>
      </rPr>
      <t>各方法结果差值</t>
    </r>
    <phoneticPr fontId="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</si>
  <si>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3" type="noConversion"/>
  </si>
  <si>
    <r>
      <rPr>
        <sz val="11"/>
        <color indexed="8"/>
        <rFont val="仿宋_GB2312"/>
        <family val="3"/>
        <charset val="134"/>
      </rPr>
      <t>单位面积地价</t>
    </r>
    <phoneticPr fontId="3" type="noConversion"/>
  </si>
  <si>
    <r>
      <rPr>
        <sz val="11"/>
        <color indexed="8"/>
        <rFont val="仿宋_GB2312"/>
        <family val="3"/>
        <charset val="134"/>
      </rPr>
      <t>楼面地价</t>
    </r>
    <phoneticPr fontId="3" type="noConversion"/>
  </si>
  <si>
    <r>
      <rPr>
        <sz val="10"/>
        <color indexed="8"/>
        <rFont val="仿宋_GB2312"/>
        <family val="3"/>
        <charset val="134"/>
      </rPr>
      <t>万元</t>
    </r>
    <phoneticPr fontId="3" type="noConversion"/>
  </si>
  <si>
    <r>
      <rPr>
        <b/>
        <sz val="11"/>
        <color indexed="8"/>
        <rFont val="仿宋_GB2312"/>
        <family val="3"/>
        <charset val="134"/>
      </rPr>
      <t>权重结果</t>
    </r>
    <phoneticPr fontId="3" type="noConversion"/>
  </si>
  <si>
    <r>
      <rPr>
        <b/>
        <sz val="11"/>
        <color indexed="8"/>
        <rFont val="仿宋_GB2312"/>
        <family val="3"/>
        <charset val="134"/>
      </rPr>
      <t>各方法结果</t>
    </r>
    <phoneticPr fontId="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</si>
  <si>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</si>
  <si>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3" type="noConversion"/>
  </si>
  <si>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</si>
  <si>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3" type="noConversion"/>
  </si>
  <si>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</si>
  <si>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3" type="noConversion"/>
  </si>
  <si>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</si>
  <si>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3" type="noConversion"/>
  </si>
  <si>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</si>
  <si>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</si>
  <si>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3" type="noConversion"/>
  </si>
  <si>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3" type="noConversion"/>
  </si>
  <si>
    <r>
      <rPr>
        <sz val="10"/>
        <color indexed="8"/>
        <rFont val="仿宋_GB2312"/>
        <family val="3"/>
        <charset val="134"/>
      </rPr>
      <t>打分考虑因素</t>
    </r>
    <phoneticPr fontId="3" type="noConversion"/>
  </si>
  <si>
    <t>剩余法-商业</t>
  </si>
  <si>
    <t>估价对象状态</t>
    <phoneticPr fontId="3" type="noConversion"/>
  </si>
  <si>
    <t>项目局部</t>
  </si>
  <si>
    <t>估价对象范围</t>
    <phoneticPr fontId="3" type="noConversion"/>
  </si>
  <si>
    <t>估价结果（过程）</t>
    <phoneticPr fontId="3" type="noConversion"/>
  </si>
  <si>
    <t>基准地价-办公</t>
  </si>
  <si>
    <r>
      <rPr>
        <sz val="11"/>
        <color theme="1"/>
        <rFont val="宋体"/>
        <family val="3"/>
        <charset val="134"/>
      </rPr>
      <t>不动产比较法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</si>
  <si>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办公</t>
    </r>
    <phoneticPr fontId="14" type="noConversion"/>
  </si>
  <si>
    <t>剩余法-办公</t>
  </si>
  <si>
    <t>售价</t>
  </si>
  <si>
    <t>正常</t>
  </si>
  <si>
    <t>商业</t>
    <phoneticPr fontId="26" type="noConversion"/>
  </si>
  <si>
    <t>商业</t>
    <phoneticPr fontId="26" type="noConversion"/>
  </si>
  <si>
    <t>30-40（含）</t>
  </si>
  <si>
    <t>20-30（含）</t>
  </si>
  <si>
    <t>高速</t>
    <phoneticPr fontId="3" type="noConversion"/>
  </si>
  <si>
    <t>快速</t>
    <phoneticPr fontId="3" type="noConversion"/>
  </si>
  <si>
    <t>主</t>
    <phoneticPr fontId="3" type="noConversion"/>
  </si>
  <si>
    <t>次</t>
    <phoneticPr fontId="3" type="noConversion"/>
  </si>
  <si>
    <t>支路</t>
    <phoneticPr fontId="3" type="noConversion"/>
  </si>
  <si>
    <t>次</t>
  </si>
  <si>
    <t>较好</t>
    <phoneticPr fontId="26" type="noConversion"/>
  </si>
  <si>
    <t>好</t>
    <phoneticPr fontId="26" type="noConversion"/>
  </si>
  <si>
    <t>一般</t>
    <phoneticPr fontId="26" type="noConversion"/>
  </si>
  <si>
    <t>较差</t>
    <phoneticPr fontId="26" type="noConversion"/>
  </si>
  <si>
    <t>差</t>
    <phoneticPr fontId="26" type="noConversion"/>
  </si>
  <si>
    <t>商业街商铺</t>
  </si>
  <si>
    <t>商业街商铺</t>
    <phoneticPr fontId="26" type="noConversion"/>
  </si>
  <si>
    <t>写字楼底商</t>
  </si>
  <si>
    <t>写字楼底商</t>
    <phoneticPr fontId="26" type="noConversion"/>
  </si>
  <si>
    <t>住宅底商</t>
  </si>
  <si>
    <t>住宅底商</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</si>
  <si>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</si>
  <si>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</si>
  <si>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</si>
  <si>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</si>
  <si>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</si>
  <si>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</si>
  <si>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</si>
  <si>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</si>
  <si>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</si>
  <si>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</si>
  <si>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</si>
  <si>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</si>
  <si>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</si>
  <si>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</si>
  <si>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标准层高</t>
  </si>
  <si>
    <t>标准层高</t>
    <phoneticPr fontId="26" type="noConversion"/>
  </si>
  <si>
    <t>建成年份</t>
    <phoneticPr fontId="26" type="noConversion"/>
  </si>
  <si>
    <t>西城区丰盛胡同20、22号楼</t>
    <phoneticPr fontId="3" type="noConversion"/>
  </si>
  <si>
    <t>500-1000米</t>
  </si>
  <si>
    <t>金融街购物中心</t>
    <phoneticPr fontId="3" type="noConversion"/>
  </si>
  <si>
    <t>剩余法-待开发</t>
  </si>
  <si>
    <t>金融金西单广场</t>
    <phoneticPr fontId="3" type="noConversion"/>
  </si>
  <si>
    <t>办公</t>
    <phoneticPr fontId="27" type="noConversion"/>
  </si>
  <si>
    <t>高速</t>
    <phoneticPr fontId="27" type="noConversion"/>
  </si>
  <si>
    <t>快速</t>
    <phoneticPr fontId="27" type="noConversion"/>
  </si>
  <si>
    <t>主</t>
  </si>
  <si>
    <t>主</t>
    <phoneticPr fontId="27" type="noConversion"/>
  </si>
  <si>
    <t>次</t>
    <phoneticPr fontId="27" type="noConversion"/>
  </si>
  <si>
    <t>支</t>
    <phoneticPr fontId="27" type="noConversion"/>
  </si>
  <si>
    <t>主</t>
    <phoneticPr fontId="27" type="noConversion"/>
  </si>
  <si>
    <r>
      <rPr>
        <sz val="11"/>
        <color indexed="8"/>
        <rFont val="宋体"/>
        <family val="3"/>
        <charset val="134"/>
      </rPr>
      <t>高楼层</t>
    </r>
    <r>
      <rPr>
        <sz val="11"/>
        <color indexed="8"/>
        <rFont val="Arial"/>
        <family val="2"/>
      </rPr>
      <t>/11</t>
    </r>
    <phoneticPr fontId="27" type="noConversion"/>
  </si>
  <si>
    <r>
      <rPr>
        <sz val="11"/>
        <color indexed="8"/>
        <rFont val="宋体"/>
        <family val="3"/>
        <charset val="134"/>
      </rPr>
      <t>低楼层</t>
    </r>
    <r>
      <rPr>
        <sz val="11"/>
        <color indexed="8"/>
        <rFont val="Arial"/>
        <family val="2"/>
      </rPr>
      <t>/21</t>
    </r>
    <phoneticPr fontId="27" type="noConversion"/>
  </si>
  <si>
    <r>
      <rPr>
        <sz val="11"/>
        <color indexed="8"/>
        <rFont val="宋体"/>
        <family val="3"/>
        <charset val="134"/>
      </rPr>
      <t>高楼层</t>
    </r>
    <r>
      <rPr>
        <sz val="11"/>
        <color indexed="8"/>
        <rFont val="Arial"/>
        <family val="2"/>
      </rPr>
      <t>/23</t>
    </r>
    <phoneticPr fontId="27" type="noConversion"/>
  </si>
  <si>
    <r>
      <rPr>
        <sz val="11"/>
        <color indexed="8"/>
        <rFont val="宋体"/>
        <family val="3"/>
        <charset val="134"/>
      </rPr>
      <t>高楼层</t>
    </r>
    <r>
      <rPr>
        <sz val="11"/>
        <color indexed="8"/>
        <rFont val="Arial"/>
        <family val="2"/>
      </rPr>
      <t>/26</t>
    </r>
    <phoneticPr fontId="27" type="noConversion"/>
  </si>
  <si>
    <t>楼层</t>
    <phoneticPr fontId="27" type="noConversion"/>
  </si>
  <si>
    <t>塔楼</t>
  </si>
  <si>
    <t>塔楼</t>
    <phoneticPr fontId="27" type="noConversion"/>
  </si>
  <si>
    <t>板楼</t>
    <phoneticPr fontId="27" type="noConversion"/>
  </si>
  <si>
    <t>甲级</t>
    <phoneticPr fontId="27" type="noConversion"/>
  </si>
  <si>
    <t>专业</t>
  </si>
  <si>
    <t>专业</t>
    <phoneticPr fontId="27" type="noConversion"/>
  </si>
  <si>
    <t>建成年份</t>
    <phoneticPr fontId="27" type="noConversion"/>
  </si>
  <si>
    <t>富凯大厦</t>
    <phoneticPr fontId="3" type="noConversion"/>
  </si>
  <si>
    <t>投资广场</t>
    <phoneticPr fontId="3" type="noConversion"/>
  </si>
  <si>
    <t>金融街中心</t>
    <phoneticPr fontId="3" type="noConversion"/>
  </si>
  <si>
    <r>
      <rPr>
        <sz val="11"/>
        <color indexed="8"/>
        <rFont val="宋体"/>
        <family val="3"/>
        <charset val="134"/>
      </rPr>
      <t>中楼层</t>
    </r>
    <r>
      <rPr>
        <sz val="11"/>
        <color indexed="8"/>
        <rFont val="Arial"/>
        <family val="2"/>
      </rPr>
      <t>/7</t>
    </r>
    <phoneticPr fontId="27" type="noConversion"/>
  </si>
  <si>
    <t>商业</t>
    <phoneticPr fontId="228" type="noConversion"/>
  </si>
  <si>
    <t>地上办公</t>
    <phoneticPr fontId="228" type="noConversion"/>
  </si>
  <si>
    <t>地下办公</t>
    <phoneticPr fontId="228" type="noConversion"/>
  </si>
  <si>
    <t>基准地价法</t>
    <phoneticPr fontId="228" type="noConversion"/>
  </si>
  <si>
    <t>剩余法</t>
    <phoneticPr fontId="228" type="noConversion"/>
  </si>
  <si>
    <t>办公（70年）</t>
    <phoneticPr fontId="228" type="noConversion"/>
  </si>
  <si>
    <t>地上办公（35.32年）</t>
    <phoneticPr fontId="228" type="noConversion"/>
  </si>
  <si>
    <t>底价建议</t>
    <phoneticPr fontId="228" type="noConversion"/>
  </si>
  <si>
    <t>出让建筑面积（㎡）</t>
    <phoneticPr fontId="228" type="noConversion"/>
  </si>
  <si>
    <t>政府土地出让收益楼面单价（元/㎡）</t>
    <phoneticPr fontId="228" type="noConversion"/>
  </si>
  <si>
    <t>政府土地出让收益与应分摊成本合计楼面单价（元/㎡）</t>
    <phoneticPr fontId="228" type="noConversion"/>
  </si>
  <si>
    <t xml:space="preserve">所在基准地价级别低限楼面熟地价
（元/㎡）
</t>
    <phoneticPr fontId="228" type="noConversion"/>
  </si>
  <si>
    <t xml:space="preserve">所在基准地价级别低限政府土地出让收益
（元/㎡）
</t>
    <phoneticPr fontId="228" type="noConversion"/>
  </si>
  <si>
    <t xml:space="preserve">建议出让底价
总价(万元）
</t>
    <phoneticPr fontId="228" type="noConversion"/>
  </si>
  <si>
    <t>住宅</t>
    <phoneticPr fontId="228" type="noConversion"/>
  </si>
  <si>
    <t>地下</t>
    <phoneticPr fontId="228" type="noConversion"/>
  </si>
  <si>
    <t>商业</t>
    <phoneticPr fontId="228" type="noConversion"/>
  </si>
  <si>
    <t>地上办公</t>
    <phoneticPr fontId="228" type="noConversion"/>
  </si>
  <si>
    <t>地下办公</t>
    <phoneticPr fontId="228" type="noConversion"/>
  </si>
  <si>
    <t>地下车库</t>
    <phoneticPr fontId="228" type="noConversion"/>
  </si>
  <si>
    <t>七通一平</t>
  </si>
  <si>
    <t>一致</t>
  </si>
  <si>
    <t>七通</t>
  </si>
  <si>
    <t>办公（50年）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</si>
</sst>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Calibri"/>
      <family val="2"/>
    </font>
    <font>
      <sz val="12"/>
      <color rgb="FFFF0000"/>
      <name val="Arial"/>
      <family val="2"/>
    </font>
    <font>
      <b/>
      <sz val="12"/>
      <color rgb="FF000000"/>
      <name val="Arial"/>
      <family val="2"/>
    </font>
    <font>
      <sz val="12"/>
      <color rgb="FF000000"/>
      <name val="宋体"/>
      <family val="3"/>
      <charset val="134"/>
    </font>
    <font>
      <sz val="12"/>
      <color rgb="FF000000"/>
      <name val="仿宋_GB2312"/>
      <family val="3"/>
      <charset val="134"/>
    </font>
    <font>
      <b/>
      <sz val="12"/>
      <color rgb="FF000000"/>
      <name val="仿宋_GB2312"/>
      <family val="3"/>
      <charset val="134"/>
    </font>
    <font>
      <b/>
      <sz val="12"/>
      <color theme="1"/>
      <name val="仿宋_GB2312"/>
      <family val="3"/>
      <charset val="134"/>
    </font>
    <font>
      <b/>
      <sz val="12"/>
      <color rgb="FF000000"/>
      <name val="华文仿宋"/>
      <family val="3"/>
      <charset val="134"/>
    </font>
    <font>
      <b/>
      <sz val="12"/>
      <color theme="1"/>
      <name val="华文仿宋"/>
      <family val="3"/>
      <charset val="134"/>
    </font>
    <font>
      <b/>
      <sz val="14"/>
      <color theme="1"/>
      <name val="Wingdings 2"/>
      <family val="1"/>
      <charset val="2"/>
    </font>
    <font>
      <b/>
      <sz val="14"/>
      <color theme="1"/>
      <name val="宋体"/>
      <family val="3"/>
      <charset val="134"/>
    </font>
    <font>
      <b/>
      <sz val="12"/>
      <color theme="1"/>
      <name val="Adobe 黑体 Std R"/>
      <family val="2"/>
      <charset val="134"/>
    </font>
    <font>
      <sz val="9"/>
      <name val="宋体"/>
      <family val="2"/>
      <charset val="134"/>
      <scheme val="minor"/>
    </font>
    <font>
      <b/>
      <sz val="9"/>
      <color indexed="81"/>
      <name val="Tahoma"/>
      <family val="2"/>
    </font>
    <font>
      <sz val="9"/>
      <color indexed="81"/>
      <name val="Tahoma"/>
      <family val="2"/>
    </font>
    <font>
      <sz val="11"/>
      <name val="宋体"/>
      <family val="3"/>
      <charset val="134"/>
      <scheme val="minor"/>
    </font>
    <font>
      <sz val="16"/>
      <color theme="1"/>
      <name val="Calibri"/>
      <family val="2"/>
    </font>
    <font>
      <b/>
      <sz val="20"/>
      <color theme="1"/>
      <name val="华文楷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59999389629810485"/>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40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181" fontId="71" fillId="8" borderId="2" xfId="0" applyNumberFormat="1" applyFont="1" applyFill="1" applyBorder="1" applyAlignment="1" applyProtection="1">
      <alignment horizontal="center" vertical="center"/>
      <protection locked="0"/>
    </xf>
    <xf numFmtId="179" fontId="71" fillId="5" borderId="11" xfId="0" applyNumberFormat="1" applyFont="1" applyFill="1" applyBorder="1" applyAlignment="1" applyProtection="1">
      <alignment horizontal="center" vertical="center"/>
    </xf>
    <xf numFmtId="0" fontId="145" fillId="0" borderId="0" xfId="1">
      <alignment vertical="center"/>
    </xf>
    <xf numFmtId="0" fontId="145" fillId="0" borderId="0" xfId="1" applyAlignment="1">
      <alignment horizontal="center" vertical="center"/>
    </xf>
    <xf numFmtId="0" fontId="145" fillId="0" borderId="0" xfId="1" applyFont="1">
      <alignment vertical="center"/>
    </xf>
    <xf numFmtId="0" fontId="274" fillId="0" borderId="0" xfId="1" applyFont="1" applyAlignment="1">
      <alignment vertical="center" wrapText="1"/>
    </xf>
    <xf numFmtId="0" fontId="149" fillId="0" borderId="66" xfId="1" applyFont="1" applyBorder="1" applyAlignment="1">
      <alignment horizontal="center" vertical="center" wrapText="1"/>
    </xf>
    <xf numFmtId="0" fontId="180" fillId="0" borderId="0" xfId="1" applyFont="1">
      <alignment vertical="center"/>
    </xf>
    <xf numFmtId="0" fontId="176" fillId="0" borderId="66" xfId="1" applyFont="1" applyBorder="1" applyAlignment="1">
      <alignment horizontal="center" vertical="center" wrapText="1"/>
    </xf>
    <xf numFmtId="0" fontId="194" fillId="0" borderId="66" xfId="1" applyFont="1" applyBorder="1" applyAlignment="1">
      <alignment vertical="center" wrapText="1"/>
    </xf>
    <xf numFmtId="0" fontId="274" fillId="0" borderId="31" xfId="1" applyFont="1" applyBorder="1" applyAlignment="1">
      <alignment vertical="center" wrapText="1"/>
    </xf>
    <xf numFmtId="0" fontId="194" fillId="0" borderId="60" xfId="1" applyFont="1" applyBorder="1" applyAlignment="1">
      <alignment vertical="center" wrapText="1"/>
    </xf>
    <xf numFmtId="0" fontId="176" fillId="0" borderId="35" xfId="1" applyFont="1" applyBorder="1" applyAlignment="1">
      <alignment horizontal="center" vertical="center" wrapText="1"/>
    </xf>
    <xf numFmtId="0" fontId="176" fillId="0" borderId="36" xfId="1" applyFont="1" applyBorder="1" applyAlignment="1">
      <alignment horizontal="center" vertical="center" wrapText="1"/>
    </xf>
    <xf numFmtId="0" fontId="194" fillId="0" borderId="59" xfId="1" applyFont="1" applyBorder="1" applyAlignment="1">
      <alignment vertical="center" wrapText="1"/>
    </xf>
    <xf numFmtId="0" fontId="275" fillId="0" borderId="66" xfId="1" applyFont="1" applyBorder="1" applyAlignment="1">
      <alignment horizontal="center" vertical="center" wrapText="1"/>
    </xf>
    <xf numFmtId="0" fontId="194" fillId="0" borderId="65" xfId="1" applyFont="1" applyBorder="1" applyAlignment="1">
      <alignment vertical="center" wrapText="1"/>
    </xf>
    <xf numFmtId="0" fontId="180" fillId="0" borderId="66" xfId="1" applyFont="1" applyBorder="1" applyAlignment="1">
      <alignment vertical="center" wrapText="1"/>
    </xf>
    <xf numFmtId="0" fontId="280" fillId="0" borderId="66" xfId="1" applyFont="1" applyBorder="1" applyAlignment="1">
      <alignment horizontal="center" vertical="center" wrapText="1"/>
    </xf>
    <xf numFmtId="0" fontId="280" fillId="0" borderId="65" xfId="1" applyFont="1" applyBorder="1" applyAlignment="1">
      <alignment horizontal="center" vertical="center" wrapText="1"/>
    </xf>
    <xf numFmtId="0" fontId="280" fillId="0" borderId="39" xfId="1" applyFont="1" applyBorder="1" applyAlignment="1">
      <alignment horizontal="center" vertical="center" wrapText="1"/>
    </xf>
    <xf numFmtId="0" fontId="283" fillId="0" borderId="0" xfId="1" applyFont="1">
      <alignment vertical="center"/>
    </xf>
    <xf numFmtId="0" fontId="145" fillId="17" borderId="0" xfId="1" applyFill="1">
      <alignment vertical="center"/>
    </xf>
    <xf numFmtId="0" fontId="145" fillId="17" borderId="0" xfId="1" applyFont="1" applyFill="1" applyAlignment="1">
      <alignment vertical="center" wrapText="1"/>
    </xf>
    <xf numFmtId="0" fontId="145" fillId="10" borderId="2" xfId="1" applyFill="1" applyBorder="1" applyAlignment="1">
      <alignment vertical="center" wrapText="1"/>
    </xf>
    <xf numFmtId="0" fontId="147" fillId="10" borderId="2" xfId="1" applyFont="1" applyFill="1" applyBorder="1" applyAlignment="1">
      <alignment vertical="center" wrapText="1"/>
    </xf>
    <xf numFmtId="0" fontId="145" fillId="10" borderId="2" xfId="1" applyFont="1" applyFill="1" applyBorder="1" applyAlignment="1">
      <alignment vertical="center" wrapText="1"/>
    </xf>
    <xf numFmtId="0" fontId="145" fillId="19" borderId="2" xfId="1" applyFill="1" applyBorder="1" applyAlignment="1">
      <alignment vertical="center" wrapText="1"/>
    </xf>
    <xf numFmtId="0" fontId="145" fillId="19" borderId="2" xfId="1" applyFont="1" applyFill="1" applyBorder="1" applyAlignment="1">
      <alignment vertical="center" wrapText="1"/>
    </xf>
    <xf numFmtId="0" fontId="145" fillId="20" borderId="2" xfId="1" applyFill="1" applyBorder="1" applyAlignment="1">
      <alignment vertical="center" wrapText="1"/>
    </xf>
    <xf numFmtId="0" fontId="145" fillId="20" borderId="2" xfId="1" applyFont="1" applyFill="1" applyBorder="1" applyAlignment="1">
      <alignment vertical="center" wrapText="1"/>
    </xf>
    <xf numFmtId="0" fontId="145" fillId="17" borderId="0" xfId="1" applyFont="1" applyFill="1">
      <alignment vertical="center"/>
    </xf>
    <xf numFmtId="0" fontId="145" fillId="6" borderId="2" xfId="1" applyFill="1" applyBorder="1">
      <alignment vertical="center"/>
    </xf>
    <xf numFmtId="0" fontId="145" fillId="18" borderId="80" xfId="1" applyFill="1" applyBorder="1">
      <alignment vertical="center"/>
    </xf>
    <xf numFmtId="0" fontId="145" fillId="0" borderId="2" xfId="1" applyBorder="1">
      <alignment vertical="center"/>
    </xf>
    <xf numFmtId="0" fontId="145" fillId="0" borderId="2" xfId="1" applyFont="1" applyBorder="1">
      <alignment vertical="center"/>
    </xf>
    <xf numFmtId="0" fontId="145" fillId="9" borderId="2" xfId="1" applyFill="1" applyBorder="1">
      <alignment vertical="center"/>
    </xf>
    <xf numFmtId="0" fontId="145" fillId="18" borderId="82" xfId="1" applyFill="1" applyBorder="1">
      <alignment vertical="center"/>
    </xf>
    <xf numFmtId="0" fontId="145" fillId="17" borderId="2" xfId="1" applyFill="1" applyBorder="1">
      <alignment vertical="center"/>
    </xf>
    <xf numFmtId="0" fontId="146" fillId="0" borderId="0" xfId="1" applyFont="1" applyAlignment="1">
      <alignment horizontal="center" vertical="center"/>
    </xf>
    <xf numFmtId="0" fontId="145" fillId="18" borderId="35" xfId="1" applyFill="1" applyBorder="1">
      <alignment vertical="center"/>
    </xf>
    <xf numFmtId="0" fontId="145" fillId="20" borderId="2" xfId="1" applyFill="1" applyBorder="1">
      <alignment vertical="center"/>
    </xf>
    <xf numFmtId="0" fontId="145" fillId="21" borderId="0" xfId="1" applyFill="1">
      <alignment vertical="center"/>
    </xf>
    <xf numFmtId="0" fontId="285" fillId="22" borderId="2" xfId="1" applyFont="1" applyFill="1" applyBorder="1" applyAlignment="1">
      <alignment horizontal="center" vertical="center" wrapText="1"/>
    </xf>
    <xf numFmtId="0" fontId="285" fillId="22" borderId="4" xfId="1" applyFont="1" applyFill="1" applyBorder="1" applyAlignment="1">
      <alignment horizontal="center" vertical="center" wrapText="1"/>
    </xf>
    <xf numFmtId="0" fontId="145" fillId="16" borderId="2" xfId="1" applyFont="1" applyFill="1" applyBorder="1" applyAlignment="1">
      <alignment vertical="center" wrapText="1"/>
    </xf>
    <xf numFmtId="0" fontId="145" fillId="16" borderId="2" xfId="1" applyFill="1" applyBorder="1" applyAlignment="1">
      <alignment vertical="center" wrapText="1"/>
    </xf>
    <xf numFmtId="0" fontId="145" fillId="19" borderId="0" xfId="1" applyFill="1">
      <alignment vertical="center"/>
    </xf>
    <xf numFmtId="0" fontId="145" fillId="21" borderId="2" xfId="1" applyFont="1" applyFill="1" applyBorder="1" applyAlignment="1">
      <alignment vertical="center" wrapText="1"/>
    </xf>
    <xf numFmtId="0" fontId="145" fillId="21" borderId="2" xfId="1" applyFill="1" applyBorder="1" applyAlignment="1">
      <alignment vertical="center" wrapText="1"/>
    </xf>
    <xf numFmtId="0" fontId="145" fillId="8" borderId="0" xfId="1" applyFill="1">
      <alignment vertical="center"/>
    </xf>
    <xf numFmtId="0" fontId="76" fillId="0" borderId="0" xfId="1" applyFont="1" applyProtection="1">
      <alignment vertical="center"/>
    </xf>
    <xf numFmtId="0" fontId="76" fillId="0" borderId="0" xfId="1" applyFont="1" applyProtection="1">
      <alignment vertical="center"/>
      <protection locked="0"/>
    </xf>
    <xf numFmtId="0" fontId="76" fillId="8" borderId="0" xfId="1" applyFont="1" applyFill="1" applyProtection="1">
      <alignment vertical="center"/>
      <protection locked="0"/>
    </xf>
    <xf numFmtId="0" fontId="76" fillId="8" borderId="0" xfId="1" applyFont="1" applyFill="1" applyAlignment="1" applyProtection="1">
      <alignment vertical="center" wrapText="1"/>
      <protection locked="0"/>
    </xf>
    <xf numFmtId="0" fontId="85" fillId="8" borderId="0" xfId="1" applyFont="1" applyFill="1" applyAlignment="1" applyProtection="1">
      <alignment vertical="center" wrapText="1"/>
      <protection locked="0"/>
    </xf>
    <xf numFmtId="2" fontId="76" fillId="8" borderId="0" xfId="1" applyNumberFormat="1" applyFont="1" applyFill="1" applyAlignment="1" applyProtection="1">
      <alignment vertical="center" wrapText="1"/>
      <protection locked="0"/>
    </xf>
    <xf numFmtId="0" fontId="85" fillId="8" borderId="0" xfId="1" applyFont="1" applyFill="1" applyAlignment="1" applyProtection="1">
      <alignment horizontal="left" vertical="center"/>
      <protection locked="0"/>
    </xf>
    <xf numFmtId="0" fontId="76" fillId="8" borderId="0" xfId="1" applyFont="1" applyFill="1" applyBorder="1" applyAlignment="1" applyProtection="1">
      <alignment horizontal="right" vertical="center"/>
      <protection locked="0"/>
    </xf>
    <xf numFmtId="0" fontId="76" fillId="8" borderId="0" xfId="1" applyFont="1" applyFill="1" applyBorder="1" applyProtection="1">
      <alignment vertical="center"/>
      <protection locked="0"/>
    </xf>
    <xf numFmtId="0" fontId="76" fillId="5" borderId="0" xfId="1" applyFont="1" applyFill="1" applyProtection="1">
      <alignment vertical="center"/>
      <protection locked="0"/>
    </xf>
    <xf numFmtId="0" fontId="149" fillId="0" borderId="0" xfId="1" applyFont="1" applyFill="1" applyProtection="1">
      <alignment vertical="center"/>
    </xf>
    <xf numFmtId="0" fontId="149" fillId="0" borderId="0" xfId="1" applyFont="1" applyFill="1" applyProtection="1">
      <alignment vertical="center"/>
      <protection locked="0"/>
    </xf>
    <xf numFmtId="0" fontId="149" fillId="5" borderId="0" xfId="1" applyFont="1" applyFill="1" applyProtection="1">
      <alignment vertical="center"/>
      <protection locked="0"/>
    </xf>
    <xf numFmtId="0" fontId="149" fillId="5" borderId="0" xfId="1" applyFont="1" applyFill="1" applyProtection="1">
      <alignment vertical="center"/>
    </xf>
    <xf numFmtId="0" fontId="76" fillId="5" borderId="56" xfId="1" applyFont="1" applyFill="1" applyBorder="1" applyAlignment="1" applyProtection="1">
      <alignment horizontal="left" vertical="center" wrapText="1"/>
    </xf>
    <xf numFmtId="0" fontId="76" fillId="5" borderId="45" xfId="1" applyFont="1" applyFill="1" applyBorder="1" applyAlignment="1" applyProtection="1">
      <alignment horizontal="left" vertical="center"/>
    </xf>
    <xf numFmtId="0" fontId="86" fillId="5" borderId="44" xfId="1" applyFont="1" applyFill="1" applyBorder="1" applyAlignment="1" applyProtection="1">
      <alignment horizontal="center" vertical="center" wrapText="1"/>
    </xf>
    <xf numFmtId="0" fontId="85" fillId="5" borderId="44" xfId="1" applyFont="1" applyFill="1" applyBorder="1" applyAlignment="1" applyProtection="1">
      <alignment horizontal="center" vertical="center" wrapText="1"/>
    </xf>
    <xf numFmtId="0" fontId="95" fillId="5" borderId="44" xfId="1" applyFont="1" applyFill="1" applyBorder="1" applyAlignment="1" applyProtection="1">
      <alignment horizontal="left" vertical="center" wrapText="1"/>
    </xf>
    <xf numFmtId="49" fontId="134" fillId="5" borderId="43" xfId="1" applyNumberFormat="1" applyFont="1" applyFill="1" applyBorder="1" applyAlignment="1" applyProtection="1">
      <alignment vertical="center" wrapText="1"/>
    </xf>
    <xf numFmtId="0" fontId="76" fillId="5" borderId="8" xfId="1" applyFont="1" applyFill="1" applyBorder="1" applyAlignment="1" applyProtection="1">
      <alignment horizontal="left" vertical="center" wrapText="1"/>
    </xf>
    <xf numFmtId="0" fontId="76" fillId="5" borderId="5" xfId="1" applyFont="1" applyFill="1" applyBorder="1" applyAlignment="1" applyProtection="1">
      <alignment horizontal="left" vertical="center"/>
    </xf>
    <xf numFmtId="0" fontId="86" fillId="5" borderId="2" xfId="1" applyFont="1" applyFill="1" applyBorder="1" applyAlignment="1" applyProtection="1">
      <alignment horizontal="center" vertical="center" wrapText="1"/>
    </xf>
    <xf numFmtId="181" fontId="95" fillId="5" borderId="2" xfId="1" applyNumberFormat="1" applyFont="1" applyFill="1" applyBorder="1" applyAlignment="1" applyProtection="1">
      <alignment horizontal="center" vertical="center" wrapText="1"/>
    </xf>
    <xf numFmtId="0" fontId="95" fillId="5" borderId="2" xfId="1" applyFont="1" applyFill="1" applyBorder="1" applyAlignment="1" applyProtection="1">
      <alignment horizontal="left" vertical="center" wrapText="1"/>
    </xf>
    <xf numFmtId="49" fontId="134" fillId="5" borderId="11" xfId="1" applyNumberFormat="1" applyFont="1" applyFill="1" applyBorder="1" applyAlignment="1" applyProtection="1">
      <alignment vertical="center" wrapText="1"/>
    </xf>
    <xf numFmtId="0" fontId="76" fillId="5" borderId="5" xfId="1" applyFont="1" applyFill="1" applyBorder="1" applyAlignment="1" applyProtection="1">
      <alignment horizontal="left" vertical="center" wrapText="1"/>
    </xf>
    <xf numFmtId="177" fontId="95" fillId="5" borderId="2" xfId="1" applyNumberFormat="1" applyFont="1" applyFill="1" applyBorder="1" applyAlignment="1" applyProtection="1">
      <alignment horizontal="center" vertical="center" wrapText="1"/>
    </xf>
    <xf numFmtId="10" fontId="85" fillId="5" borderId="5" xfId="1" applyNumberFormat="1" applyFont="1" applyFill="1" applyBorder="1" applyAlignment="1" applyProtection="1">
      <alignment horizontal="center" vertical="center" wrapText="1"/>
    </xf>
    <xf numFmtId="189" fontId="86" fillId="5" borderId="2" xfId="1" applyNumberFormat="1" applyFont="1" applyFill="1" applyBorder="1" applyAlignment="1" applyProtection="1">
      <alignment horizontal="center" vertical="center" wrapText="1"/>
    </xf>
    <xf numFmtId="0" fontId="86" fillId="5" borderId="2" xfId="1" applyFont="1" applyFill="1" applyBorder="1" applyAlignment="1" applyProtection="1">
      <alignment horizontal="left" vertical="center" wrapText="1"/>
    </xf>
    <xf numFmtId="49" fontId="82" fillId="5" borderId="11" xfId="1" applyNumberFormat="1" applyFont="1" applyFill="1" applyBorder="1" applyAlignment="1" applyProtection="1">
      <alignment vertical="center" wrapText="1"/>
    </xf>
    <xf numFmtId="0" fontId="159" fillId="0" borderId="11" xfId="1" applyFont="1" applyFill="1" applyBorder="1" applyProtection="1">
      <alignment vertical="center"/>
      <protection locked="0"/>
    </xf>
    <xf numFmtId="10" fontId="11" fillId="6" borderId="16" xfId="1" applyNumberFormat="1" applyFont="1" applyFill="1" applyBorder="1" applyAlignment="1" applyProtection="1">
      <alignment horizontal="left" vertical="center" wrapText="1"/>
      <protection locked="0"/>
    </xf>
    <xf numFmtId="10" fontId="76" fillId="5" borderId="16" xfId="1" applyNumberFormat="1" applyFont="1" applyFill="1" applyBorder="1" applyAlignment="1" applyProtection="1">
      <alignment horizontal="left" vertical="center" wrapText="1"/>
    </xf>
    <xf numFmtId="10" fontId="76" fillId="5" borderId="8" xfId="1" applyNumberFormat="1" applyFont="1" applyFill="1" applyBorder="1" applyAlignment="1" applyProtection="1">
      <alignment horizontal="left" vertical="center" wrapText="1"/>
    </xf>
    <xf numFmtId="10" fontId="76" fillId="5" borderId="5" xfId="1" applyNumberFormat="1" applyFont="1" applyFill="1" applyBorder="1" applyAlignment="1" applyProtection="1">
      <alignment horizontal="left" vertical="center"/>
    </xf>
    <xf numFmtId="189" fontId="86" fillId="0" borderId="2" xfId="1" applyNumberFormat="1" applyFont="1" applyFill="1" applyBorder="1" applyAlignment="1" applyProtection="1">
      <alignment horizontal="center" vertical="center" wrapText="1"/>
      <protection locked="0"/>
    </xf>
    <xf numFmtId="49" fontId="76" fillId="5" borderId="11" xfId="1" applyNumberFormat="1" applyFont="1" applyFill="1" applyBorder="1" applyAlignment="1" applyProtection="1">
      <alignment vertical="center" wrapText="1"/>
    </xf>
    <xf numFmtId="10" fontId="76" fillId="2" borderId="16" xfId="1" applyNumberFormat="1" applyFont="1" applyFill="1" applyBorder="1" applyAlignment="1" applyProtection="1">
      <alignment horizontal="left" vertical="center" wrapText="1"/>
      <protection locked="0"/>
    </xf>
    <xf numFmtId="0" fontId="91" fillId="5" borderId="0" xfId="1" applyFont="1" applyFill="1" applyBorder="1" applyAlignment="1" applyProtection="1">
      <alignment horizontal="left" vertical="center"/>
    </xf>
    <xf numFmtId="10" fontId="76" fillId="5" borderId="5" xfId="1" applyNumberFormat="1" applyFont="1" applyFill="1" applyBorder="1" applyAlignment="1" applyProtection="1">
      <alignment horizontal="left" vertical="center" wrapText="1"/>
    </xf>
    <xf numFmtId="0" fontId="86" fillId="5" borderId="5" xfId="1" applyFont="1" applyFill="1" applyBorder="1" applyAlignment="1" applyProtection="1">
      <alignment horizontal="center" vertical="center" wrapText="1"/>
    </xf>
    <xf numFmtId="0" fontId="85" fillId="5" borderId="2" xfId="1" applyFont="1" applyFill="1" applyBorder="1" applyAlignment="1" applyProtection="1">
      <alignment horizontal="left" vertical="center" wrapText="1"/>
    </xf>
    <xf numFmtId="49" fontId="85" fillId="5" borderId="11" xfId="1" applyNumberFormat="1" applyFont="1" applyFill="1" applyBorder="1" applyAlignment="1" applyProtection="1">
      <alignment horizontal="left" vertical="center" wrapText="1"/>
    </xf>
    <xf numFmtId="0" fontId="76" fillId="5" borderId="30" xfId="1" applyFont="1" applyFill="1" applyBorder="1" applyAlignment="1" applyProtection="1">
      <alignment horizontal="left" vertical="center" wrapText="1"/>
    </xf>
    <xf numFmtId="0" fontId="76" fillId="5" borderId="29" xfId="1" applyFont="1" applyFill="1" applyBorder="1" applyAlignment="1" applyProtection="1">
      <alignment horizontal="left" vertical="center" wrapText="1"/>
    </xf>
    <xf numFmtId="0" fontId="95" fillId="5" borderId="6" xfId="1" applyFont="1" applyFill="1" applyBorder="1" applyAlignment="1" applyProtection="1">
      <alignment horizontal="center" vertical="center" wrapText="1"/>
    </xf>
    <xf numFmtId="0" fontId="149" fillId="5" borderId="0" xfId="1" applyFont="1" applyFill="1" applyAlignment="1" applyProtection="1">
      <alignment horizontal="left" vertical="center"/>
    </xf>
    <xf numFmtId="0" fontId="149" fillId="5" borderId="0" xfId="1" applyFont="1" applyFill="1" applyAlignment="1" applyProtection="1">
      <alignment vertical="center"/>
    </xf>
    <xf numFmtId="0" fontId="76" fillId="5" borderId="16" xfId="1" applyFont="1" applyFill="1" applyBorder="1" applyAlignment="1" applyProtection="1">
      <alignment horizontal="left" vertical="center" wrapText="1"/>
    </xf>
    <xf numFmtId="0" fontId="76" fillId="2" borderId="8" xfId="1" applyFont="1" applyFill="1" applyBorder="1" applyAlignment="1" applyProtection="1">
      <alignment horizontal="left" vertical="center" wrapText="1"/>
      <protection locked="0"/>
    </xf>
    <xf numFmtId="0" fontId="71" fillId="5" borderId="8" xfId="1" applyFont="1" applyFill="1" applyBorder="1" applyAlignment="1" applyProtection="1">
      <alignment horizontal="left" vertical="center"/>
    </xf>
    <xf numFmtId="10" fontId="86" fillId="5" borderId="2" xfId="1" applyNumberFormat="1" applyFont="1" applyFill="1" applyBorder="1" applyAlignment="1" applyProtection="1">
      <alignment horizontal="center" vertical="center" wrapText="1"/>
    </xf>
    <xf numFmtId="9" fontId="71" fillId="5" borderId="0" xfId="1" applyNumberFormat="1" applyFont="1" applyFill="1" applyBorder="1" applyAlignment="1" applyProtection="1">
      <alignment horizontal="center" vertical="center"/>
    </xf>
    <xf numFmtId="0" fontId="86" fillId="5" borderId="21" xfId="1" applyFont="1" applyFill="1" applyBorder="1" applyAlignment="1" applyProtection="1">
      <alignment horizontal="left" vertical="center" wrapText="1"/>
    </xf>
    <xf numFmtId="177" fontId="86" fillId="0" borderId="12" xfId="1" applyNumberFormat="1" applyFont="1" applyFill="1" applyBorder="1" applyAlignment="1" applyProtection="1">
      <alignment horizontal="center" vertical="center" wrapText="1"/>
      <protection locked="0"/>
    </xf>
    <xf numFmtId="0" fontId="86" fillId="0" borderId="2" xfId="1" applyFont="1" applyFill="1" applyBorder="1" applyAlignment="1" applyProtection="1">
      <alignment horizontal="center" vertical="center" wrapText="1"/>
      <protection locked="0"/>
    </xf>
    <xf numFmtId="181" fontId="76" fillId="5" borderId="0" xfId="1" applyNumberFormat="1" applyFont="1" applyFill="1" applyAlignment="1" applyProtection="1">
      <alignment horizontal="left" vertical="center"/>
    </xf>
    <xf numFmtId="0" fontId="76" fillId="5" borderId="2" xfId="1" applyFont="1" applyFill="1" applyBorder="1" applyAlignment="1" applyProtection="1">
      <alignment horizontal="center" vertical="center"/>
    </xf>
    <xf numFmtId="0" fontId="259" fillId="5" borderId="2" xfId="1" applyFont="1" applyFill="1" applyBorder="1" applyAlignment="1">
      <alignment vertical="center" wrapText="1"/>
    </xf>
    <xf numFmtId="0" fontId="162" fillId="5" borderId="2" xfId="1" applyFont="1" applyFill="1" applyBorder="1" applyAlignment="1">
      <alignment horizontal="center" vertical="center" wrapText="1"/>
    </xf>
    <xf numFmtId="0" fontId="11" fillId="5" borderId="0" xfId="1" applyFont="1" applyFill="1" applyProtection="1">
      <alignment vertical="center"/>
      <protection locked="0"/>
    </xf>
    <xf numFmtId="0" fontId="258" fillId="5" borderId="2" xfId="1" applyFont="1" applyFill="1" applyBorder="1" applyAlignment="1">
      <alignment horizontal="left" vertical="center" wrapText="1"/>
    </xf>
    <xf numFmtId="0" fontId="76" fillId="0" borderId="0" xfId="1" applyFont="1" applyFill="1" applyProtection="1">
      <alignment vertical="center"/>
    </xf>
    <xf numFmtId="0" fontId="76" fillId="0" borderId="0" xfId="1" applyFont="1" applyFill="1" applyProtection="1">
      <alignment vertical="center"/>
      <protection locked="0"/>
    </xf>
    <xf numFmtId="0" fontId="76" fillId="5" borderId="0" xfId="1" applyFont="1" applyFill="1" applyProtection="1">
      <alignment vertical="center"/>
    </xf>
    <xf numFmtId="0" fontId="76" fillId="5" borderId="0" xfId="1" applyFont="1" applyFill="1" applyBorder="1" applyAlignment="1" applyProtection="1">
      <alignment horizontal="center" vertical="center"/>
    </xf>
    <xf numFmtId="0" fontId="76" fillId="5" borderId="0" xfId="1" applyFont="1" applyFill="1" applyBorder="1" applyAlignment="1" applyProtection="1">
      <alignment horizontal="center" vertical="center" wrapText="1"/>
    </xf>
    <xf numFmtId="0" fontId="76" fillId="5" borderId="0" xfId="1" applyFont="1" applyFill="1" applyBorder="1" applyAlignment="1" applyProtection="1">
      <alignment horizontal="left" vertical="center"/>
    </xf>
    <xf numFmtId="10" fontId="86" fillId="5" borderId="0" xfId="1" applyNumberFormat="1" applyFont="1" applyFill="1" applyBorder="1" applyAlignment="1" applyProtection="1">
      <alignment horizontal="center" vertical="center" wrapText="1"/>
    </xf>
    <xf numFmtId="177" fontId="95" fillId="5" borderId="0" xfId="1" applyNumberFormat="1" applyFont="1" applyFill="1" applyBorder="1" applyAlignment="1" applyProtection="1">
      <alignment horizontal="center" vertical="center" wrapText="1"/>
    </xf>
    <xf numFmtId="0" fontId="95" fillId="5" borderId="0" xfId="1" applyFont="1" applyFill="1" applyBorder="1" applyAlignment="1" applyProtection="1">
      <alignment horizontal="left" vertical="center" wrapText="1"/>
    </xf>
    <xf numFmtId="49" fontId="85" fillId="5" borderId="31" xfId="1" applyNumberFormat="1" applyFont="1" applyFill="1" applyBorder="1" applyAlignment="1" applyProtection="1">
      <alignment horizontal="left" vertical="center" wrapText="1"/>
    </xf>
    <xf numFmtId="0" fontId="76" fillId="5" borderId="46" xfId="1" applyFont="1" applyFill="1" applyBorder="1" applyAlignment="1" applyProtection="1">
      <alignment horizontal="left" vertical="center"/>
    </xf>
    <xf numFmtId="10" fontId="86" fillId="5" borderId="44" xfId="1" applyNumberFormat="1" applyFont="1" applyFill="1" applyBorder="1" applyAlignment="1" applyProtection="1">
      <alignment horizontal="center" vertical="center" wrapText="1"/>
    </xf>
    <xf numFmtId="177" fontId="95" fillId="5" borderId="44" xfId="1" applyNumberFormat="1" applyFont="1" applyFill="1" applyBorder="1" applyAlignment="1" applyProtection="1">
      <alignment horizontal="center" vertical="center" wrapText="1"/>
    </xf>
    <xf numFmtId="49" fontId="85" fillId="5" borderId="43" xfId="1" applyNumberFormat="1" applyFont="1" applyFill="1" applyBorder="1" applyAlignment="1" applyProtection="1">
      <alignment horizontal="left" vertical="center" wrapText="1"/>
    </xf>
    <xf numFmtId="0" fontId="76" fillId="5" borderId="12" xfId="1" applyFont="1" applyFill="1" applyBorder="1" applyAlignment="1" applyProtection="1">
      <alignment horizontal="left" vertical="center" wrapText="1"/>
    </xf>
    <xf numFmtId="0" fontId="158" fillId="5" borderId="12" xfId="1" applyFont="1" applyFill="1" applyBorder="1" applyAlignment="1" applyProtection="1">
      <alignment horizontal="left" vertical="center"/>
    </xf>
    <xf numFmtId="0" fontId="95" fillId="5" borderId="2" xfId="1" applyFont="1" applyFill="1" applyBorder="1" applyAlignment="1" applyProtection="1">
      <alignment horizontal="center" vertical="center" wrapText="1"/>
    </xf>
    <xf numFmtId="0" fontId="95" fillId="0" borderId="2" xfId="1" applyFont="1" applyFill="1" applyBorder="1" applyAlignment="1" applyProtection="1">
      <alignment horizontal="center" vertical="center" wrapText="1"/>
      <protection locked="0"/>
    </xf>
    <xf numFmtId="177" fontId="86" fillId="0" borderId="2" xfId="1" applyNumberFormat="1" applyFont="1" applyFill="1" applyBorder="1" applyAlignment="1" applyProtection="1">
      <alignment horizontal="center" vertical="center" wrapText="1"/>
      <protection locked="0"/>
    </xf>
    <xf numFmtId="49" fontId="76" fillId="5" borderId="11" xfId="1" applyNumberFormat="1" applyFont="1" applyFill="1" applyBorder="1" applyAlignment="1" applyProtection="1">
      <alignment horizontal="left" vertical="center" wrapText="1"/>
    </xf>
    <xf numFmtId="177" fontId="86" fillId="5" borderId="2" xfId="1" applyNumberFormat="1" applyFont="1" applyFill="1" applyBorder="1" applyAlignment="1" applyProtection="1">
      <alignment horizontal="center" vertical="center" wrapText="1"/>
    </xf>
    <xf numFmtId="0" fontId="179" fillId="5" borderId="86" xfId="1" applyFont="1" applyFill="1" applyBorder="1" applyAlignment="1" applyProtection="1">
      <alignment vertical="center" wrapText="1"/>
    </xf>
    <xf numFmtId="0" fontId="179" fillId="5" borderId="85" xfId="1" applyFont="1" applyFill="1" applyBorder="1" applyAlignment="1" applyProtection="1">
      <alignment horizontal="center" vertical="center" wrapText="1"/>
    </xf>
    <xf numFmtId="0" fontId="179" fillId="5" borderId="84" xfId="1" applyFont="1" applyFill="1" applyBorder="1" applyAlignment="1" applyProtection="1">
      <alignment vertical="center" wrapText="1"/>
    </xf>
    <xf numFmtId="0" fontId="152" fillId="5" borderId="2" xfId="1" applyFont="1" applyFill="1" applyBorder="1" applyAlignment="1" applyProtection="1">
      <alignment horizontal="center" vertical="center" wrapText="1"/>
    </xf>
    <xf numFmtId="0" fontId="76" fillId="5" borderId="51" xfId="1" applyFont="1" applyFill="1" applyBorder="1" applyAlignment="1" applyProtection="1">
      <alignment horizontal="left" vertical="center" wrapText="1"/>
    </xf>
    <xf numFmtId="0" fontId="95" fillId="5" borderId="21" xfId="1" applyFont="1" applyFill="1" applyBorder="1" applyAlignment="1" applyProtection="1">
      <alignment horizontal="center" vertical="center" wrapText="1"/>
    </xf>
    <xf numFmtId="177" fontId="95" fillId="5" borderId="21" xfId="1" applyNumberFormat="1" applyFont="1" applyFill="1" applyBorder="1" applyAlignment="1" applyProtection="1">
      <alignment horizontal="center" vertical="center" wrapText="1"/>
    </xf>
    <xf numFmtId="0" fontId="95" fillId="5" borderId="21" xfId="1" applyFont="1" applyFill="1" applyBorder="1" applyAlignment="1" applyProtection="1">
      <alignment horizontal="left" vertical="center" wrapText="1"/>
    </xf>
    <xf numFmtId="0" fontId="179" fillId="5" borderId="9" xfId="1" applyFont="1" applyFill="1" applyBorder="1" applyAlignment="1" applyProtection="1">
      <alignment vertical="center" wrapText="1"/>
    </xf>
    <xf numFmtId="0" fontId="179" fillId="5" borderId="8" xfId="1" applyFont="1" applyFill="1" applyBorder="1" applyAlignment="1" applyProtection="1">
      <alignment horizontal="center" vertical="center" wrapText="1"/>
    </xf>
    <xf numFmtId="0" fontId="179" fillId="5" borderId="5" xfId="1" applyFont="1" applyFill="1" applyBorder="1" applyAlignment="1" applyProtection="1">
      <alignment vertical="center" wrapText="1"/>
    </xf>
    <xf numFmtId="0" fontId="165" fillId="5" borderId="5" xfId="1" applyFont="1" applyFill="1" applyBorder="1" applyAlignment="1" applyProtection="1">
      <alignment horizontal="center" vertical="center" wrapText="1"/>
    </xf>
    <xf numFmtId="0" fontId="76" fillId="5" borderId="7" xfId="1" applyFont="1" applyFill="1" applyBorder="1" applyAlignment="1" applyProtection="1">
      <alignment horizontal="left" vertical="center" wrapText="1"/>
    </xf>
    <xf numFmtId="10" fontId="76" fillId="5" borderId="0" xfId="1" applyNumberFormat="1" applyFont="1" applyFill="1" applyAlignment="1" applyProtection="1">
      <alignment horizontal="center" vertical="center"/>
      <protection locked="0"/>
    </xf>
    <xf numFmtId="0" fontId="76" fillId="5" borderId="0" xfId="1" applyFont="1" applyFill="1" applyBorder="1" applyAlignment="1" applyProtection="1">
      <alignment horizontal="left" vertical="center" wrapText="1"/>
    </xf>
    <xf numFmtId="181" fontId="76" fillId="5" borderId="0" xfId="1" applyNumberFormat="1" applyFont="1" applyFill="1" applyProtection="1">
      <alignment vertical="center"/>
    </xf>
    <xf numFmtId="9" fontId="76" fillId="5" borderId="2" xfId="1" applyNumberFormat="1" applyFont="1" applyFill="1" applyBorder="1" applyAlignment="1" applyProtection="1">
      <alignment horizontal="center" vertical="center" wrapText="1"/>
    </xf>
    <xf numFmtId="0" fontId="76" fillId="2" borderId="9" xfId="1" applyFont="1" applyFill="1" applyBorder="1" applyAlignment="1" applyProtection="1">
      <alignment horizontal="center" vertical="center" wrapText="1"/>
      <protection locked="0"/>
    </xf>
    <xf numFmtId="0" fontId="158" fillId="0" borderId="46" xfId="1" applyFont="1" applyFill="1" applyBorder="1" applyAlignment="1" applyProtection="1">
      <alignment vertical="center" wrapText="1"/>
      <protection locked="0"/>
    </xf>
    <xf numFmtId="10" fontId="76" fillId="5" borderId="44" xfId="1" applyNumberFormat="1" applyFont="1" applyFill="1" applyBorder="1" applyAlignment="1" applyProtection="1">
      <alignment horizontal="center" vertical="center"/>
    </xf>
    <xf numFmtId="0" fontId="76" fillId="5" borderId="44" xfId="1" applyFont="1" applyFill="1" applyBorder="1" applyAlignment="1" applyProtection="1">
      <alignment horizontal="center" vertical="center" wrapText="1"/>
    </xf>
    <xf numFmtId="0" fontId="76" fillId="5" borderId="45" xfId="1" applyFont="1" applyFill="1" applyBorder="1" applyAlignment="1" applyProtection="1">
      <alignment horizontal="right" vertical="center"/>
    </xf>
    <xf numFmtId="0" fontId="179" fillId="5" borderId="2" xfId="1" applyFont="1" applyFill="1" applyBorder="1" applyAlignment="1" applyProtection="1">
      <alignment horizontal="center" vertical="center" wrapText="1"/>
    </xf>
    <xf numFmtId="0" fontId="76" fillId="5" borderId="12" xfId="1" applyFont="1" applyFill="1" applyBorder="1" applyProtection="1">
      <alignment vertical="center"/>
    </xf>
    <xf numFmtId="0" fontId="76" fillId="5" borderId="2" xfId="1" applyFont="1" applyFill="1" applyBorder="1" applyAlignment="1" applyProtection="1">
      <alignment horizontal="center" vertical="center" wrapText="1"/>
    </xf>
    <xf numFmtId="0" fontId="76" fillId="5" borderId="5" xfId="1" applyFont="1" applyFill="1" applyBorder="1" applyAlignment="1" applyProtection="1">
      <alignment horizontal="right" vertical="center"/>
    </xf>
    <xf numFmtId="0" fontId="76" fillId="5" borderId="11" xfId="1" applyFont="1" applyFill="1" applyBorder="1" applyAlignment="1" applyProtection="1">
      <alignment horizontal="right" vertical="center" wrapText="1"/>
    </xf>
    <xf numFmtId="9" fontId="179" fillId="5" borderId="10" xfId="1" applyNumberFormat="1" applyFont="1" applyFill="1" applyBorder="1" applyAlignment="1" applyProtection="1">
      <alignment horizontal="center" vertical="center"/>
    </xf>
    <xf numFmtId="0" fontId="165" fillId="5" borderId="10" xfId="1" applyFont="1" applyFill="1" applyBorder="1" applyAlignment="1" applyProtection="1">
      <alignment horizontal="center" vertical="center" wrapText="1"/>
    </xf>
    <xf numFmtId="0" fontId="179" fillId="5" borderId="10" xfId="1" applyFont="1" applyFill="1" applyBorder="1" applyAlignment="1" applyProtection="1">
      <alignment horizontal="center" vertical="center" wrapText="1"/>
    </xf>
    <xf numFmtId="0" fontId="76" fillId="5" borderId="2" xfId="1" applyFont="1" applyFill="1" applyBorder="1" applyProtection="1">
      <alignment vertical="center"/>
    </xf>
    <xf numFmtId="0" fontId="76" fillId="5" borderId="10" xfId="1" applyFont="1" applyFill="1" applyBorder="1" applyAlignment="1" applyProtection="1">
      <alignment horizontal="center" vertical="center" wrapText="1"/>
    </xf>
    <xf numFmtId="0" fontId="76" fillId="5" borderId="4" xfId="1" applyFont="1" applyFill="1" applyBorder="1" applyAlignment="1" applyProtection="1">
      <alignment horizontal="right" vertical="center"/>
    </xf>
    <xf numFmtId="9" fontId="179" fillId="5" borderId="2" xfId="1" applyNumberFormat="1" applyFont="1" applyFill="1" applyBorder="1" applyAlignment="1" applyProtection="1">
      <alignment horizontal="center" vertical="center"/>
    </xf>
    <xf numFmtId="0" fontId="165" fillId="5" borderId="2" xfId="1" applyFont="1" applyFill="1" applyBorder="1" applyAlignment="1" applyProtection="1">
      <alignment horizontal="center" vertical="center" wrapText="1"/>
    </xf>
    <xf numFmtId="0" fontId="158" fillId="0" borderId="12" xfId="1" applyFont="1" applyFill="1" applyBorder="1" applyAlignment="1" applyProtection="1">
      <alignment vertical="center" wrapText="1"/>
      <protection locked="0"/>
    </xf>
    <xf numFmtId="10" fontId="76" fillId="5" borderId="2" xfId="1" applyNumberFormat="1" applyFont="1" applyFill="1" applyBorder="1" applyAlignment="1" applyProtection="1">
      <alignment horizontal="center" vertical="center"/>
    </xf>
    <xf numFmtId="10" fontId="179" fillId="5" borderId="2" xfId="1" applyNumberFormat="1" applyFont="1" applyFill="1" applyBorder="1" applyAlignment="1" applyProtection="1">
      <alignment horizontal="center" vertical="center"/>
    </xf>
    <xf numFmtId="0" fontId="76" fillId="6" borderId="9" xfId="1" applyFont="1" applyFill="1" applyBorder="1" applyAlignment="1" applyProtection="1">
      <alignment horizontal="center" vertical="center"/>
      <protection locked="0"/>
    </xf>
    <xf numFmtId="10" fontId="76" fillId="5" borderId="0" xfId="1" applyNumberFormat="1" applyFont="1" applyFill="1" applyAlignment="1" applyProtection="1">
      <alignment horizontal="center" vertical="center"/>
    </xf>
    <xf numFmtId="0" fontId="79" fillId="5" borderId="0" xfId="1" applyFont="1" applyFill="1" applyProtection="1">
      <alignment vertical="center"/>
    </xf>
    <xf numFmtId="0" fontId="76" fillId="5" borderId="21" xfId="1" applyFont="1" applyFill="1" applyBorder="1" applyAlignment="1" applyProtection="1">
      <alignment horizontal="center" vertical="center" wrapText="1"/>
    </xf>
    <xf numFmtId="0" fontId="76" fillId="5" borderId="17" xfId="1" applyFont="1" applyFill="1" applyBorder="1" applyAlignment="1" applyProtection="1">
      <alignment vertical="center"/>
    </xf>
    <xf numFmtId="0" fontId="166" fillId="5" borderId="21" xfId="1" applyFont="1" applyFill="1" applyBorder="1" applyAlignment="1" applyProtection="1">
      <alignment horizontal="center" vertical="center" wrapText="1"/>
    </xf>
    <xf numFmtId="0" fontId="166" fillId="5" borderId="9" xfId="1" applyFont="1" applyFill="1" applyBorder="1" applyAlignment="1" applyProtection="1">
      <alignment horizontal="center" vertical="center" wrapText="1"/>
    </xf>
    <xf numFmtId="0" fontId="166" fillId="5" borderId="8" xfId="1" applyFont="1" applyFill="1" applyBorder="1" applyAlignment="1" applyProtection="1">
      <alignment horizontal="center" vertical="center" wrapText="1"/>
    </xf>
    <xf numFmtId="0" fontId="166" fillId="5" borderId="8" xfId="1" applyFont="1" applyFill="1" applyBorder="1" applyAlignment="1" applyProtection="1">
      <alignment horizontal="center" vertical="center"/>
    </xf>
    <xf numFmtId="0" fontId="166" fillId="5" borderId="5" xfId="1" applyFont="1" applyFill="1" applyBorder="1" applyAlignment="1" applyProtection="1">
      <alignment horizontal="center" vertical="center" wrapText="1"/>
    </xf>
    <xf numFmtId="0" fontId="178" fillId="5" borderId="10" xfId="1" applyFont="1" applyFill="1" applyBorder="1" applyAlignment="1" applyProtection="1">
      <alignment horizontal="center" vertical="center" wrapText="1"/>
    </xf>
    <xf numFmtId="0" fontId="152" fillId="5" borderId="10" xfId="1" applyFont="1" applyFill="1" applyBorder="1" applyAlignment="1" applyProtection="1">
      <alignment horizontal="center" vertical="center" wrapText="1"/>
    </xf>
    <xf numFmtId="0" fontId="76" fillId="5" borderId="18" xfId="1" applyFont="1" applyFill="1" applyBorder="1" applyProtection="1">
      <alignment vertical="center"/>
    </xf>
    <xf numFmtId="0" fontId="76" fillId="5" borderId="50" xfId="1" applyFont="1" applyFill="1" applyBorder="1" applyAlignment="1" applyProtection="1">
      <alignment horizontal="right" vertical="center" wrapText="1"/>
    </xf>
    <xf numFmtId="0" fontId="178" fillId="5" borderId="2" xfId="1" applyFont="1" applyFill="1" applyBorder="1" applyAlignment="1" applyProtection="1">
      <alignment horizontal="center" vertical="center" wrapText="1"/>
    </xf>
    <xf numFmtId="0" fontId="76" fillId="5" borderId="3" xfId="1" applyFont="1" applyFill="1" applyBorder="1" applyAlignment="1" applyProtection="1">
      <alignment horizontal="center" vertical="center" wrapText="1"/>
    </xf>
    <xf numFmtId="0" fontId="76" fillId="5" borderId="13" xfId="1" applyFont="1" applyFill="1" applyBorder="1" applyAlignment="1" applyProtection="1">
      <alignment vertical="center"/>
    </xf>
    <xf numFmtId="0" fontId="76" fillId="5" borderId="24" xfId="1" applyFont="1" applyFill="1" applyBorder="1" applyAlignment="1" applyProtection="1">
      <alignment horizontal="right" vertical="center" wrapText="1"/>
    </xf>
    <xf numFmtId="190" fontId="178" fillId="5" borderId="21" xfId="1" applyNumberFormat="1" applyFont="1" applyFill="1" applyBorder="1" applyAlignment="1" applyProtection="1">
      <alignment horizontal="center" vertical="center" wrapText="1"/>
    </xf>
    <xf numFmtId="0" fontId="76" fillId="5" borderId="18" xfId="1" applyFont="1" applyFill="1" applyBorder="1" applyAlignment="1" applyProtection="1">
      <alignment horizontal="center" vertical="center"/>
    </xf>
    <xf numFmtId="0" fontId="76" fillId="5" borderId="4" xfId="1" applyFont="1" applyFill="1" applyBorder="1" applyAlignment="1" applyProtection="1">
      <alignment vertical="center"/>
    </xf>
    <xf numFmtId="0" fontId="76" fillId="5" borderId="22" xfId="1" applyFont="1" applyFill="1" applyBorder="1" applyAlignment="1" applyProtection="1">
      <alignment horizontal="right" vertical="center" wrapText="1"/>
    </xf>
    <xf numFmtId="0" fontId="178" fillId="0" borderId="9" xfId="1" applyFont="1" applyFill="1" applyBorder="1" applyAlignment="1" applyProtection="1">
      <alignment horizontal="center" vertical="center" wrapText="1"/>
      <protection locked="0"/>
    </xf>
    <xf numFmtId="0" fontId="178" fillId="0" borderId="8" xfId="1" applyFont="1" applyFill="1" applyBorder="1" applyAlignment="1" applyProtection="1">
      <alignment horizontal="center" vertical="center" wrapText="1"/>
      <protection locked="0"/>
    </xf>
    <xf numFmtId="0" fontId="178" fillId="0" borderId="5" xfId="1" applyFont="1" applyFill="1" applyBorder="1" applyAlignment="1" applyProtection="1">
      <alignment horizontal="center" vertical="center" wrapText="1"/>
      <protection locked="0"/>
    </xf>
    <xf numFmtId="0" fontId="152" fillId="5" borderId="21" xfId="1" applyFont="1" applyFill="1" applyBorder="1" applyAlignment="1" applyProtection="1">
      <alignment horizontal="center" vertical="center" wrapText="1"/>
    </xf>
    <xf numFmtId="9" fontId="76" fillId="5" borderId="0" xfId="1" applyNumberFormat="1" applyFont="1" applyFill="1" applyAlignment="1" applyProtection="1">
      <alignment horizontal="center" vertical="center"/>
      <protection locked="0"/>
    </xf>
    <xf numFmtId="9" fontId="76" fillId="5" borderId="0" xfId="1" applyNumberFormat="1" applyFont="1" applyFill="1" applyAlignment="1" applyProtection="1">
      <alignment horizontal="center" vertical="center"/>
    </xf>
    <xf numFmtId="0" fontId="79" fillId="0" borderId="12" xfId="1" applyFont="1" applyFill="1" applyBorder="1" applyAlignment="1" applyProtection="1">
      <alignment vertical="center" wrapText="1"/>
      <protection locked="0"/>
    </xf>
    <xf numFmtId="10" fontId="76" fillId="5" borderId="21" xfId="1" applyNumberFormat="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0" fontId="76" fillId="5" borderId="5" xfId="1" applyFont="1" applyFill="1" applyBorder="1" applyAlignment="1" applyProtection="1">
      <alignment vertical="center"/>
    </xf>
    <xf numFmtId="0" fontId="157" fillId="5" borderId="32" xfId="1" applyFont="1" applyFill="1" applyBorder="1" applyAlignment="1" applyProtection="1">
      <alignment horizontal="center" vertical="center" wrapText="1"/>
    </xf>
    <xf numFmtId="0" fontId="157" fillId="5" borderId="14" xfId="1" applyFont="1" applyFill="1" applyBorder="1" applyAlignment="1" applyProtection="1">
      <alignment horizontal="center" vertical="center" wrapText="1"/>
    </xf>
    <xf numFmtId="0" fontId="157" fillId="5" borderId="14" xfId="1" applyFont="1" applyFill="1" applyBorder="1" applyAlignment="1" applyProtection="1">
      <alignment horizontal="left" vertical="center" wrapText="1"/>
    </xf>
    <xf numFmtId="0" fontId="157" fillId="5" borderId="8" xfId="1" applyFont="1" applyFill="1" applyBorder="1" applyAlignment="1" applyProtection="1">
      <alignment horizontal="center" vertical="center" wrapText="1"/>
    </xf>
    <xf numFmtId="0" fontId="157" fillId="5" borderId="5" xfId="1" applyFont="1" applyFill="1" applyBorder="1" applyAlignment="1" applyProtection="1">
      <alignment horizontal="center" vertical="center" wrapText="1"/>
    </xf>
    <xf numFmtId="0" fontId="76" fillId="5" borderId="0" xfId="1" applyFont="1" applyFill="1" applyAlignment="1" applyProtection="1">
      <alignment horizontal="center" vertical="center"/>
      <protection locked="0"/>
    </xf>
    <xf numFmtId="0" fontId="76" fillId="5" borderId="0" xfId="1" applyFont="1" applyFill="1" applyAlignment="1" applyProtection="1">
      <alignment horizontal="center" vertical="center"/>
    </xf>
    <xf numFmtId="9" fontId="76" fillId="5" borderId="12" xfId="1" applyNumberFormat="1" applyFont="1" applyFill="1" applyBorder="1" applyAlignment="1" applyProtection="1">
      <alignment horizontal="center" vertical="center"/>
    </xf>
    <xf numFmtId="0" fontId="76" fillId="5" borderId="17" xfId="1" applyFont="1" applyFill="1" applyBorder="1" applyAlignment="1" applyProtection="1">
      <alignment horizontal="center" vertical="center"/>
    </xf>
    <xf numFmtId="0" fontId="85" fillId="5" borderId="20" xfId="1" applyFont="1" applyFill="1" applyBorder="1" applyAlignment="1" applyProtection="1">
      <alignment horizontal="left" vertical="center" wrapText="1"/>
    </xf>
    <xf numFmtId="0" fontId="85" fillId="5" borderId="19" xfId="1" applyFont="1" applyFill="1" applyBorder="1" applyAlignment="1" applyProtection="1">
      <alignment horizontal="left" vertical="center" wrapText="1"/>
    </xf>
    <xf numFmtId="0" fontId="85" fillId="5" borderId="31" xfId="1" applyFont="1" applyFill="1" applyBorder="1" applyAlignment="1" applyProtection="1">
      <alignment horizontal="left" vertical="center" wrapText="1"/>
    </xf>
    <xf numFmtId="0" fontId="157" fillId="5" borderId="0" xfId="1" applyFont="1" applyFill="1" applyAlignment="1" applyProtection="1">
      <alignment horizontal="left" vertical="center"/>
    </xf>
    <xf numFmtId="0" fontId="76" fillId="5" borderId="32" xfId="1" applyFont="1" applyFill="1" applyBorder="1" applyProtection="1">
      <alignment vertical="center"/>
    </xf>
    <xf numFmtId="9" fontId="76" fillId="6" borderId="14" xfId="1" applyNumberFormat="1" applyFont="1" applyFill="1" applyBorder="1" applyAlignment="1" applyProtection="1">
      <alignment horizontal="center" vertical="center"/>
      <protection locked="0"/>
    </xf>
    <xf numFmtId="0" fontId="76" fillId="5" borderId="14" xfId="1" applyFont="1" applyFill="1" applyBorder="1" applyAlignment="1" applyProtection="1">
      <alignment horizontal="right" vertical="center"/>
    </xf>
    <xf numFmtId="0" fontId="76" fillId="5" borderId="10" xfId="1" applyFont="1" applyFill="1" applyBorder="1" applyAlignment="1" applyProtection="1">
      <alignment vertical="center"/>
    </xf>
    <xf numFmtId="0" fontId="69" fillId="5" borderId="0" xfId="1" applyFont="1" applyFill="1" applyBorder="1" applyAlignment="1" applyProtection="1">
      <alignment horizontal="center" vertical="center"/>
      <protection locked="0"/>
    </xf>
    <xf numFmtId="0" fontId="69" fillId="5" borderId="0" xfId="1" applyFont="1" applyFill="1" applyBorder="1" applyAlignment="1" applyProtection="1">
      <alignment horizontal="center" vertical="center"/>
    </xf>
    <xf numFmtId="0" fontId="69" fillId="5" borderId="0" xfId="1" applyFont="1" applyFill="1" applyBorder="1" applyAlignment="1" applyProtection="1">
      <alignment vertical="center"/>
    </xf>
    <xf numFmtId="0" fontId="87" fillId="5" borderId="0" xfId="1" applyFont="1" applyFill="1" applyBorder="1" applyAlignment="1" applyProtection="1">
      <alignment horizontal="left" vertical="center"/>
    </xf>
    <xf numFmtId="0" fontId="150" fillId="5" borderId="0" xfId="1" applyFont="1" applyFill="1" applyBorder="1" applyAlignment="1" applyProtection="1">
      <alignment horizontal="left" vertical="center"/>
    </xf>
    <xf numFmtId="0" fontId="158" fillId="5" borderId="0" xfId="1" applyFont="1" applyFill="1" applyProtection="1">
      <alignment vertical="center"/>
      <protection locked="0"/>
    </xf>
    <xf numFmtId="0" fontId="76" fillId="0" borderId="0" xfId="1" applyFont="1" applyAlignment="1" applyProtection="1">
      <alignment vertical="center" wrapText="1"/>
      <protection locked="0"/>
    </xf>
    <xf numFmtId="0" fontId="85" fillId="0" borderId="0" xfId="1" applyFont="1" applyAlignment="1" applyProtection="1">
      <alignment vertical="center" wrapText="1"/>
      <protection locked="0"/>
    </xf>
    <xf numFmtId="2" fontId="76" fillId="0" borderId="0" xfId="1" applyNumberFormat="1" applyFont="1" applyAlignment="1" applyProtection="1">
      <alignment vertical="center" wrapText="1"/>
      <protection locked="0"/>
    </xf>
    <xf numFmtId="0" fontId="85" fillId="0" borderId="0" xfId="1" applyFont="1" applyAlignment="1" applyProtection="1">
      <alignment horizontal="left" vertical="center"/>
      <protection locked="0"/>
    </xf>
    <xf numFmtId="0" fontId="76" fillId="0" borderId="19" xfId="1" applyFont="1" applyBorder="1" applyAlignment="1" applyProtection="1">
      <alignment horizontal="right" vertical="center"/>
      <protection locked="0"/>
    </xf>
    <xf numFmtId="0" fontId="76" fillId="0" borderId="19" xfId="1" applyFont="1" applyBorder="1" applyProtection="1">
      <alignment vertical="center"/>
      <protection locked="0"/>
    </xf>
    <xf numFmtId="0" fontId="85" fillId="0" borderId="19" xfId="1" applyFont="1" applyBorder="1" applyAlignment="1" applyProtection="1">
      <alignment horizontal="left" vertical="center"/>
      <protection locked="0"/>
    </xf>
    <xf numFmtId="0" fontId="76" fillId="0" borderId="0" xfId="1" applyFont="1" applyFill="1" applyBorder="1" applyAlignment="1" applyProtection="1">
      <alignment horizontal="center" vertical="center"/>
      <protection locked="0"/>
    </xf>
    <xf numFmtId="0" fontId="76" fillId="0" borderId="0" xfId="1" applyFont="1" applyFill="1" applyBorder="1" applyAlignment="1" applyProtection="1">
      <alignment horizontal="center" vertical="center" wrapText="1"/>
      <protection locked="0"/>
    </xf>
    <xf numFmtId="0" fontId="76" fillId="0" borderId="0" xfId="1" applyFont="1" applyBorder="1" applyAlignment="1" applyProtection="1">
      <alignment horizontal="left" vertical="center" wrapText="1"/>
      <protection locked="0"/>
    </xf>
    <xf numFmtId="0" fontId="76" fillId="0" borderId="20" xfId="1" applyFont="1" applyBorder="1" applyProtection="1">
      <alignment vertical="center"/>
      <protection locked="0"/>
    </xf>
    <xf numFmtId="0" fontId="76" fillId="0" borderId="19" xfId="1" applyFont="1" applyFill="1" applyBorder="1" applyAlignment="1" applyProtection="1">
      <alignment horizontal="center" vertical="center"/>
      <protection locked="0"/>
    </xf>
    <xf numFmtId="0" fontId="76" fillId="0" borderId="19" xfId="1" applyFont="1" applyFill="1" applyBorder="1" applyAlignment="1" applyProtection="1">
      <alignment horizontal="center" vertical="center" wrapText="1"/>
      <protection locked="0"/>
    </xf>
    <xf numFmtId="0" fontId="76" fillId="0" borderId="19" xfId="1" applyFont="1" applyBorder="1" applyAlignment="1" applyProtection="1">
      <alignment horizontal="left" vertical="center" wrapText="1"/>
      <protection locked="0"/>
    </xf>
    <xf numFmtId="0" fontId="76" fillId="0" borderId="17" xfId="1" applyFont="1" applyBorder="1" applyAlignment="1" applyProtection="1">
      <alignment horizontal="left" vertical="center" wrapText="1"/>
      <protection locked="0"/>
    </xf>
    <xf numFmtId="0" fontId="76" fillId="0" borderId="18" xfId="1" applyFont="1" applyBorder="1" applyProtection="1">
      <alignment vertical="center"/>
      <protection locked="0"/>
    </xf>
    <xf numFmtId="0" fontId="76" fillId="0" borderId="13" xfId="1" applyFont="1" applyBorder="1" applyAlignment="1" applyProtection="1">
      <alignment horizontal="left" vertical="center" wrapText="1"/>
      <protection locked="0"/>
    </xf>
    <xf numFmtId="0" fontId="158" fillId="5" borderId="0" xfId="1" applyFont="1" applyFill="1" applyBorder="1" applyAlignment="1" applyProtection="1">
      <alignment horizontal="center" vertical="center"/>
      <protection locked="0"/>
    </xf>
    <xf numFmtId="0" fontId="76" fillId="0" borderId="32" xfId="1" applyFont="1" applyBorder="1" applyProtection="1">
      <alignment vertical="center"/>
      <protection locked="0"/>
    </xf>
    <xf numFmtId="0" fontId="76" fillId="0" borderId="14" xfId="1" applyFont="1" applyFill="1" applyBorder="1" applyAlignment="1" applyProtection="1">
      <alignment horizontal="center" vertical="center"/>
      <protection locked="0"/>
    </xf>
    <xf numFmtId="0" fontId="76" fillId="0" borderId="14" xfId="1" applyFont="1" applyFill="1" applyBorder="1" applyAlignment="1" applyProtection="1">
      <alignment horizontal="center" vertical="center" wrapText="1"/>
      <protection locked="0"/>
    </xf>
    <xf numFmtId="0" fontId="94" fillId="6" borderId="0" xfId="1" applyFont="1" applyFill="1" applyBorder="1" applyAlignment="1" applyProtection="1">
      <alignment horizontal="left" vertical="center" wrapText="1"/>
      <protection locked="0"/>
    </xf>
    <xf numFmtId="0" fontId="93" fillId="0" borderId="0" xfId="1" applyFont="1" applyBorder="1" applyAlignment="1" applyProtection="1">
      <alignment horizontal="left" vertical="center" wrapText="1"/>
    </xf>
    <xf numFmtId="0" fontId="155" fillId="0" borderId="13" xfId="1" applyFont="1" applyBorder="1" applyAlignment="1" applyProtection="1">
      <alignment horizontal="left" vertical="center"/>
    </xf>
    <xf numFmtId="0" fontId="153" fillId="5" borderId="0" xfId="1" applyFont="1" applyFill="1" applyBorder="1" applyAlignment="1" applyProtection="1">
      <alignment horizontal="center" vertical="center"/>
    </xf>
    <xf numFmtId="0" fontId="85" fillId="5" borderId="12" xfId="1" applyFont="1" applyFill="1" applyBorder="1" applyAlignment="1" applyProtection="1">
      <alignment horizontal="right" vertical="center"/>
    </xf>
    <xf numFmtId="0" fontId="85" fillId="5" borderId="2" xfId="1" applyFont="1" applyFill="1" applyBorder="1" applyAlignment="1" applyProtection="1">
      <alignment horizontal="right" vertical="center"/>
    </xf>
    <xf numFmtId="0" fontId="75" fillId="5" borderId="45" xfId="1" applyFont="1" applyFill="1" applyBorder="1" applyAlignment="1" applyProtection="1">
      <alignment horizontal="right" vertical="center"/>
    </xf>
    <xf numFmtId="0" fontId="75" fillId="5" borderId="4" xfId="1" applyFont="1" applyFill="1" applyBorder="1" applyAlignment="1" applyProtection="1">
      <alignment horizontal="right" vertical="center"/>
    </xf>
    <xf numFmtId="0" fontId="171" fillId="5" borderId="69" xfId="1" applyFont="1" applyFill="1" applyBorder="1" applyAlignment="1" applyProtection="1">
      <alignment horizontal="center" vertical="center" wrapText="1"/>
    </xf>
    <xf numFmtId="0" fontId="76" fillId="5" borderId="55" xfId="1" applyFont="1" applyFill="1" applyBorder="1" applyProtection="1">
      <alignment vertical="center"/>
    </xf>
    <xf numFmtId="179" fontId="171" fillId="5" borderId="44" xfId="1" applyNumberFormat="1" applyFont="1" applyFill="1" applyBorder="1" applyAlignment="1" applyProtection="1">
      <alignment horizontal="center" vertical="center" wrapText="1"/>
    </xf>
    <xf numFmtId="0" fontId="177" fillId="5" borderId="44" xfId="1" applyFont="1" applyFill="1" applyBorder="1" applyAlignment="1" applyProtection="1">
      <alignment horizontal="center" vertical="center" wrapText="1"/>
    </xf>
    <xf numFmtId="0" fontId="177" fillId="5" borderId="43" xfId="1" applyFont="1" applyFill="1" applyBorder="1" applyAlignment="1" applyProtection="1">
      <alignment horizontal="center" vertical="center" wrapText="1"/>
    </xf>
    <xf numFmtId="0" fontId="75" fillId="5" borderId="5" xfId="1" applyFont="1" applyFill="1" applyBorder="1" applyAlignment="1" applyProtection="1">
      <alignment horizontal="right" vertical="center"/>
    </xf>
    <xf numFmtId="0" fontId="177" fillId="5" borderId="25" xfId="1" applyFont="1" applyFill="1" applyBorder="1" applyAlignment="1" applyProtection="1">
      <alignment horizontal="center" vertical="center" wrapText="1"/>
    </xf>
    <xf numFmtId="0" fontId="177" fillId="5" borderId="10" xfId="1" applyFont="1" applyFill="1" applyBorder="1" applyAlignment="1" applyProtection="1">
      <alignment horizontal="center" vertical="center" wrapText="1"/>
    </xf>
    <xf numFmtId="179" fontId="171" fillId="5" borderId="2" xfId="1" applyNumberFormat="1" applyFont="1" applyFill="1" applyBorder="1" applyAlignment="1" applyProtection="1">
      <alignment horizontal="center" vertical="center" wrapText="1"/>
    </xf>
    <xf numFmtId="0" fontId="177" fillId="5" borderId="2" xfId="1" applyFont="1" applyFill="1" applyBorder="1" applyAlignment="1" applyProtection="1">
      <alignment horizontal="center" vertical="center" wrapText="1"/>
    </xf>
    <xf numFmtId="0" fontId="177" fillId="5" borderId="11" xfId="1" applyFont="1" applyFill="1" applyBorder="1" applyAlignment="1" applyProtection="1">
      <alignment horizontal="center" vertical="center" wrapText="1"/>
    </xf>
    <xf numFmtId="0" fontId="76" fillId="6" borderId="0" xfId="1" applyFont="1" applyFill="1" applyProtection="1">
      <alignment vertical="center"/>
      <protection locked="0"/>
    </xf>
    <xf numFmtId="0" fontId="176" fillId="6" borderId="7" xfId="1" applyFont="1" applyFill="1" applyBorder="1" applyAlignment="1" applyProtection="1">
      <alignment horizontal="justify" vertical="center" wrapText="1"/>
    </xf>
    <xf numFmtId="0" fontId="176" fillId="6" borderId="6" xfId="1" applyFont="1" applyFill="1" applyBorder="1" applyAlignment="1" applyProtection="1">
      <alignment horizontal="justify" vertical="center" wrapText="1"/>
    </xf>
    <xf numFmtId="0" fontId="176" fillId="5" borderId="27" xfId="1" applyFont="1" applyFill="1" applyBorder="1" applyAlignment="1" applyProtection="1">
      <alignment horizontal="center" vertical="center" wrapText="1"/>
    </xf>
    <xf numFmtId="0" fontId="176" fillId="6" borderId="27" xfId="1" applyFont="1" applyFill="1" applyBorder="1" applyAlignment="1" applyProtection="1">
      <alignment horizontal="center" vertical="center" wrapText="1"/>
    </xf>
    <xf numFmtId="0" fontId="176" fillId="5" borderId="53" xfId="1" applyFont="1" applyFill="1" applyBorder="1" applyAlignment="1" applyProtection="1">
      <alignment horizontal="justify" vertical="center" wrapText="1"/>
    </xf>
    <xf numFmtId="0" fontId="181" fillId="5" borderId="66" xfId="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xf>
    <xf numFmtId="0" fontId="70" fillId="5" borderId="6" xfId="1" applyFont="1" applyFill="1" applyBorder="1" applyAlignment="1" applyProtection="1">
      <alignment horizontal="center" vertical="center"/>
    </xf>
    <xf numFmtId="0" fontId="154" fillId="5" borderId="40" xfId="1" applyFont="1" applyFill="1" applyBorder="1" applyAlignment="1" applyProtection="1">
      <alignment horizontal="center" vertical="center" wrapText="1"/>
    </xf>
    <xf numFmtId="0" fontId="70" fillId="5" borderId="58" xfId="1" applyFont="1" applyFill="1" applyBorder="1" applyAlignment="1" applyProtection="1">
      <alignment horizontal="center" vertical="center"/>
    </xf>
    <xf numFmtId="0" fontId="70" fillId="5" borderId="26" xfId="1" applyFont="1" applyFill="1" applyBorder="1" applyAlignment="1" applyProtection="1">
      <alignment horizontal="center" vertical="center"/>
    </xf>
    <xf numFmtId="0" fontId="150" fillId="5" borderId="0" xfId="1" applyFont="1" applyFill="1" applyProtection="1">
      <alignment vertical="center"/>
    </xf>
    <xf numFmtId="0" fontId="153" fillId="0" borderId="46" xfId="1" applyFont="1" applyFill="1" applyBorder="1" applyAlignment="1" applyProtection="1">
      <alignment horizontal="center" vertical="center"/>
      <protection locked="0"/>
    </xf>
    <xf numFmtId="0" fontId="153" fillId="0" borderId="44" xfId="1" applyFont="1" applyFill="1" applyBorder="1" applyAlignment="1" applyProtection="1">
      <alignment horizontal="center" vertical="center"/>
      <protection locked="0"/>
    </xf>
    <xf numFmtId="0" fontId="153" fillId="0" borderId="43" xfId="1" applyFont="1" applyFill="1" applyBorder="1" applyAlignment="1" applyProtection="1">
      <alignment horizontal="center" vertical="center"/>
      <protection locked="0"/>
    </xf>
    <xf numFmtId="0" fontId="76" fillId="5" borderId="80" xfId="1" applyFont="1" applyFill="1" applyBorder="1" applyProtection="1">
      <alignment vertical="center"/>
    </xf>
    <xf numFmtId="0" fontId="174" fillId="5" borderId="38" xfId="1" applyFont="1" applyFill="1" applyBorder="1" applyAlignment="1" applyProtection="1">
      <alignment horizontal="center" vertical="center" wrapText="1"/>
    </xf>
    <xf numFmtId="0" fontId="173" fillId="5" borderId="38" xfId="1" applyFont="1" applyFill="1" applyBorder="1" applyAlignment="1" applyProtection="1">
      <alignment horizontal="center" vertical="center" wrapText="1"/>
    </xf>
    <xf numFmtId="0" fontId="173" fillId="5" borderId="82" xfId="1" applyFont="1" applyFill="1" applyBorder="1" applyAlignment="1" applyProtection="1">
      <alignment horizontal="center" vertical="center" wrapText="1"/>
    </xf>
    <xf numFmtId="0" fontId="153" fillId="0" borderId="12" xfId="1" applyFont="1" applyFill="1" applyBorder="1" applyAlignment="1" applyProtection="1">
      <alignment horizontal="center" vertical="center"/>
      <protection locked="0"/>
    </xf>
    <xf numFmtId="0" fontId="153" fillId="0" borderId="2" xfId="1" applyFont="1" applyFill="1" applyBorder="1" applyAlignment="1" applyProtection="1">
      <alignment horizontal="center" vertical="center"/>
      <protection locked="0"/>
    </xf>
    <xf numFmtId="0" fontId="153" fillId="0" borderId="11" xfId="1" applyFont="1" applyFill="1" applyBorder="1" applyAlignment="1" applyProtection="1">
      <alignment horizontal="center" vertical="center"/>
      <protection locked="0"/>
    </xf>
    <xf numFmtId="0" fontId="76" fillId="5" borderId="79" xfId="1" applyFont="1" applyFill="1" applyBorder="1" applyProtection="1">
      <alignment vertical="center"/>
    </xf>
    <xf numFmtId="0" fontId="149" fillId="5" borderId="66" xfId="1" applyFont="1" applyFill="1" applyBorder="1" applyAlignment="1" applyProtection="1">
      <alignment vertical="center" wrapText="1"/>
    </xf>
    <xf numFmtId="0" fontId="173" fillId="5" borderId="65" xfId="1" applyFont="1" applyFill="1" applyBorder="1" applyAlignment="1" applyProtection="1">
      <alignment horizontal="center" vertical="center" wrapText="1"/>
    </xf>
    <xf numFmtId="0" fontId="153" fillId="0" borderId="7" xfId="1" applyFont="1" applyFill="1" applyBorder="1" applyAlignment="1" applyProtection="1">
      <alignment horizontal="center" vertical="center"/>
      <protection locked="0"/>
    </xf>
    <xf numFmtId="0" fontId="153" fillId="0" borderId="6" xfId="1" applyFont="1" applyFill="1" applyBorder="1" applyAlignment="1" applyProtection="1">
      <alignment horizontal="center" vertical="center"/>
      <protection locked="0"/>
    </xf>
    <xf numFmtId="0" fontId="153" fillId="0" borderId="1" xfId="1" applyFont="1" applyFill="1" applyBorder="1" applyAlignment="1" applyProtection="1">
      <alignment horizontal="center" vertical="center"/>
      <protection locked="0"/>
    </xf>
    <xf numFmtId="0" fontId="75" fillId="5" borderId="35" xfId="1" applyFont="1" applyFill="1" applyBorder="1" applyAlignment="1" applyProtection="1">
      <alignment vertical="center"/>
    </xf>
    <xf numFmtId="0" fontId="173" fillId="5" borderId="39" xfId="1" applyFont="1" applyFill="1" applyBorder="1" applyAlignment="1" applyProtection="1">
      <alignment horizontal="center" vertical="center" wrapText="1"/>
    </xf>
    <xf numFmtId="0" fontId="71" fillId="0" borderId="38" xfId="1" applyFont="1" applyFill="1" applyBorder="1" applyProtection="1">
      <alignment vertical="center"/>
      <protection locked="0"/>
    </xf>
    <xf numFmtId="0" fontId="75" fillId="0" borderId="44" xfId="1" applyFont="1" applyFill="1" applyBorder="1" applyAlignment="1" applyProtection="1">
      <alignment horizontal="center" vertical="center"/>
      <protection locked="0"/>
    </xf>
    <xf numFmtId="0" fontId="71" fillId="5" borderId="47" xfId="1" applyFont="1" applyFill="1" applyBorder="1" applyAlignment="1" applyProtection="1">
      <alignment horizontal="left" vertical="center"/>
    </xf>
    <xf numFmtId="0" fontId="85" fillId="5" borderId="15" xfId="1" applyFont="1" applyFill="1" applyBorder="1" applyAlignment="1" applyProtection="1">
      <alignment horizontal="left" vertical="center"/>
    </xf>
    <xf numFmtId="0" fontId="85" fillId="5" borderId="14" xfId="1" applyFont="1" applyFill="1" applyBorder="1" applyAlignment="1" applyProtection="1">
      <alignment horizontal="right" vertical="center"/>
    </xf>
    <xf numFmtId="0" fontId="75" fillId="5" borderId="3" xfId="1" applyFont="1" applyFill="1" applyBorder="1" applyProtection="1">
      <alignment vertical="center"/>
    </xf>
    <xf numFmtId="0" fontId="75" fillId="5" borderId="54" xfId="1" applyFont="1" applyFill="1" applyBorder="1" applyAlignment="1" applyProtection="1">
      <alignment vertical="center"/>
    </xf>
    <xf numFmtId="0" fontId="76" fillId="5" borderId="66" xfId="1" applyFont="1" applyFill="1" applyBorder="1" applyProtection="1">
      <alignment vertical="center"/>
    </xf>
    <xf numFmtId="0" fontId="76" fillId="5" borderId="61" xfId="1" applyFont="1" applyFill="1" applyBorder="1" applyProtection="1">
      <alignment vertical="center"/>
    </xf>
    <xf numFmtId="0" fontId="171" fillId="5" borderId="54" xfId="1" applyFont="1" applyFill="1" applyBorder="1" applyAlignment="1" applyProtection="1">
      <alignment horizontal="left" vertical="center"/>
    </xf>
    <xf numFmtId="0" fontId="71" fillId="5" borderId="0" xfId="1" applyFont="1" applyFill="1" applyProtection="1">
      <alignment vertical="center"/>
    </xf>
    <xf numFmtId="0" fontId="75" fillId="0" borderId="12" xfId="1" applyFont="1" applyFill="1" applyBorder="1" applyAlignment="1" applyProtection="1">
      <alignment horizontal="center" vertical="center"/>
      <protection locked="0"/>
    </xf>
    <xf numFmtId="0" fontId="71" fillId="5" borderId="9" xfId="1" applyFont="1" applyFill="1" applyBorder="1" applyAlignment="1" applyProtection="1">
      <alignment horizontal="left" vertical="center"/>
    </xf>
    <xf numFmtId="0" fontId="85" fillId="5" borderId="16" xfId="1" applyFont="1" applyFill="1" applyBorder="1" applyProtection="1">
      <alignment vertical="center"/>
    </xf>
    <xf numFmtId="0" fontId="75" fillId="5" borderId="10" xfId="1" applyFont="1" applyFill="1" applyBorder="1" applyProtection="1">
      <alignment vertical="center"/>
    </xf>
    <xf numFmtId="0" fontId="90" fillId="5" borderId="31" xfId="1" applyFont="1" applyFill="1" applyBorder="1" applyAlignment="1" applyProtection="1">
      <alignment horizontal="right" vertical="center"/>
    </xf>
    <xf numFmtId="0" fontId="76" fillId="5" borderId="16" xfId="1" applyFont="1" applyFill="1" applyBorder="1" applyProtection="1">
      <alignment vertical="center"/>
    </xf>
    <xf numFmtId="0" fontId="76" fillId="5" borderId="8" xfId="1" applyFont="1" applyFill="1" applyBorder="1" applyProtection="1">
      <alignment vertical="center"/>
    </xf>
    <xf numFmtId="0" fontId="171" fillId="5" borderId="64" xfId="1" applyFont="1" applyFill="1" applyBorder="1" applyAlignment="1" applyProtection="1">
      <alignment horizontal="left" vertical="center"/>
    </xf>
    <xf numFmtId="0" fontId="76" fillId="5" borderId="38" xfId="1" applyFont="1" applyFill="1" applyBorder="1" applyProtection="1">
      <alignment vertical="center"/>
    </xf>
    <xf numFmtId="0" fontId="76" fillId="6" borderId="37" xfId="1" applyFont="1" applyFill="1" applyBorder="1" applyProtection="1">
      <alignment vertical="center"/>
      <protection locked="0"/>
    </xf>
    <xf numFmtId="0" fontId="75" fillId="0" borderId="7" xfId="1" applyFont="1" applyFill="1" applyBorder="1" applyAlignment="1" applyProtection="1">
      <alignment horizontal="center" vertical="center"/>
      <protection locked="0"/>
    </xf>
    <xf numFmtId="0" fontId="71" fillId="5" borderId="42" xfId="1" applyFont="1" applyFill="1" applyBorder="1" applyAlignment="1" applyProtection="1">
      <alignment horizontal="left" vertical="center"/>
    </xf>
    <xf numFmtId="0" fontId="85" fillId="5" borderId="16" xfId="1" applyFont="1" applyFill="1" applyBorder="1" applyAlignment="1" applyProtection="1">
      <alignment vertical="center"/>
    </xf>
    <xf numFmtId="0" fontId="75" fillId="5" borderId="2" xfId="1" applyFont="1" applyFill="1" applyBorder="1" applyProtection="1">
      <alignment vertical="center"/>
    </xf>
    <xf numFmtId="0" fontId="89" fillId="5" borderId="31" xfId="1" applyFont="1" applyFill="1" applyBorder="1" applyAlignment="1" applyProtection="1">
      <alignment vertical="center"/>
    </xf>
    <xf numFmtId="0" fontId="76" fillId="5" borderId="65" xfId="1" applyFont="1" applyFill="1" applyBorder="1" applyProtection="1">
      <alignment vertical="center"/>
      <protection locked="0"/>
    </xf>
    <xf numFmtId="0" fontId="76" fillId="5" borderId="0" xfId="1" applyFont="1" applyFill="1" applyBorder="1" applyProtection="1">
      <alignment vertical="center"/>
      <protection locked="0"/>
    </xf>
    <xf numFmtId="0" fontId="171" fillId="5" borderId="31" xfId="1" applyFont="1" applyFill="1" applyBorder="1" applyAlignment="1" applyProtection="1">
      <alignment horizontal="left" vertical="center"/>
    </xf>
    <xf numFmtId="0" fontId="85" fillId="5" borderId="57" xfId="1" applyFont="1" applyFill="1" applyBorder="1" applyAlignment="1" applyProtection="1">
      <alignment vertical="center"/>
    </xf>
    <xf numFmtId="0" fontId="75" fillId="5" borderId="40" xfId="1" applyFont="1" applyFill="1" applyBorder="1" applyAlignment="1" applyProtection="1">
      <alignment horizontal="right" vertical="center"/>
    </xf>
    <xf numFmtId="0" fontId="75" fillId="5" borderId="6" xfId="1" applyFont="1" applyFill="1" applyBorder="1" applyAlignment="1" applyProtection="1">
      <alignment vertical="center"/>
    </xf>
    <xf numFmtId="0" fontId="75" fillId="5" borderId="26" xfId="1" applyFont="1" applyFill="1" applyBorder="1" applyAlignment="1" applyProtection="1">
      <alignment vertical="center"/>
    </xf>
    <xf numFmtId="0" fontId="76" fillId="5" borderId="16" xfId="1" applyFont="1" applyFill="1" applyBorder="1" applyProtection="1">
      <alignment vertical="center"/>
      <protection locked="0"/>
    </xf>
    <xf numFmtId="0" fontId="76" fillId="5" borderId="8" xfId="1" applyFont="1" applyFill="1" applyBorder="1" applyProtection="1">
      <alignment vertical="center"/>
      <protection locked="0"/>
    </xf>
    <xf numFmtId="0" fontId="69" fillId="5" borderId="64" xfId="1" applyFont="1" applyFill="1" applyBorder="1" applyProtection="1">
      <alignment vertical="center"/>
      <protection locked="0"/>
    </xf>
    <xf numFmtId="0" fontId="158" fillId="5" borderId="0" xfId="1" applyFont="1" applyFill="1" applyProtection="1">
      <alignment vertical="center"/>
    </xf>
    <xf numFmtId="0" fontId="153" fillId="0" borderId="43" xfId="1" applyFont="1" applyFill="1" applyBorder="1" applyAlignment="1" applyProtection="1">
      <alignment horizontal="center" vertical="center"/>
    </xf>
    <xf numFmtId="0" fontId="153" fillId="0" borderId="11" xfId="1" applyFont="1" applyBorder="1" applyAlignment="1" applyProtection="1">
      <alignment horizontal="center" vertical="center"/>
      <protection locked="0"/>
    </xf>
    <xf numFmtId="0" fontId="76" fillId="5" borderId="57" xfId="1" applyFont="1" applyFill="1" applyBorder="1" applyProtection="1">
      <alignment vertical="center"/>
    </xf>
    <xf numFmtId="0" fontId="76" fillId="5" borderId="30" xfId="1" applyFont="1" applyFill="1" applyBorder="1" applyProtection="1">
      <alignment vertical="center"/>
    </xf>
    <xf numFmtId="0" fontId="171" fillId="5" borderId="59" xfId="1" applyFont="1" applyFill="1" applyBorder="1" applyAlignment="1" applyProtection="1">
      <alignment horizontal="left" vertical="center"/>
    </xf>
    <xf numFmtId="0" fontId="71" fillId="5" borderId="16" xfId="1" applyFont="1" applyFill="1" applyBorder="1" applyAlignment="1" applyProtection="1">
      <alignment horizontal="center" vertical="center"/>
    </xf>
    <xf numFmtId="0" fontId="71" fillId="5" borderId="17" xfId="1" applyFont="1" applyFill="1" applyBorder="1" applyAlignment="1" applyProtection="1">
      <alignment horizontal="right" vertical="center"/>
    </xf>
    <xf numFmtId="0" fontId="71" fillId="6" borderId="2" xfId="1" applyFont="1" applyFill="1" applyBorder="1" applyProtection="1">
      <alignment vertical="center"/>
      <protection locked="0"/>
    </xf>
    <xf numFmtId="0" fontId="71" fillId="5" borderId="57" xfId="1" applyFont="1" applyFill="1" applyBorder="1" applyAlignment="1" applyProtection="1">
      <alignment horizontal="center" vertical="center"/>
    </xf>
    <xf numFmtId="0" fontId="71" fillId="5" borderId="29" xfId="1" applyFont="1" applyFill="1" applyBorder="1" applyAlignment="1" applyProtection="1">
      <alignment horizontal="right" vertical="center"/>
    </xf>
    <xf numFmtId="0" fontId="71" fillId="5" borderId="6" xfId="1" applyFont="1" applyFill="1" applyBorder="1" applyAlignment="1" applyProtection="1">
      <alignment vertical="center"/>
    </xf>
    <xf numFmtId="0" fontId="76" fillId="5" borderId="48" xfId="1" applyFont="1" applyFill="1" applyBorder="1" applyAlignment="1" applyProtection="1">
      <alignment horizontal="left" vertical="center"/>
    </xf>
    <xf numFmtId="0" fontId="76" fillId="5" borderId="56" xfId="1" applyFont="1" applyFill="1" applyBorder="1" applyAlignment="1" applyProtection="1">
      <alignment horizontal="right" vertical="center"/>
    </xf>
    <xf numFmtId="0" fontId="71" fillId="5" borderId="55" xfId="1" applyFont="1" applyFill="1" applyBorder="1" applyProtection="1">
      <alignment vertical="center"/>
    </xf>
    <xf numFmtId="181" fontId="88" fillId="5" borderId="8" xfId="1" applyNumberFormat="1" applyFont="1" applyFill="1" applyBorder="1" applyAlignment="1" applyProtection="1">
      <alignment horizontal="center" vertical="center"/>
    </xf>
    <xf numFmtId="0" fontId="76" fillId="5" borderId="5" xfId="1" applyFont="1" applyFill="1" applyBorder="1" applyProtection="1">
      <alignment vertical="center"/>
    </xf>
    <xf numFmtId="0" fontId="75" fillId="5" borderId="5" xfId="1" applyFont="1" applyFill="1" applyBorder="1" applyAlignment="1" applyProtection="1">
      <alignment horizontal="left" vertical="center"/>
    </xf>
    <xf numFmtId="0" fontId="71" fillId="5" borderId="8" xfId="1" applyFont="1" applyFill="1" applyBorder="1" applyAlignment="1" applyProtection="1">
      <alignment horizontal="right" vertical="center"/>
    </xf>
    <xf numFmtId="0" fontId="71" fillId="5" borderId="10" xfId="1" applyFont="1" applyFill="1" applyBorder="1" applyProtection="1">
      <alignment vertical="center"/>
    </xf>
    <xf numFmtId="0" fontId="75" fillId="5" borderId="31" xfId="1" applyFont="1" applyFill="1" applyBorder="1" applyAlignment="1" applyProtection="1">
      <alignment vertical="center"/>
    </xf>
    <xf numFmtId="0" fontId="71" fillId="5" borderId="4" xfId="1" applyFont="1" applyFill="1" applyBorder="1" applyAlignment="1" applyProtection="1">
      <alignment horizontal="center" vertical="center"/>
    </xf>
    <xf numFmtId="0" fontId="71" fillId="5" borderId="10" xfId="1" applyFont="1" applyFill="1" applyBorder="1" applyAlignment="1" applyProtection="1">
      <alignment horizontal="center" vertical="center"/>
    </xf>
    <xf numFmtId="0" fontId="76" fillId="6" borderId="0" xfId="1" applyFont="1" applyFill="1" applyProtection="1">
      <alignment vertical="center"/>
    </xf>
    <xf numFmtId="0" fontId="76" fillId="6" borderId="16" xfId="1" applyFont="1" applyFill="1" applyBorder="1" applyAlignment="1" applyProtection="1">
      <alignment vertical="center"/>
    </xf>
    <xf numFmtId="0" fontId="71" fillId="6" borderId="5" xfId="1" applyFont="1" applyFill="1" applyBorder="1" applyAlignment="1" applyProtection="1">
      <alignment horizontal="right" vertical="center"/>
    </xf>
    <xf numFmtId="0" fontId="71" fillId="6" borderId="2" xfId="1" applyFont="1" applyFill="1" applyBorder="1" applyProtection="1">
      <alignment vertical="center"/>
    </xf>
    <xf numFmtId="0" fontId="75" fillId="6" borderId="31" xfId="1" applyFont="1" applyFill="1" applyBorder="1" applyAlignment="1" applyProtection="1">
      <alignment vertical="center"/>
    </xf>
    <xf numFmtId="0" fontId="149" fillId="6" borderId="5" xfId="1" applyFont="1" applyFill="1" applyBorder="1" applyAlignment="1" applyProtection="1">
      <alignment horizontal="center" vertical="center"/>
    </xf>
    <xf numFmtId="0" fontId="149" fillId="6" borderId="2" xfId="1" applyFont="1" applyFill="1" applyBorder="1" applyAlignment="1" applyProtection="1">
      <alignment horizontal="center" vertical="center"/>
    </xf>
    <xf numFmtId="0" fontId="76" fillId="5" borderId="39" xfId="1" applyFont="1" applyFill="1" applyBorder="1" applyAlignment="1" applyProtection="1">
      <alignment vertical="center"/>
    </xf>
    <xf numFmtId="0" fontId="71" fillId="5" borderId="40" xfId="1" applyFont="1" applyFill="1" applyBorder="1" applyAlignment="1" applyProtection="1">
      <alignment horizontal="right" vertical="center"/>
    </xf>
    <xf numFmtId="0" fontId="149" fillId="5" borderId="29" xfId="1" applyFont="1" applyFill="1" applyBorder="1" applyAlignment="1" applyProtection="1">
      <alignment horizontal="center" vertical="center"/>
    </xf>
    <xf numFmtId="0" fontId="149" fillId="5" borderId="6" xfId="1" applyFont="1" applyFill="1" applyBorder="1" applyAlignment="1" applyProtection="1">
      <alignment horizontal="center" vertical="center"/>
    </xf>
    <xf numFmtId="179" fontId="71" fillId="5" borderId="10" xfId="1" applyNumberFormat="1" applyFont="1" applyFill="1" applyBorder="1" applyAlignment="1" applyProtection="1">
      <alignment horizontal="center" vertical="center"/>
    </xf>
    <xf numFmtId="0" fontId="75" fillId="5" borderId="13" xfId="1" applyFont="1" applyFill="1" applyBorder="1" applyAlignment="1" applyProtection="1">
      <alignment horizontal="right" vertical="center"/>
    </xf>
    <xf numFmtId="0" fontId="153" fillId="5" borderId="0" xfId="1" applyFont="1" applyFill="1" applyAlignment="1" applyProtection="1">
      <alignment horizontal="center" vertical="center"/>
      <protection locked="0"/>
    </xf>
    <xf numFmtId="0" fontId="71" fillId="5" borderId="21" xfId="1" applyFont="1" applyFill="1" applyBorder="1" applyAlignment="1" applyProtection="1">
      <alignment horizontal="center" vertical="center"/>
    </xf>
    <xf numFmtId="0" fontId="71" fillId="5" borderId="9" xfId="1" applyFont="1" applyFill="1" applyBorder="1" applyProtection="1">
      <alignment vertical="center"/>
    </xf>
    <xf numFmtId="0" fontId="76" fillId="5" borderId="9" xfId="1" applyFont="1" applyFill="1" applyBorder="1" applyAlignment="1" applyProtection="1">
      <alignment vertical="center" wrapText="1"/>
    </xf>
    <xf numFmtId="0" fontId="76" fillId="5" borderId="8" xfId="1" applyFont="1" applyFill="1" applyBorder="1" applyAlignment="1" applyProtection="1">
      <alignment vertical="center" wrapText="1"/>
    </xf>
    <xf numFmtId="0" fontId="149" fillId="2" borderId="10" xfId="1" applyFont="1" applyFill="1" applyBorder="1" applyAlignment="1" applyProtection="1">
      <alignment horizontal="center" vertical="center"/>
      <protection locked="0"/>
    </xf>
    <xf numFmtId="0" fontId="71" fillId="5" borderId="10" xfId="1" applyFont="1" applyFill="1" applyBorder="1" applyAlignment="1" applyProtection="1">
      <alignment horizontal="center" vertical="center" wrapText="1"/>
    </xf>
    <xf numFmtId="0" fontId="71" fillId="5" borderId="10" xfId="1" applyFont="1" applyFill="1" applyBorder="1" applyAlignment="1" applyProtection="1">
      <alignment vertical="center" wrapText="1"/>
    </xf>
    <xf numFmtId="0" fontId="18" fillId="6" borderId="2" xfId="1" applyFont="1" applyFill="1" applyBorder="1" applyAlignment="1" applyProtection="1">
      <alignment horizontal="center" vertical="center" wrapText="1"/>
      <protection locked="0"/>
    </xf>
    <xf numFmtId="0" fontId="18" fillId="5" borderId="2" xfId="1" applyFont="1" applyFill="1" applyBorder="1" applyProtection="1">
      <alignment vertical="center"/>
    </xf>
    <xf numFmtId="0" fontId="18" fillId="6" borderId="2" xfId="1" applyFont="1" applyFill="1" applyBorder="1" applyAlignment="1" applyProtection="1">
      <alignment horizontal="center" vertical="center"/>
      <protection locked="0"/>
    </xf>
    <xf numFmtId="0" fontId="11" fillId="5" borderId="0" xfId="1" applyFont="1" applyFill="1" applyProtection="1">
      <alignment vertical="center"/>
    </xf>
    <xf numFmtId="0" fontId="188" fillId="5" borderId="0" xfId="1" applyFont="1" applyFill="1" applyProtection="1">
      <alignment vertical="center"/>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289" fillId="21" borderId="2" xfId="1" applyFont="1" applyFill="1" applyBorder="1" applyAlignment="1">
      <alignment vertical="center" wrapText="1"/>
    </xf>
    <xf numFmtId="0" fontId="194" fillId="0" borderId="66" xfId="1" applyFont="1" applyBorder="1" applyAlignment="1">
      <alignment horizontal="left" vertical="center" wrapText="1"/>
    </xf>
    <xf numFmtId="0" fontId="176" fillId="0" borderId="54" xfId="1" applyFont="1" applyBorder="1" applyAlignment="1">
      <alignment horizontal="center" vertical="center" wrapText="1"/>
    </xf>
    <xf numFmtId="0" fontId="290" fillId="0" borderId="66" xfId="1" applyFont="1" applyBorder="1" applyAlignment="1">
      <alignment vertical="center" wrapText="1"/>
    </xf>
    <xf numFmtId="0" fontId="279" fillId="0" borderId="0" xfId="1" applyFont="1" applyBorder="1" applyAlignment="1">
      <alignment horizontal="center" vertical="center" wrapText="1"/>
    </xf>
    <xf numFmtId="0" fontId="145" fillId="0" borderId="0" xfId="1" applyBorder="1" applyAlignment="1">
      <alignment vertical="center" wrapText="1"/>
    </xf>
    <xf numFmtId="0" fontId="278" fillId="0" borderId="0" xfId="1" applyFont="1" applyBorder="1" applyAlignment="1">
      <alignment vertical="center" wrapText="1"/>
    </xf>
    <xf numFmtId="0" fontId="177" fillId="0" borderId="0" xfId="1" applyFont="1" applyBorder="1" applyAlignment="1">
      <alignment horizontal="center" vertical="center" wrapText="1"/>
    </xf>
    <xf numFmtId="0" fontId="276" fillId="0" borderId="0" xfId="1" applyFont="1" applyBorder="1" applyAlignment="1">
      <alignment vertical="center" wrapText="1"/>
    </xf>
    <xf numFmtId="0" fontId="177" fillId="0" borderId="0" xfId="1" applyFont="1" applyBorder="1" applyAlignment="1">
      <alignment vertical="center" wrapText="1"/>
    </xf>
    <xf numFmtId="0" fontId="277" fillId="0" borderId="0" xfId="1" applyFont="1" applyBorder="1" applyAlignment="1">
      <alignment horizontal="center" vertical="center" wrapText="1"/>
    </xf>
    <xf numFmtId="0" fontId="275" fillId="0" borderId="0" xfId="1" applyFont="1" applyBorder="1" applyAlignment="1">
      <alignment vertical="center" wrapText="1"/>
    </xf>
    <xf numFmtId="0" fontId="145" fillId="0" borderId="0" xfId="1" applyBorder="1">
      <alignment vertical="center"/>
    </xf>
    <xf numFmtId="0" fontId="145" fillId="0" borderId="2" xfId="1" applyBorder="1" applyAlignment="1">
      <alignment horizontal="right" vertical="center"/>
    </xf>
    <xf numFmtId="0" fontId="285" fillId="22" borderId="10" xfId="1" applyFont="1" applyFill="1" applyBorder="1" applyAlignment="1">
      <alignment horizontal="center" vertical="center" wrapText="1"/>
    </xf>
    <xf numFmtId="0" fontId="285" fillId="22" borderId="53" xfId="1" applyFont="1" applyFill="1" applyBorder="1" applyAlignment="1">
      <alignment horizontal="center" vertical="center" wrapText="1"/>
    </xf>
    <xf numFmtId="0" fontId="285" fillId="22" borderId="27" xfId="1" applyFont="1" applyFill="1" applyBorder="1" applyAlignment="1">
      <alignment horizontal="center" vertical="center" wrapText="1"/>
    </xf>
    <xf numFmtId="0" fontId="285" fillId="22" borderId="41" xfId="1" applyFont="1" applyFill="1" applyBorder="1" applyAlignment="1">
      <alignment horizontal="center" vertical="center" wrapText="1"/>
    </xf>
    <xf numFmtId="0" fontId="145" fillId="10" borderId="2" xfId="1" applyFill="1" applyBorder="1">
      <alignment vertical="center"/>
    </xf>
    <xf numFmtId="0" fontId="145" fillId="10" borderId="2" xfId="1" applyFill="1" applyBorder="1" applyAlignment="1">
      <alignment horizontal="right" vertical="center"/>
    </xf>
    <xf numFmtId="0" fontId="194" fillId="0" borderId="82" xfId="0" applyFont="1" applyBorder="1" applyAlignment="1">
      <alignment vertical="center" wrapText="1"/>
    </xf>
    <xf numFmtId="0" fontId="176" fillId="0" borderId="82" xfId="0" applyFont="1" applyBorder="1" applyAlignment="1">
      <alignment horizontal="center" vertical="center" wrapText="1"/>
    </xf>
    <xf numFmtId="0" fontId="176" fillId="6" borderId="82" xfId="0" applyFont="1" applyFill="1" applyBorder="1" applyAlignment="1">
      <alignment horizontal="center" vertical="center" wrapText="1"/>
    </xf>
    <xf numFmtId="0" fontId="176" fillId="9" borderId="82" xfId="0" applyFont="1" applyFill="1" applyBorder="1" applyAlignment="1">
      <alignment horizontal="center" vertical="center" wrapText="1"/>
    </xf>
    <xf numFmtId="0" fontId="176" fillId="0" borderId="0" xfId="0" applyFont="1" applyBorder="1" applyAlignment="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94" fillId="0" borderId="82" xfId="0" applyFont="1" applyBorder="1" applyAlignment="1">
      <alignment horizontal="center" vertical="center" wrapText="1"/>
    </xf>
    <xf numFmtId="0" fontId="291" fillId="0" borderId="0" xfId="0" applyFont="1" applyFill="1" applyBorder="1" applyAlignment="1">
      <alignment horizontal="center" vertical="center" wrapText="1"/>
    </xf>
    <xf numFmtId="0" fontId="280" fillId="0" borderId="82" xfId="0" applyFont="1" applyBorder="1" applyAlignment="1">
      <alignment horizontal="center" vertical="center" wrapText="1"/>
    </xf>
    <xf numFmtId="0" fontId="280" fillId="0" borderId="35" xfId="0" applyFont="1" applyBorder="1" applyAlignment="1">
      <alignment horizontal="center" vertical="center" wrapText="1"/>
    </xf>
    <xf numFmtId="0" fontId="280" fillId="0" borderId="79" xfId="0" applyFont="1" applyBorder="1" applyAlignment="1">
      <alignment horizontal="center" vertical="center" wrapText="1"/>
    </xf>
    <xf numFmtId="0" fontId="280" fillId="0" borderId="80" xfId="0" applyFont="1" applyBorder="1" applyAlignment="1">
      <alignment horizontal="center" vertical="center" wrapText="1"/>
    </xf>
    <xf numFmtId="0" fontId="280" fillId="0" borderId="0" xfId="0" applyFont="1" applyBorder="1" applyAlignment="1">
      <alignment horizontal="center" vertical="center" wrapText="1"/>
    </xf>
    <xf numFmtId="0" fontId="145" fillId="0" borderId="10" xfId="1" applyBorder="1" applyAlignment="1">
      <alignment horizontal="center" vertical="center"/>
    </xf>
    <xf numFmtId="0" fontId="145" fillId="0" borderId="21" xfId="1" applyBorder="1" applyAlignment="1">
      <alignment horizontal="center" vertical="center"/>
    </xf>
    <xf numFmtId="0" fontId="145" fillId="10" borderId="10" xfId="1" applyFill="1" applyBorder="1" applyAlignment="1">
      <alignment horizontal="center" vertical="center" wrapText="1"/>
    </xf>
    <xf numFmtId="0" fontId="145" fillId="10" borderId="21" xfId="1" applyFill="1" applyBorder="1" applyAlignment="1">
      <alignment horizontal="center" vertical="center" wrapText="1"/>
    </xf>
    <xf numFmtId="0" fontId="285" fillId="10" borderId="10" xfId="1" applyFont="1" applyFill="1" applyBorder="1" applyAlignment="1">
      <alignment horizontal="center" vertical="center" wrapText="1"/>
    </xf>
    <xf numFmtId="0" fontId="285" fillId="10" borderId="21" xfId="1" applyFont="1" applyFill="1" applyBorder="1" applyAlignment="1">
      <alignment horizontal="center" vertical="center" wrapText="1"/>
    </xf>
    <xf numFmtId="0" fontId="145" fillId="21" borderId="10" xfId="1" applyFill="1" applyBorder="1" applyAlignment="1">
      <alignment horizontal="center" vertical="center"/>
    </xf>
    <xf numFmtId="0" fontId="145" fillId="21" borderId="21" xfId="1" applyFill="1" applyBorder="1" applyAlignment="1">
      <alignment horizontal="center" vertical="center"/>
    </xf>
    <xf numFmtId="0" fontId="145" fillId="10" borderId="10" xfId="1" applyFill="1" applyBorder="1" applyAlignment="1">
      <alignment horizontal="center" vertical="center"/>
    </xf>
    <xf numFmtId="0" fontId="145" fillId="10" borderId="21" xfId="1" applyFill="1" applyBorder="1" applyAlignment="1">
      <alignment horizontal="center" vertical="center"/>
    </xf>
    <xf numFmtId="0" fontId="145" fillId="8" borderId="10" xfId="1" applyFill="1" applyBorder="1" applyAlignment="1">
      <alignment horizontal="center" vertical="center" wrapText="1"/>
    </xf>
    <xf numFmtId="0" fontId="145" fillId="8" borderId="21" xfId="1" applyFill="1" applyBorder="1" applyAlignment="1">
      <alignment horizontal="center" vertical="center" wrapText="1"/>
    </xf>
    <xf numFmtId="0" fontId="145" fillId="21" borderId="10" xfId="1" applyFill="1" applyBorder="1" applyAlignment="1">
      <alignment horizontal="center" vertical="center" wrapText="1"/>
    </xf>
    <xf numFmtId="0" fontId="145" fillId="21" borderId="21" xfId="1" applyFill="1" applyBorder="1" applyAlignment="1">
      <alignment horizontal="center" vertical="center" wrapText="1"/>
    </xf>
    <xf numFmtId="0" fontId="278" fillId="0" borderId="0" xfId="1" applyFont="1" applyBorder="1" applyAlignment="1">
      <alignment horizontal="center" vertical="center" wrapText="1"/>
    </xf>
    <xf numFmtId="0" fontId="279" fillId="0" borderId="0" xfId="1" applyFont="1" applyBorder="1" applyAlignment="1">
      <alignment horizontal="center" vertical="center"/>
    </xf>
    <xf numFmtId="0" fontId="279" fillId="0" borderId="0" xfId="1" applyFont="1" applyBorder="1" applyAlignment="1">
      <alignment horizontal="center" vertical="center" wrapText="1"/>
    </xf>
    <xf numFmtId="0" fontId="194" fillId="0" borderId="35" xfId="1" applyFont="1" applyBorder="1" applyAlignment="1">
      <alignment horizontal="center" vertical="center" wrapText="1"/>
    </xf>
    <xf numFmtId="0" fontId="194" fillId="0" borderId="80" xfId="1" applyFont="1" applyBorder="1" applyAlignment="1">
      <alignment horizontal="center" vertical="center" wrapText="1"/>
    </xf>
    <xf numFmtId="0" fontId="194" fillId="0" borderId="79" xfId="1" applyFont="1" applyBorder="1" applyAlignment="1">
      <alignment horizontal="center" vertical="center" wrapText="1"/>
    </xf>
    <xf numFmtId="0" fontId="160" fillId="0" borderId="36" xfId="1" applyFont="1" applyBorder="1" applyAlignment="1">
      <alignment horizontal="center" vertical="center" wrapText="1"/>
    </xf>
    <xf numFmtId="0" fontId="160" fillId="0" borderId="38" xfId="1" applyFont="1" applyBorder="1" applyAlignment="1">
      <alignment horizontal="center" vertical="center" wrapText="1"/>
    </xf>
    <xf numFmtId="0" fontId="176" fillId="0" borderId="35" xfId="1" applyFont="1" applyBorder="1" applyAlignment="1">
      <alignment horizontal="center" vertical="center" wrapText="1"/>
    </xf>
    <xf numFmtId="0" fontId="176" fillId="0" borderId="80" xfId="1" applyFont="1" applyBorder="1" applyAlignment="1">
      <alignment horizontal="center" vertical="center" wrapText="1"/>
    </xf>
    <xf numFmtId="0" fontId="194" fillId="0" borderId="35" xfId="1" applyFont="1" applyBorder="1" applyAlignment="1">
      <alignment horizontal="left" vertical="center" wrapText="1"/>
    </xf>
    <xf numFmtId="0" fontId="194" fillId="0" borderId="80" xfId="1" applyFont="1" applyBorder="1" applyAlignment="1">
      <alignment horizontal="left" vertical="center" wrapText="1"/>
    </xf>
    <xf numFmtId="0" fontId="194" fillId="0" borderId="36" xfId="1" applyFont="1" applyBorder="1" applyAlignment="1">
      <alignment horizontal="center" vertical="center" wrapText="1"/>
    </xf>
    <xf numFmtId="0" fontId="194" fillId="0" borderId="37" xfId="1" applyFont="1" applyBorder="1" applyAlignment="1">
      <alignment horizontal="center" vertical="center" wrapText="1"/>
    </xf>
    <xf numFmtId="0" fontId="194" fillId="0" borderId="38" xfId="1" applyFont="1" applyBorder="1" applyAlignment="1">
      <alignment horizontal="center" vertical="center" wrapText="1"/>
    </xf>
    <xf numFmtId="0" fontId="280" fillId="0" borderId="35" xfId="1" applyFont="1" applyBorder="1" applyAlignment="1">
      <alignment horizontal="center" vertical="center" wrapText="1"/>
    </xf>
    <xf numFmtId="0" fontId="280" fillId="0" borderId="79" xfId="1" applyFont="1" applyBorder="1" applyAlignment="1">
      <alignment horizontal="center" vertical="center" wrapText="1"/>
    </xf>
    <xf numFmtId="0" fontId="280" fillId="0" borderId="80" xfId="1" applyFont="1" applyBorder="1" applyAlignment="1">
      <alignment horizontal="center" vertical="center" wrapText="1"/>
    </xf>
    <xf numFmtId="0" fontId="280" fillId="0" borderId="155" xfId="1" applyFont="1" applyBorder="1" applyAlignment="1">
      <alignment horizontal="center" vertical="center" wrapText="1"/>
    </xf>
    <xf numFmtId="0" fontId="194" fillId="0" borderId="154" xfId="1" applyFont="1" applyBorder="1" applyAlignment="1">
      <alignment horizontal="center" vertical="center" wrapText="1"/>
    </xf>
    <xf numFmtId="0" fontId="284" fillId="0" borderId="0" xfId="1" applyFont="1" applyBorder="1" applyAlignment="1">
      <alignment horizontal="left" vertical="center"/>
    </xf>
    <xf numFmtId="0" fontId="283" fillId="0" borderId="0" xfId="1" applyFont="1" applyBorder="1" applyAlignment="1">
      <alignment horizontal="left" vertical="center"/>
    </xf>
    <xf numFmtId="0" fontId="283" fillId="0" borderId="61" xfId="1" applyFont="1" applyBorder="1" applyAlignment="1">
      <alignment horizontal="center" vertical="center"/>
    </xf>
    <xf numFmtId="0" fontId="145" fillId="0" borderId="10" xfId="1" applyFont="1" applyBorder="1" applyAlignment="1">
      <alignment horizontal="center" vertical="center"/>
    </xf>
    <xf numFmtId="0" fontId="145" fillId="0" borderId="21" xfId="1" applyFont="1" applyBorder="1" applyAlignment="1">
      <alignment horizontal="center" vertical="center"/>
    </xf>
    <xf numFmtId="0" fontId="145" fillId="6" borderId="5" xfId="1" applyFont="1" applyFill="1" applyBorder="1" applyAlignment="1">
      <alignment horizontal="center" vertical="center"/>
    </xf>
    <xf numFmtId="0" fontId="145" fillId="6" borderId="9" xfId="1" applyFill="1" applyBorder="1" applyAlignment="1">
      <alignment horizontal="center" vertical="center"/>
    </xf>
    <xf numFmtId="0" fontId="145" fillId="19" borderId="10" xfId="1" applyFill="1" applyBorder="1" applyAlignment="1">
      <alignment horizontal="center" vertical="center"/>
    </xf>
    <xf numFmtId="0" fontId="145" fillId="19" borderId="21" xfId="1" applyFill="1" applyBorder="1" applyAlignment="1">
      <alignment horizontal="center" vertical="center"/>
    </xf>
    <xf numFmtId="0" fontId="145" fillId="16" borderId="3" xfId="1" applyFill="1" applyBorder="1" applyAlignment="1">
      <alignment horizontal="center" vertical="center"/>
    </xf>
    <xf numFmtId="0" fontId="145" fillId="16" borderId="21" xfId="1" applyFill="1" applyBorder="1" applyAlignment="1">
      <alignment horizontal="center" vertical="center"/>
    </xf>
    <xf numFmtId="0" fontId="145" fillId="20" borderId="10" xfId="1" applyFill="1" applyBorder="1" applyAlignment="1">
      <alignment horizontal="center" vertical="center"/>
    </xf>
    <xf numFmtId="0" fontId="145" fillId="20" borderId="21" xfId="1" applyFill="1" applyBorder="1" applyAlignment="1">
      <alignment horizontal="center" vertical="center"/>
    </xf>
    <xf numFmtId="0" fontId="145" fillId="10" borderId="10" xfId="1" applyFont="1" applyFill="1" applyBorder="1" applyAlignment="1">
      <alignment horizontal="center" vertical="center" wrapText="1"/>
    </xf>
    <xf numFmtId="0" fontId="145" fillId="10" borderId="21" xfId="1" applyFont="1" applyFill="1" applyBorder="1" applyAlignment="1">
      <alignment horizontal="center" vertical="center" wrapText="1"/>
    </xf>
    <xf numFmtId="0" fontId="145" fillId="20" borderId="10" xfId="1" applyFill="1" applyBorder="1" applyAlignment="1">
      <alignment horizontal="center" vertical="center" wrapText="1"/>
    </xf>
    <xf numFmtId="0" fontId="145" fillId="20" borderId="21" xfId="1" applyFill="1" applyBorder="1" applyAlignment="1">
      <alignment horizontal="center" vertical="center" wrapText="1"/>
    </xf>
    <xf numFmtId="0" fontId="145" fillId="21" borderId="10" xfId="1" applyFont="1" applyFill="1" applyBorder="1" applyAlignment="1">
      <alignment horizontal="center" vertical="center" wrapText="1"/>
    </xf>
    <xf numFmtId="0" fontId="145" fillId="21" borderId="21" xfId="1" applyFont="1" applyFill="1" applyBorder="1" applyAlignment="1">
      <alignment horizontal="center" vertical="center" wrapText="1"/>
    </xf>
    <xf numFmtId="0" fontId="145" fillId="19" borderId="10" xfId="1" applyFont="1" applyFill="1" applyBorder="1" applyAlignment="1">
      <alignment horizontal="center" vertical="center" wrapText="1"/>
    </xf>
    <xf numFmtId="0" fontId="145" fillId="19" borderId="21" xfId="1" applyFont="1" applyFill="1" applyBorder="1" applyAlignment="1">
      <alignment horizontal="center" vertical="center" wrapText="1"/>
    </xf>
    <xf numFmtId="0" fontId="145" fillId="19" borderId="10" xfId="1" applyFill="1" applyBorder="1" applyAlignment="1">
      <alignment horizontal="center" vertical="center" wrapText="1"/>
    </xf>
    <xf numFmtId="0" fontId="145" fillId="19" borderId="21" xfId="1" applyFill="1" applyBorder="1" applyAlignment="1">
      <alignment horizontal="center" vertical="center" wrapText="1"/>
    </xf>
    <xf numFmtId="0" fontId="145" fillId="16" borderId="10" xfId="1" applyFont="1" applyFill="1" applyBorder="1" applyAlignment="1">
      <alignment horizontal="center" vertical="center" wrapText="1"/>
    </xf>
    <xf numFmtId="0" fontId="145" fillId="16" borderId="21" xfId="1" applyFont="1" applyFill="1" applyBorder="1" applyAlignment="1">
      <alignment horizontal="center" vertical="center" wrapText="1"/>
    </xf>
    <xf numFmtId="0" fontId="145" fillId="16" borderId="3" xfId="1" applyFill="1" applyBorder="1" applyAlignment="1">
      <alignment horizontal="center" vertical="center" wrapText="1"/>
    </xf>
    <xf numFmtId="0" fontId="145" fillId="16" borderId="21" xfId="1" applyFill="1" applyBorder="1" applyAlignment="1">
      <alignment horizontal="center" vertical="center" wrapText="1"/>
    </xf>
    <xf numFmtId="0" fontId="145" fillId="20" borderId="10" xfId="1" applyFont="1" applyFill="1" applyBorder="1" applyAlignment="1">
      <alignment horizontal="center" vertical="center" wrapText="1"/>
    </xf>
    <xf numFmtId="0" fontId="145" fillId="20" borderId="21" xfId="1" applyFont="1" applyFill="1" applyBorder="1" applyAlignment="1">
      <alignment horizontal="center" vertical="center" wrapText="1"/>
    </xf>
    <xf numFmtId="0" fontId="146" fillId="0" borderId="19" xfId="1" applyFont="1" applyBorder="1" applyAlignment="1">
      <alignment horizontal="center" vertical="center"/>
    </xf>
    <xf numFmtId="0" fontId="146" fillId="0" borderId="20" xfId="1" applyFont="1" applyBorder="1" applyAlignment="1">
      <alignment horizontal="center" vertical="center"/>
    </xf>
    <xf numFmtId="0" fontId="145" fillId="6" borderId="9" xfId="1" applyFont="1" applyFill="1" applyBorder="1" applyAlignment="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5" xfId="1" applyNumberFormat="1" applyFont="1" applyFill="1" applyBorder="1" applyAlignment="1" applyProtection="1">
      <alignment horizontal="left" vertical="center" wrapText="1"/>
    </xf>
    <xf numFmtId="10" fontId="76" fillId="5" borderId="8" xfId="1" applyNumberFormat="1" applyFont="1" applyFill="1" applyBorder="1" applyAlignment="1" applyProtection="1">
      <alignment horizontal="left" vertical="center" wrapText="1"/>
    </xf>
    <xf numFmtId="10" fontId="76" fillId="5" borderId="16" xfId="1" applyNumberFormat="1" applyFont="1" applyFill="1" applyBorder="1" applyAlignment="1" applyProtection="1">
      <alignment horizontal="left" vertical="center" wrapText="1"/>
    </xf>
    <xf numFmtId="0" fontId="49" fillId="5" borderId="5" xfId="1" applyFont="1" applyFill="1" applyBorder="1" applyAlignment="1" applyProtection="1">
      <alignment horizontal="left" vertical="center"/>
    </xf>
    <xf numFmtId="0" fontId="49" fillId="5" borderId="9" xfId="1" applyFont="1" applyFill="1" applyBorder="1" applyAlignment="1" applyProtection="1">
      <alignment horizontal="left" vertical="center"/>
    </xf>
    <xf numFmtId="0" fontId="165" fillId="5" borderId="71" xfId="1" applyFont="1" applyFill="1" applyBorder="1" applyAlignment="1" applyProtection="1">
      <alignment horizontal="center" vertical="center" wrapText="1"/>
    </xf>
    <xf numFmtId="0" fontId="165" fillId="5" borderId="84" xfId="1" applyFont="1" applyFill="1" applyBorder="1" applyAlignment="1" applyProtection="1">
      <alignment horizontal="center" vertical="center" wrapText="1"/>
    </xf>
    <xf numFmtId="0" fontId="162" fillId="5" borderId="2" xfId="1" applyFont="1" applyFill="1" applyBorder="1" applyAlignment="1">
      <alignment horizontal="center" vertical="center" wrapText="1"/>
    </xf>
    <xf numFmtId="0" fontId="95" fillId="5" borderId="31" xfId="1" applyFont="1" applyFill="1" applyBorder="1" applyAlignment="1" applyProtection="1">
      <alignment horizontal="center" vertical="center" wrapText="1"/>
    </xf>
    <xf numFmtId="0" fontId="95" fillId="5" borderId="0" xfId="1" applyFont="1" applyFill="1" applyBorder="1" applyAlignment="1" applyProtection="1">
      <alignment horizontal="center" vertical="center" wrapText="1"/>
    </xf>
    <xf numFmtId="0" fontId="95" fillId="5" borderId="1" xfId="1" applyFont="1" applyFill="1" applyBorder="1" applyAlignment="1" applyProtection="1">
      <alignment horizontal="center" vertical="center" wrapText="1"/>
    </xf>
    <xf numFmtId="0" fontId="95" fillId="5" borderId="6" xfId="1" applyFont="1" applyFill="1" applyBorder="1" applyAlignment="1" applyProtection="1">
      <alignment horizontal="center" vertical="center" wrapText="1"/>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0" fontId="76" fillId="5" borderId="16" xfId="1" applyFont="1" applyFill="1" applyBorder="1" applyAlignment="1" applyProtection="1">
      <alignment horizontal="left" vertical="center" wrapText="1"/>
    </xf>
    <xf numFmtId="10" fontId="49" fillId="5" borderId="5" xfId="1" applyNumberFormat="1" applyFont="1" applyFill="1" applyBorder="1" applyAlignment="1" applyProtection="1">
      <alignment horizontal="left" vertical="center" wrapText="1"/>
    </xf>
    <xf numFmtId="0" fontId="85" fillId="5" borderId="61" xfId="1" applyFont="1" applyFill="1" applyBorder="1" applyAlignment="1" applyProtection="1">
      <alignment horizontal="center" vertical="center"/>
    </xf>
    <xf numFmtId="0" fontId="152" fillId="5" borderId="10" xfId="1" applyFont="1" applyFill="1" applyBorder="1" applyAlignment="1" applyProtection="1">
      <alignment horizontal="center" vertical="center" wrapText="1"/>
    </xf>
    <xf numFmtId="0" fontId="152" fillId="5" borderId="21" xfId="1" applyFont="1" applyFill="1" applyBorder="1" applyAlignment="1" applyProtection="1">
      <alignment horizontal="center" vertical="center" wrapText="1"/>
    </xf>
    <xf numFmtId="0" fontId="165" fillId="5" borderId="2" xfId="1" applyFont="1" applyFill="1" applyBorder="1" applyAlignment="1" applyProtection="1">
      <alignment horizontal="center" vertical="center" wrapText="1"/>
    </xf>
    <xf numFmtId="0" fontId="76" fillId="5" borderId="43" xfId="1" applyFont="1" applyFill="1" applyBorder="1" applyAlignment="1" applyProtection="1">
      <alignment horizontal="left" vertical="center" wrapText="1"/>
    </xf>
    <xf numFmtId="0" fontId="76" fillId="5" borderId="44" xfId="1" applyFont="1" applyFill="1" applyBorder="1" applyAlignment="1" applyProtection="1">
      <alignment horizontal="left" vertical="center" wrapText="1"/>
    </xf>
    <xf numFmtId="0" fontId="152" fillId="5" borderId="2" xfId="1" applyFont="1" applyFill="1" applyBorder="1" applyAlignment="1" applyProtection="1">
      <alignment horizontal="center" vertical="center" wrapText="1"/>
    </xf>
    <xf numFmtId="0" fontId="76" fillId="5" borderId="9" xfId="1" applyFont="1" applyFill="1" applyBorder="1" applyAlignment="1" applyProtection="1">
      <alignment horizontal="left" vertical="center" wrapText="1"/>
    </xf>
    <xf numFmtId="0" fontId="166" fillId="5" borderId="21" xfId="1" applyFont="1" applyFill="1" applyBorder="1" applyAlignment="1" applyProtection="1">
      <alignment horizontal="center" vertical="center" wrapText="1"/>
    </xf>
    <xf numFmtId="0" fontId="76" fillId="5" borderId="11" xfId="1" applyFont="1" applyFill="1" applyBorder="1" applyAlignment="1" applyProtection="1">
      <alignment horizontal="left" vertical="center" wrapText="1"/>
    </xf>
    <xf numFmtId="0" fontId="76" fillId="5" borderId="2" xfId="1" applyFont="1" applyFill="1" applyBorder="1" applyAlignment="1" applyProtection="1">
      <alignment horizontal="left" vertical="center" wrapText="1"/>
    </xf>
    <xf numFmtId="0" fontId="76" fillId="5" borderId="5" xfId="1" applyFont="1" applyFill="1" applyBorder="1" applyAlignment="1" applyProtection="1">
      <alignment horizontal="center" vertical="center" wrapText="1"/>
    </xf>
    <xf numFmtId="0" fontId="76" fillId="5" borderId="9" xfId="1" applyFont="1" applyFill="1" applyBorder="1" applyAlignment="1" applyProtection="1">
      <alignment horizontal="center" vertical="center" wrapText="1"/>
    </xf>
    <xf numFmtId="0" fontId="76" fillId="5" borderId="8" xfId="1" applyFont="1" applyFill="1" applyBorder="1" applyAlignment="1" applyProtection="1">
      <alignment horizontal="center" vertical="center" wrapText="1"/>
    </xf>
    <xf numFmtId="0" fontId="49" fillId="5" borderId="5" xfId="1" applyFont="1" applyFill="1" applyBorder="1" applyAlignment="1" applyProtection="1">
      <alignment horizontal="center" vertical="center"/>
    </xf>
    <xf numFmtId="0" fontId="49" fillId="5" borderId="8" xfId="1" applyFont="1" applyFill="1" applyBorder="1" applyAlignment="1" applyProtection="1">
      <alignment horizontal="center" vertical="center"/>
    </xf>
    <xf numFmtId="0" fontId="76" fillId="5" borderId="25" xfId="1" applyFont="1" applyFill="1" applyBorder="1" applyAlignment="1" applyProtection="1">
      <alignment horizontal="center" vertical="center"/>
    </xf>
    <xf numFmtId="0" fontId="76" fillId="5" borderId="52" xfId="1" applyFont="1" applyFill="1" applyBorder="1" applyAlignment="1" applyProtection="1">
      <alignment horizontal="center" vertical="center"/>
    </xf>
    <xf numFmtId="0" fontId="76" fillId="5" borderId="51" xfId="1" applyFont="1" applyFill="1" applyBorder="1" applyAlignment="1" applyProtection="1">
      <alignment horizontal="center" vertical="center"/>
    </xf>
    <xf numFmtId="0" fontId="157" fillId="5" borderId="2" xfId="1" applyFont="1" applyFill="1" applyBorder="1" applyAlignment="1" applyProtection="1">
      <alignment horizontal="center" vertical="center" wrapText="1"/>
    </xf>
    <xf numFmtId="0" fontId="45" fillId="5" borderId="10" xfId="1" applyFont="1" applyFill="1" applyBorder="1" applyAlignment="1" applyProtection="1">
      <alignment horizontal="center" vertical="center" wrapText="1"/>
    </xf>
    <xf numFmtId="0" fontId="157" fillId="5" borderId="10" xfId="1" applyFont="1" applyFill="1" applyBorder="1" applyAlignment="1" applyProtection="1">
      <alignment horizontal="center" vertical="center" wrapText="1"/>
    </xf>
    <xf numFmtId="0" fontId="75" fillId="5" borderId="11" xfId="1" applyFont="1" applyFill="1" applyBorder="1" applyAlignment="1" applyProtection="1">
      <alignment horizontal="left" vertical="center"/>
    </xf>
    <xf numFmtId="0" fontId="75" fillId="5" borderId="2" xfId="1" applyFont="1" applyFill="1" applyBorder="1" applyAlignment="1" applyProtection="1">
      <alignment horizontal="left" vertical="center"/>
    </xf>
    <xf numFmtId="0" fontId="75" fillId="6" borderId="8" xfId="1" applyFont="1" applyFill="1" applyBorder="1" applyAlignment="1" applyProtection="1">
      <alignment vertical="center"/>
    </xf>
    <xf numFmtId="0" fontId="75" fillId="6" borderId="9" xfId="1" applyFont="1" applyFill="1" applyBorder="1" applyAlignment="1" applyProtection="1">
      <alignment vertical="center"/>
    </xf>
    <xf numFmtId="0" fontId="75" fillId="5" borderId="64" xfId="1" applyFont="1" applyFill="1" applyBorder="1" applyAlignment="1" applyProtection="1">
      <alignment horizontal="left" vertical="center"/>
    </xf>
    <xf numFmtId="0" fontId="75" fillId="5" borderId="9" xfId="1" applyFont="1" applyFill="1" applyBorder="1" applyAlignment="1" applyProtection="1">
      <alignment horizontal="left" vertical="center"/>
    </xf>
    <xf numFmtId="0" fontId="75" fillId="5" borderId="43" xfId="1" applyFont="1" applyFill="1" applyBorder="1" applyAlignment="1" applyProtection="1">
      <alignment horizontal="left" vertical="center" wrapText="1"/>
      <protection locked="0"/>
    </xf>
    <xf numFmtId="0" fontId="75" fillId="5" borderId="44" xfId="1" applyFont="1" applyFill="1" applyBorder="1" applyAlignment="1" applyProtection="1">
      <alignment horizontal="left" vertical="center" wrapText="1"/>
      <protection locked="0"/>
    </xf>
    <xf numFmtId="0" fontId="85" fillId="5" borderId="4" xfId="1" applyFont="1" applyFill="1" applyBorder="1" applyAlignment="1" applyProtection="1">
      <alignment horizontal="left" vertical="center" wrapText="1"/>
    </xf>
    <xf numFmtId="0" fontId="85" fillId="5" borderId="14" xfId="1" applyFont="1" applyFill="1" applyBorder="1" applyAlignment="1" applyProtection="1">
      <alignment horizontal="left" vertical="center" wrapText="1"/>
    </xf>
    <xf numFmtId="0" fontId="85" fillId="5" borderId="32" xfId="1" applyFont="1" applyFill="1" applyBorder="1" applyAlignment="1" applyProtection="1">
      <alignment horizontal="left" vertical="center" wrapText="1"/>
    </xf>
    <xf numFmtId="0" fontId="157" fillId="5" borderId="21" xfId="1" applyFont="1" applyFill="1" applyBorder="1" applyAlignment="1" applyProtection="1">
      <alignment horizontal="center" vertical="center" wrapText="1"/>
    </xf>
    <xf numFmtId="0" fontId="157" fillId="5" borderId="17" xfId="1" applyFont="1" applyFill="1" applyBorder="1" applyAlignment="1" applyProtection="1">
      <alignment horizontal="center" vertical="center" wrapText="1"/>
    </xf>
    <xf numFmtId="0" fontId="175" fillId="5" borderId="36" xfId="1" applyFont="1" applyFill="1" applyBorder="1" applyAlignment="1" applyProtection="1">
      <alignment horizontal="center" vertical="center" wrapText="1"/>
    </xf>
    <xf numFmtId="0" fontId="175" fillId="5" borderId="37" xfId="1" applyFont="1" applyFill="1" applyBorder="1" applyAlignment="1" applyProtection="1">
      <alignment horizontal="center" vertical="center" wrapText="1"/>
    </xf>
    <xf numFmtId="0" fontId="175" fillId="5" borderId="38" xfId="1" applyFont="1" applyFill="1" applyBorder="1" applyAlignment="1" applyProtection="1">
      <alignment horizontal="center" vertical="center" wrapText="1"/>
    </xf>
    <xf numFmtId="0" fontId="85" fillId="5" borderId="59" xfId="1" applyFont="1" applyFill="1" applyBorder="1" applyAlignment="1" applyProtection="1">
      <alignment horizontal="center" vertical="center" wrapText="1"/>
    </xf>
    <xf numFmtId="0" fontId="85" fillId="5" borderId="30" xfId="1" applyFont="1" applyFill="1" applyBorder="1" applyAlignment="1" applyProtection="1">
      <alignment horizontal="center" vertical="center" wrapText="1"/>
    </xf>
    <xf numFmtId="0" fontId="85" fillId="5" borderId="57" xfId="1" applyFont="1" applyFill="1" applyBorder="1" applyAlignment="1" applyProtection="1">
      <alignment horizontal="center" vertical="center" wrapText="1"/>
    </xf>
    <xf numFmtId="0" fontId="76" fillId="5" borderId="22" xfId="1" applyFont="1" applyFill="1" applyBorder="1" applyAlignment="1" applyProtection="1">
      <alignment horizontal="left" vertical="center" wrapText="1"/>
    </xf>
    <xf numFmtId="0" fontId="173" fillId="5" borderId="35" xfId="1" applyFont="1" applyFill="1" applyBorder="1" applyAlignment="1" applyProtection="1">
      <alignment horizontal="center" vertical="center" wrapText="1"/>
    </xf>
    <xf numFmtId="0" fontId="173" fillId="5" borderId="79" xfId="1" applyFont="1" applyFill="1" applyBorder="1" applyAlignment="1" applyProtection="1">
      <alignment horizontal="center" vertical="center" wrapText="1"/>
    </xf>
    <xf numFmtId="0" fontId="173" fillId="5" borderId="80" xfId="1" applyFont="1" applyFill="1" applyBorder="1" applyAlignment="1" applyProtection="1">
      <alignment horizontal="center" vertical="center" wrapText="1"/>
    </xf>
    <xf numFmtId="0" fontId="71" fillId="5" borderId="2" xfId="1" applyFont="1" applyFill="1" applyBorder="1" applyAlignment="1" applyProtection="1">
      <alignment horizontal="left" vertical="center" wrapText="1"/>
    </xf>
    <xf numFmtId="0" fontId="71" fillId="5" borderId="2" xfId="1" applyFont="1" applyFill="1" applyBorder="1" applyAlignment="1" applyProtection="1">
      <alignment horizontal="center" vertical="center" wrapText="1"/>
    </xf>
    <xf numFmtId="0" fontId="71" fillId="0" borderId="10" xfId="1" applyFont="1" applyBorder="1" applyAlignment="1" applyProtection="1">
      <alignment horizontal="center" vertical="center"/>
      <protection locked="0"/>
    </xf>
    <xf numFmtId="0" fontId="71" fillId="0" borderId="21" xfId="1" applyFont="1" applyBorder="1" applyAlignment="1" applyProtection="1">
      <alignment horizontal="center" vertical="center"/>
      <protection locked="0"/>
    </xf>
    <xf numFmtId="0" fontId="71" fillId="0" borderId="2" xfId="1" applyFont="1" applyBorder="1" applyAlignment="1" applyProtection="1">
      <alignment horizontal="center" vertical="center"/>
      <protection locked="0"/>
    </xf>
    <xf numFmtId="0" fontId="71" fillId="0" borderId="3" xfId="1" applyFont="1" applyBorder="1" applyAlignment="1" applyProtection="1">
      <alignment horizontal="center" vertical="center"/>
      <protection locked="0"/>
    </xf>
    <xf numFmtId="0" fontId="75" fillId="5" borderId="53" xfId="1" applyFont="1" applyFill="1" applyBorder="1" applyAlignment="1" applyProtection="1">
      <alignment horizontal="left" vertical="center" wrapText="1"/>
    </xf>
    <xf numFmtId="0" fontId="75" fillId="5" borderId="50" xfId="1" applyFont="1" applyFill="1" applyBorder="1" applyAlignment="1" applyProtection="1">
      <alignment horizontal="left" vertical="center" wrapText="1"/>
    </xf>
    <xf numFmtId="0" fontId="75" fillId="5" borderId="24" xfId="1" applyFont="1" applyFill="1" applyBorder="1" applyAlignment="1" applyProtection="1">
      <alignment horizontal="left" vertical="center" wrapText="1"/>
    </xf>
    <xf numFmtId="0" fontId="75" fillId="5" borderId="23" xfId="1" applyFont="1" applyFill="1" applyBorder="1" applyAlignment="1" applyProtection="1">
      <alignment horizontal="left" vertical="center" wrapText="1"/>
    </xf>
    <xf numFmtId="0" fontId="153" fillId="0" borderId="36" xfId="1" applyFont="1" applyBorder="1" applyAlignment="1" applyProtection="1">
      <alignment horizontal="center" vertical="center"/>
      <protection locked="0"/>
    </xf>
    <xf numFmtId="0" fontId="153" fillId="0" borderId="37" xfId="1" applyFont="1" applyBorder="1" applyAlignment="1" applyProtection="1">
      <alignment horizontal="center" vertical="center"/>
      <protection locked="0"/>
    </xf>
    <xf numFmtId="0" fontId="153" fillId="0" borderId="61" xfId="1" applyFont="1" applyBorder="1" applyAlignment="1" applyProtection="1">
      <alignment horizontal="center" vertical="center"/>
      <protection locked="0"/>
    </xf>
    <xf numFmtId="0" fontId="153" fillId="0" borderId="38" xfId="1" applyFont="1" applyBorder="1" applyAlignment="1" applyProtection="1">
      <alignment horizontal="center" vertical="center"/>
      <protection locked="0"/>
    </xf>
    <xf numFmtId="0" fontId="76" fillId="5" borderId="87" xfId="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23</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4095238"/>
        </a:xfrm>
        <a:prstGeom prst="rect">
          <a:avLst/>
        </a:prstGeom>
      </xdr:spPr>
    </xdr:pic>
    <xdr:clientData/>
  </xdr:twoCellAnchor>
  <xdr:twoCellAnchor editAs="oneCell">
    <xdr:from>
      <xdr:col>0</xdr:col>
      <xdr:colOff>0</xdr:colOff>
      <xdr:row>24</xdr:row>
      <xdr:rowOff>0</xdr:rowOff>
    </xdr:from>
    <xdr:to>
      <xdr:col>9</xdr:col>
      <xdr:colOff>180181</xdr:colOff>
      <xdr:row>30</xdr:row>
      <xdr:rowOff>171300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6352381" cy="1200000"/>
        </a:xfrm>
        <a:prstGeom prst="rect">
          <a:avLst/>
        </a:prstGeom>
      </xdr:spPr>
    </xdr:pic>
    <xdr:clientData/>
  </xdr:twoCellAnchor>
  <xdr:twoCellAnchor editAs="oneCell">
    <xdr:from>
      <xdr:col>0</xdr:col>
      <xdr:colOff>0</xdr:colOff>
      <xdr:row>31</xdr:row>
      <xdr:rowOff>0</xdr:rowOff>
    </xdr:from>
    <xdr:to>
      <xdr:col>11</xdr:col>
      <xdr:colOff>570486</xdr:colOff>
      <xdr:row>43</xdr:row>
      <xdr:rowOff>152124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8114286" cy="2209524"/>
        </a:xfrm>
        <a:prstGeom prst="rect">
          <a:avLst/>
        </a:prstGeom>
      </xdr:spPr>
    </xdr:pic>
    <xdr:clientData/>
  </xdr:twoCellAnchor>
  <xdr:twoCellAnchor editAs="oneCell">
    <xdr:from>
      <xdr:col>0</xdr:col>
      <xdr:colOff>0</xdr:colOff>
      <xdr:row>44</xdr:row>
      <xdr:rowOff>0</xdr:rowOff>
    </xdr:from>
    <xdr:to>
      <xdr:col>12</xdr:col>
      <xdr:colOff>37067</xdr:colOff>
      <xdr:row>66</xdr:row>
      <xdr:rowOff>37624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43800"/>
          <a:ext cx="8266667" cy="3809524"/>
        </a:xfrm>
        <a:prstGeom prst="rect">
          <a:avLst/>
        </a:prstGeom>
      </xdr:spPr>
    </xdr:pic>
    <xdr:clientData/>
  </xdr:twoCellAnchor>
  <xdr:twoCellAnchor editAs="oneCell">
    <xdr:from>
      <xdr:col>0</xdr:col>
      <xdr:colOff>0</xdr:colOff>
      <xdr:row>67</xdr:row>
      <xdr:rowOff>0</xdr:rowOff>
    </xdr:from>
    <xdr:to>
      <xdr:col>8</xdr:col>
      <xdr:colOff>485029</xdr:colOff>
      <xdr:row>74</xdr:row>
      <xdr:rowOff>66517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487150"/>
          <a:ext cx="5971429" cy="1266667"/>
        </a:xfrm>
        <a:prstGeom prst="rect">
          <a:avLst/>
        </a:prstGeom>
      </xdr:spPr>
    </xdr:pic>
    <xdr:clientData/>
  </xdr:twoCellAnchor>
  <xdr:twoCellAnchor editAs="oneCell">
    <xdr:from>
      <xdr:col>0</xdr:col>
      <xdr:colOff>0</xdr:colOff>
      <xdr:row>75</xdr:row>
      <xdr:rowOff>0</xdr:rowOff>
    </xdr:from>
    <xdr:to>
      <xdr:col>12</xdr:col>
      <xdr:colOff>84686</xdr:colOff>
      <xdr:row>98</xdr:row>
      <xdr:rowOff>37603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58750"/>
          <a:ext cx="8314286" cy="3980953"/>
        </a:xfrm>
        <a:prstGeom prst="rect">
          <a:avLst/>
        </a:prstGeom>
      </xdr:spPr>
    </xdr:pic>
    <xdr:clientData/>
  </xdr:twoCellAnchor>
  <xdr:twoCellAnchor editAs="oneCell">
    <xdr:from>
      <xdr:col>0</xdr:col>
      <xdr:colOff>0</xdr:colOff>
      <xdr:row>99</xdr:row>
      <xdr:rowOff>0</xdr:rowOff>
    </xdr:from>
    <xdr:to>
      <xdr:col>8</xdr:col>
      <xdr:colOff>408838</xdr:colOff>
      <xdr:row>105</xdr:row>
      <xdr:rowOff>66538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973550"/>
          <a:ext cx="5895238" cy="1095238"/>
        </a:xfrm>
        <a:prstGeom prst="rect">
          <a:avLst/>
        </a:prstGeom>
      </xdr:spPr>
    </xdr:pic>
    <xdr:clientData/>
  </xdr:twoCellAnchor>
  <xdr:twoCellAnchor editAs="oneCell">
    <xdr:from>
      <xdr:col>0</xdr:col>
      <xdr:colOff>0</xdr:colOff>
      <xdr:row>106</xdr:row>
      <xdr:rowOff>0</xdr:rowOff>
    </xdr:from>
    <xdr:to>
      <xdr:col>12</xdr:col>
      <xdr:colOff>246591</xdr:colOff>
      <xdr:row>122</xdr:row>
      <xdr:rowOff>142514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173700"/>
          <a:ext cx="8476191" cy="2885714"/>
        </a:xfrm>
        <a:prstGeom prst="rect">
          <a:avLst/>
        </a:prstGeom>
      </xdr:spPr>
    </xdr:pic>
    <xdr:clientData/>
  </xdr:twoCellAnchor>
  <xdr:twoCellAnchor editAs="oneCell">
    <xdr:from>
      <xdr:col>0</xdr:col>
      <xdr:colOff>0</xdr:colOff>
      <xdr:row>123</xdr:row>
      <xdr:rowOff>0</xdr:rowOff>
    </xdr:from>
    <xdr:to>
      <xdr:col>12</xdr:col>
      <xdr:colOff>84686</xdr:colOff>
      <xdr:row>148</xdr:row>
      <xdr:rowOff>104226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088350"/>
          <a:ext cx="8314286" cy="4390476"/>
        </a:xfrm>
        <a:prstGeom prst="rect">
          <a:avLst/>
        </a:prstGeom>
      </xdr:spPr>
    </xdr:pic>
    <xdr:clientData/>
  </xdr:twoCellAnchor>
  <xdr:twoCellAnchor editAs="oneCell">
    <xdr:from>
      <xdr:col>0</xdr:col>
      <xdr:colOff>0</xdr:colOff>
      <xdr:row>149</xdr:row>
      <xdr:rowOff>0</xdr:rowOff>
    </xdr:from>
    <xdr:to>
      <xdr:col>8</xdr:col>
      <xdr:colOff>608839</xdr:colOff>
      <xdr:row>155</xdr:row>
      <xdr:rowOff>142729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546050"/>
          <a:ext cx="6095239" cy="1171429"/>
        </a:xfrm>
        <a:prstGeom prst="rect">
          <a:avLst/>
        </a:prstGeom>
      </xdr:spPr>
    </xdr:pic>
    <xdr:clientData/>
  </xdr:twoCellAnchor>
  <xdr:twoCellAnchor editAs="oneCell">
    <xdr:from>
      <xdr:col>0</xdr:col>
      <xdr:colOff>0</xdr:colOff>
      <xdr:row>156</xdr:row>
      <xdr:rowOff>0</xdr:rowOff>
    </xdr:from>
    <xdr:to>
      <xdr:col>12</xdr:col>
      <xdr:colOff>408496</xdr:colOff>
      <xdr:row>177</xdr:row>
      <xdr:rowOff>151931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6746200"/>
          <a:ext cx="8638096" cy="3752381"/>
        </a:xfrm>
        <a:prstGeom prst="rect">
          <a:avLst/>
        </a:prstGeom>
      </xdr:spPr>
    </xdr:pic>
    <xdr:clientData/>
  </xdr:twoCellAnchor>
  <xdr:twoCellAnchor editAs="oneCell">
    <xdr:from>
      <xdr:col>0</xdr:col>
      <xdr:colOff>0</xdr:colOff>
      <xdr:row>178</xdr:row>
      <xdr:rowOff>0</xdr:rowOff>
    </xdr:from>
    <xdr:to>
      <xdr:col>9</xdr:col>
      <xdr:colOff>8753</xdr:colOff>
      <xdr:row>185</xdr:row>
      <xdr:rowOff>9374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0518100"/>
          <a:ext cx="6180953" cy="1209524"/>
        </a:xfrm>
        <a:prstGeom prst="rect">
          <a:avLst/>
        </a:prstGeom>
      </xdr:spPr>
    </xdr:pic>
    <xdr:clientData/>
  </xdr:twoCellAnchor>
  <xdr:twoCellAnchor editAs="oneCell">
    <xdr:from>
      <xdr:col>0</xdr:col>
      <xdr:colOff>0</xdr:colOff>
      <xdr:row>185</xdr:row>
      <xdr:rowOff>0</xdr:rowOff>
    </xdr:from>
    <xdr:to>
      <xdr:col>11</xdr:col>
      <xdr:colOff>646677</xdr:colOff>
      <xdr:row>198</xdr:row>
      <xdr:rowOff>142579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1718250"/>
          <a:ext cx="8190477" cy="2371429"/>
        </a:xfrm>
        <a:prstGeom prst="rect">
          <a:avLst/>
        </a:prstGeom>
      </xdr:spPr>
    </xdr:pic>
    <xdr:clientData/>
  </xdr:twoCellAnchor>
  <xdr:twoCellAnchor editAs="oneCell">
    <xdr:from>
      <xdr:col>0</xdr:col>
      <xdr:colOff>0</xdr:colOff>
      <xdr:row>200</xdr:row>
      <xdr:rowOff>0</xdr:rowOff>
    </xdr:from>
    <xdr:to>
      <xdr:col>11</xdr:col>
      <xdr:colOff>560962</xdr:colOff>
      <xdr:row>224</xdr:row>
      <xdr:rowOff>75676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4290000"/>
          <a:ext cx="8104762" cy="4190476"/>
        </a:xfrm>
        <a:prstGeom prst="rect">
          <a:avLst/>
        </a:prstGeom>
      </xdr:spPr>
    </xdr:pic>
    <xdr:clientData/>
  </xdr:twoCellAnchor>
  <xdr:twoCellAnchor editAs="oneCell">
    <xdr:from>
      <xdr:col>0</xdr:col>
      <xdr:colOff>0</xdr:colOff>
      <xdr:row>225</xdr:row>
      <xdr:rowOff>0</xdr:rowOff>
    </xdr:from>
    <xdr:to>
      <xdr:col>8</xdr:col>
      <xdr:colOff>323124</xdr:colOff>
      <xdr:row>230</xdr:row>
      <xdr:rowOff>76083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8576250"/>
          <a:ext cx="5809524" cy="933333"/>
        </a:xfrm>
        <a:prstGeom prst="rect">
          <a:avLst/>
        </a:prstGeom>
      </xdr:spPr>
    </xdr:pic>
    <xdr:clientData/>
  </xdr:twoCellAnchor>
  <xdr:twoCellAnchor editAs="oneCell">
    <xdr:from>
      <xdr:col>0</xdr:col>
      <xdr:colOff>0</xdr:colOff>
      <xdr:row>231</xdr:row>
      <xdr:rowOff>0</xdr:rowOff>
    </xdr:from>
    <xdr:to>
      <xdr:col>11</xdr:col>
      <xdr:colOff>665724</xdr:colOff>
      <xdr:row>244</xdr:row>
      <xdr:rowOff>66388</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9604950"/>
          <a:ext cx="8209524" cy="2295238"/>
        </a:xfrm>
        <a:prstGeom prst="rect">
          <a:avLst/>
        </a:prstGeom>
      </xdr:spPr>
    </xdr:pic>
    <xdr:clientData/>
  </xdr:twoCellAnchor>
  <xdr:twoCellAnchor editAs="oneCell">
    <xdr:from>
      <xdr:col>0</xdr:col>
      <xdr:colOff>0</xdr:colOff>
      <xdr:row>244</xdr:row>
      <xdr:rowOff>0</xdr:rowOff>
    </xdr:from>
    <xdr:to>
      <xdr:col>11</xdr:col>
      <xdr:colOff>675248</xdr:colOff>
      <xdr:row>267</xdr:row>
      <xdr:rowOff>37603</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1833800"/>
          <a:ext cx="8219048" cy="3980953"/>
        </a:xfrm>
        <a:prstGeom prst="rect">
          <a:avLst/>
        </a:prstGeom>
      </xdr:spPr>
    </xdr:pic>
    <xdr:clientData/>
  </xdr:twoCellAnchor>
  <xdr:twoCellAnchor editAs="oneCell">
    <xdr:from>
      <xdr:col>0</xdr:col>
      <xdr:colOff>0</xdr:colOff>
      <xdr:row>268</xdr:row>
      <xdr:rowOff>0</xdr:rowOff>
    </xdr:from>
    <xdr:to>
      <xdr:col>9</xdr:col>
      <xdr:colOff>237324</xdr:colOff>
      <xdr:row>275</xdr:row>
      <xdr:rowOff>37945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45948600"/>
          <a:ext cx="6409524" cy="1238095"/>
        </a:xfrm>
        <a:prstGeom prst="rect">
          <a:avLst/>
        </a:prstGeom>
      </xdr:spPr>
    </xdr:pic>
    <xdr:clientData/>
  </xdr:twoCellAnchor>
  <xdr:twoCellAnchor editAs="oneCell">
    <xdr:from>
      <xdr:col>0</xdr:col>
      <xdr:colOff>0</xdr:colOff>
      <xdr:row>275</xdr:row>
      <xdr:rowOff>0</xdr:rowOff>
    </xdr:from>
    <xdr:to>
      <xdr:col>11</xdr:col>
      <xdr:colOff>646677</xdr:colOff>
      <xdr:row>287</xdr:row>
      <xdr:rowOff>161648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47148750"/>
          <a:ext cx="8190477" cy="2219048"/>
        </a:xfrm>
        <a:prstGeom prst="rect">
          <a:avLst/>
        </a:prstGeom>
      </xdr:spPr>
    </xdr:pic>
    <xdr:clientData/>
  </xdr:twoCellAnchor>
  <xdr:twoCellAnchor editAs="oneCell">
    <xdr:from>
      <xdr:col>0</xdr:col>
      <xdr:colOff>0</xdr:colOff>
      <xdr:row>288</xdr:row>
      <xdr:rowOff>0</xdr:rowOff>
    </xdr:from>
    <xdr:to>
      <xdr:col>13</xdr:col>
      <xdr:colOff>484601</xdr:colOff>
      <xdr:row>314</xdr:row>
      <xdr:rowOff>113729</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9377600"/>
          <a:ext cx="9400001" cy="4571429"/>
        </a:xfrm>
        <a:prstGeom prst="rect">
          <a:avLst/>
        </a:prstGeom>
      </xdr:spPr>
    </xdr:pic>
    <xdr:clientData/>
  </xdr:twoCellAnchor>
  <xdr:twoCellAnchor editAs="oneCell">
    <xdr:from>
      <xdr:col>0</xdr:col>
      <xdr:colOff>0</xdr:colOff>
      <xdr:row>315</xdr:row>
      <xdr:rowOff>0</xdr:rowOff>
    </xdr:from>
    <xdr:to>
      <xdr:col>9</xdr:col>
      <xdr:colOff>218277</xdr:colOff>
      <xdr:row>321</xdr:row>
      <xdr:rowOff>9395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54006750"/>
          <a:ext cx="6390477" cy="1038095"/>
        </a:xfrm>
        <a:prstGeom prst="rect">
          <a:avLst/>
        </a:prstGeom>
      </xdr:spPr>
    </xdr:pic>
    <xdr:clientData/>
  </xdr:twoCellAnchor>
  <xdr:twoCellAnchor editAs="oneCell">
    <xdr:from>
      <xdr:col>0</xdr:col>
      <xdr:colOff>0</xdr:colOff>
      <xdr:row>322</xdr:row>
      <xdr:rowOff>0</xdr:rowOff>
    </xdr:from>
    <xdr:to>
      <xdr:col>11</xdr:col>
      <xdr:colOff>399058</xdr:colOff>
      <xdr:row>337</xdr:row>
      <xdr:rowOff>94917</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55206900"/>
          <a:ext cx="7942858" cy="2666667"/>
        </a:xfrm>
        <a:prstGeom prst="rect">
          <a:avLst/>
        </a:prstGeom>
      </xdr:spPr>
    </xdr:pic>
    <xdr:clientData/>
  </xdr:twoCellAnchor>
  <xdr:twoCellAnchor editAs="oneCell">
    <xdr:from>
      <xdr:col>0</xdr:col>
      <xdr:colOff>0</xdr:colOff>
      <xdr:row>339</xdr:row>
      <xdr:rowOff>0</xdr:rowOff>
    </xdr:from>
    <xdr:to>
      <xdr:col>12</xdr:col>
      <xdr:colOff>179924</xdr:colOff>
      <xdr:row>361</xdr:row>
      <xdr:rowOff>47148</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58121550"/>
          <a:ext cx="8409524" cy="3819048"/>
        </a:xfrm>
        <a:prstGeom prst="rect">
          <a:avLst/>
        </a:prstGeom>
      </xdr:spPr>
    </xdr:pic>
    <xdr:clientData/>
  </xdr:twoCellAnchor>
  <xdr:twoCellAnchor editAs="oneCell">
    <xdr:from>
      <xdr:col>0</xdr:col>
      <xdr:colOff>0</xdr:colOff>
      <xdr:row>362</xdr:row>
      <xdr:rowOff>0</xdr:rowOff>
    </xdr:from>
    <xdr:to>
      <xdr:col>9</xdr:col>
      <xdr:colOff>465896</xdr:colOff>
      <xdr:row>369</xdr:row>
      <xdr:rowOff>114136</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62064900"/>
          <a:ext cx="6638096" cy="1314286"/>
        </a:xfrm>
        <a:prstGeom prst="rect">
          <a:avLst/>
        </a:prstGeom>
      </xdr:spPr>
    </xdr:pic>
    <xdr:clientData/>
  </xdr:twoCellAnchor>
  <xdr:twoCellAnchor editAs="oneCell">
    <xdr:from>
      <xdr:col>0</xdr:col>
      <xdr:colOff>0</xdr:colOff>
      <xdr:row>370</xdr:row>
      <xdr:rowOff>0</xdr:rowOff>
    </xdr:from>
    <xdr:to>
      <xdr:col>11</xdr:col>
      <xdr:colOff>646677</xdr:colOff>
      <xdr:row>393</xdr:row>
      <xdr:rowOff>75698</xdr:rowOff>
    </xdr:to>
    <xdr:pic>
      <xdr:nvPicPr>
        <xdr:cNvPr id="26" name="图片 25"/>
        <xdr:cNvPicPr>
          <a:picLocks noChangeAspect="1"/>
        </xdr:cNvPicPr>
      </xdr:nvPicPr>
      <xdr:blipFill>
        <a:blip xmlns:r="http://schemas.openxmlformats.org/officeDocument/2006/relationships" r:embed="rId25"/>
        <a:stretch>
          <a:fillRect/>
        </a:stretch>
      </xdr:blipFill>
      <xdr:spPr>
        <a:xfrm>
          <a:off x="0" y="63436500"/>
          <a:ext cx="8190477" cy="4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256286</xdr:colOff>
      <xdr:row>22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4286" cy="3923810"/>
        </a:xfrm>
        <a:prstGeom prst="rect">
          <a:avLst/>
        </a:prstGeom>
      </xdr:spPr>
    </xdr:pic>
    <xdr:clientData/>
  </xdr:twoCellAnchor>
  <xdr:twoCellAnchor editAs="oneCell">
    <xdr:from>
      <xdr:col>10</xdr:col>
      <xdr:colOff>257175</xdr:colOff>
      <xdr:row>1</xdr:row>
      <xdr:rowOff>66675</xdr:rowOff>
    </xdr:from>
    <xdr:to>
      <xdr:col>21</xdr:col>
      <xdr:colOff>132423</xdr:colOff>
      <xdr:row>11</xdr:row>
      <xdr:rowOff>161699</xdr:rowOff>
    </xdr:to>
    <xdr:pic>
      <xdr:nvPicPr>
        <xdr:cNvPr id="3" name="图片 2"/>
        <xdr:cNvPicPr>
          <a:picLocks noChangeAspect="1"/>
        </xdr:cNvPicPr>
      </xdr:nvPicPr>
      <xdr:blipFill>
        <a:blip xmlns:r="http://schemas.openxmlformats.org/officeDocument/2006/relationships" r:embed="rId2"/>
        <a:stretch>
          <a:fillRect/>
        </a:stretch>
      </xdr:blipFill>
      <xdr:spPr>
        <a:xfrm>
          <a:off x="7115175" y="238125"/>
          <a:ext cx="7419048" cy="1809524"/>
        </a:xfrm>
        <a:prstGeom prst="rect">
          <a:avLst/>
        </a:prstGeom>
      </xdr:spPr>
    </xdr:pic>
    <xdr:clientData/>
  </xdr:twoCellAnchor>
  <xdr:twoCellAnchor editAs="oneCell">
    <xdr:from>
      <xdr:col>10</xdr:col>
      <xdr:colOff>323850</xdr:colOff>
      <xdr:row>12</xdr:row>
      <xdr:rowOff>114300</xdr:rowOff>
    </xdr:from>
    <xdr:to>
      <xdr:col>19</xdr:col>
      <xdr:colOff>532603</xdr:colOff>
      <xdr:row>21</xdr:row>
      <xdr:rowOff>56964</xdr:rowOff>
    </xdr:to>
    <xdr:pic>
      <xdr:nvPicPr>
        <xdr:cNvPr id="4" name="图片 3"/>
        <xdr:cNvPicPr>
          <a:picLocks noChangeAspect="1"/>
        </xdr:cNvPicPr>
      </xdr:nvPicPr>
      <xdr:blipFill>
        <a:blip xmlns:r="http://schemas.openxmlformats.org/officeDocument/2006/relationships" r:embed="rId3"/>
        <a:stretch>
          <a:fillRect/>
        </a:stretch>
      </xdr:blipFill>
      <xdr:spPr>
        <a:xfrm>
          <a:off x="7181850" y="2171700"/>
          <a:ext cx="6380953" cy="1485714"/>
        </a:xfrm>
        <a:prstGeom prst="rect">
          <a:avLst/>
        </a:prstGeom>
      </xdr:spPr>
    </xdr:pic>
    <xdr:clientData/>
  </xdr:twoCellAnchor>
  <xdr:twoCellAnchor editAs="oneCell">
    <xdr:from>
      <xdr:col>0</xdr:col>
      <xdr:colOff>0</xdr:colOff>
      <xdr:row>25</xdr:row>
      <xdr:rowOff>0</xdr:rowOff>
    </xdr:from>
    <xdr:to>
      <xdr:col>10</xdr:col>
      <xdr:colOff>427715</xdr:colOff>
      <xdr:row>47</xdr:row>
      <xdr:rowOff>85243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7285715" cy="3857143"/>
        </a:xfrm>
        <a:prstGeom prst="rect">
          <a:avLst/>
        </a:prstGeom>
      </xdr:spPr>
    </xdr:pic>
    <xdr:clientData/>
  </xdr:twoCellAnchor>
  <xdr:twoCellAnchor editAs="oneCell">
    <xdr:from>
      <xdr:col>11</xdr:col>
      <xdr:colOff>0</xdr:colOff>
      <xdr:row>25</xdr:row>
      <xdr:rowOff>0</xdr:rowOff>
    </xdr:from>
    <xdr:to>
      <xdr:col>19</xdr:col>
      <xdr:colOff>513600</xdr:colOff>
      <xdr:row>33</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4286250"/>
          <a:ext cx="6000000" cy="1485714"/>
        </a:xfrm>
        <a:prstGeom prst="rect">
          <a:avLst/>
        </a:prstGeom>
      </xdr:spPr>
    </xdr:pic>
    <xdr:clientData/>
  </xdr:twoCellAnchor>
  <xdr:twoCellAnchor editAs="oneCell">
    <xdr:from>
      <xdr:col>11</xdr:col>
      <xdr:colOff>0</xdr:colOff>
      <xdr:row>35</xdr:row>
      <xdr:rowOff>0</xdr:rowOff>
    </xdr:from>
    <xdr:to>
      <xdr:col>20</xdr:col>
      <xdr:colOff>675420</xdr:colOff>
      <xdr:row>42</xdr:row>
      <xdr:rowOff>133183</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6000750"/>
          <a:ext cx="6847620" cy="1333333"/>
        </a:xfrm>
        <a:prstGeom prst="rect">
          <a:avLst/>
        </a:prstGeom>
      </xdr:spPr>
    </xdr:pic>
    <xdr:clientData/>
  </xdr:twoCellAnchor>
  <xdr:twoCellAnchor editAs="oneCell">
    <xdr:from>
      <xdr:col>0</xdr:col>
      <xdr:colOff>0</xdr:colOff>
      <xdr:row>48</xdr:row>
      <xdr:rowOff>0</xdr:rowOff>
    </xdr:from>
    <xdr:to>
      <xdr:col>10</xdr:col>
      <xdr:colOff>408667</xdr:colOff>
      <xdr:row>69</xdr:row>
      <xdr:rowOff>142407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8229600"/>
          <a:ext cx="7266667" cy="3742857"/>
        </a:xfrm>
        <a:prstGeom prst="rect">
          <a:avLst/>
        </a:prstGeom>
      </xdr:spPr>
    </xdr:pic>
    <xdr:clientData/>
  </xdr:twoCellAnchor>
  <xdr:twoCellAnchor editAs="oneCell">
    <xdr:from>
      <xdr:col>10</xdr:col>
      <xdr:colOff>0</xdr:colOff>
      <xdr:row>50</xdr:row>
      <xdr:rowOff>0</xdr:rowOff>
    </xdr:from>
    <xdr:to>
      <xdr:col>19</xdr:col>
      <xdr:colOff>342086</xdr:colOff>
      <xdr:row>62</xdr:row>
      <xdr:rowOff>47362</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0" y="8572500"/>
          <a:ext cx="6514286" cy="2104762"/>
        </a:xfrm>
        <a:prstGeom prst="rect">
          <a:avLst/>
        </a:prstGeom>
      </xdr:spPr>
    </xdr:pic>
    <xdr:clientData/>
  </xdr:twoCellAnchor>
  <xdr:twoCellAnchor editAs="oneCell">
    <xdr:from>
      <xdr:col>0</xdr:col>
      <xdr:colOff>0</xdr:colOff>
      <xdr:row>71</xdr:row>
      <xdr:rowOff>0</xdr:rowOff>
    </xdr:from>
    <xdr:to>
      <xdr:col>10</xdr:col>
      <xdr:colOff>332477</xdr:colOff>
      <xdr:row>92</xdr:row>
      <xdr:rowOff>151931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2172950"/>
          <a:ext cx="7190477" cy="3752381"/>
        </a:xfrm>
        <a:prstGeom prst="rect">
          <a:avLst/>
        </a:prstGeom>
      </xdr:spPr>
    </xdr:pic>
    <xdr:clientData/>
  </xdr:twoCellAnchor>
  <xdr:twoCellAnchor editAs="oneCell">
    <xdr:from>
      <xdr:col>0</xdr:col>
      <xdr:colOff>0</xdr:colOff>
      <xdr:row>94</xdr:row>
      <xdr:rowOff>0</xdr:rowOff>
    </xdr:from>
    <xdr:to>
      <xdr:col>10</xdr:col>
      <xdr:colOff>227715</xdr:colOff>
      <xdr:row>115</xdr:row>
      <xdr:rowOff>47169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6116300"/>
          <a:ext cx="7085715" cy="3647619"/>
        </a:xfrm>
        <a:prstGeom prst="rect">
          <a:avLst/>
        </a:prstGeom>
      </xdr:spPr>
    </xdr:pic>
    <xdr:clientData/>
  </xdr:twoCellAnchor>
  <xdr:twoCellAnchor editAs="oneCell">
    <xdr:from>
      <xdr:col>0</xdr:col>
      <xdr:colOff>0</xdr:colOff>
      <xdr:row>116</xdr:row>
      <xdr:rowOff>0</xdr:rowOff>
    </xdr:from>
    <xdr:to>
      <xdr:col>9</xdr:col>
      <xdr:colOff>646848</xdr:colOff>
      <xdr:row>130</xdr:row>
      <xdr:rowOff>171129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9888200"/>
          <a:ext cx="6819048" cy="2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241959</xdr:colOff>
      <xdr:row>28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471558" cy="4848225"/>
        </a:xfrm>
        <a:prstGeom prst="rect">
          <a:avLst/>
        </a:prstGeom>
      </xdr:spPr>
    </xdr:pic>
    <xdr:clientData/>
  </xdr:twoCellAnchor>
  <xdr:twoCellAnchor editAs="oneCell">
    <xdr:from>
      <xdr:col>0</xdr:col>
      <xdr:colOff>1</xdr:colOff>
      <xdr:row>29</xdr:row>
      <xdr:rowOff>1</xdr:rowOff>
    </xdr:from>
    <xdr:to>
      <xdr:col>12</xdr:col>
      <xdr:colOff>381000</xdr:colOff>
      <xdr:row>56</xdr:row>
      <xdr:rowOff>141008</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1"/>
          <a:ext cx="8610599" cy="4770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73-F01TDCR6%20&#21271;&#20140;&#24066;&#28023;&#28096;&#21306;&#33487;&#23478;&#22376;&#38215;&#21271;&#23433;&#27827;&#19996;&#21306;&#23450;&#21521;&#23433;&#32622;&#25151;&#39033;&#30446;&#29616;&#29366;&#20303;&#23429;&#12289;&#21830;&#19994;&#65288;&#37197;&#22871;&#65289;&#12289;&#21150;&#20844;&#65288;&#20844;&#20849;&#26381;&#21153;&#35774;&#26045;&#65289;&#12289;&#22320;&#19979;&#36710;&#24211;&#12289;&#22320;&#19979;&#20179;&#20648;&#29992;&#22320;&#20986;&#35753;&#22320;&#20215;&#35780;&#20272;/F02/F02&#32456;&#29256;/2018-12-18&#25913;&#33487;&#23478;&#22376;&#27979;&#31639;&#20303;&#23429;&#19981;&#32763;&#2049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ADMINI~1/APPLIC~1/Tencent/WeChat/WeChat%20Files/lsl13039661815/Attachment/2&#26575;&#38451;&#26223;&#22253;&#27979;&#31639;&#65288;&#20303;&#23429;70&#65289;&#20027;&#34920;&#24635;&#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016;&#30427;&#32993;&#21516;&#65288;&#21150;&#20844;&#28385;&#24180;&#3848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 结果表汇总"/>
      <sheetName val="结果表-住宅"/>
      <sheetName val="基准地价-住宅"/>
      <sheetName val="剩余法-住宅"/>
      <sheetName val="不动产收益法住宅"/>
      <sheetName val="不动产比较法-住宅"/>
      <sheetName val="住宅案例"/>
      <sheetName val="基准地价-商业"/>
      <sheetName val="剩余法-商业"/>
      <sheetName val="不动产收益法商业"/>
      <sheetName val="租金商业"/>
      <sheetName val="商业案例"/>
      <sheetName val="结果表-办公"/>
      <sheetName val="基准地价-办公"/>
      <sheetName val="剩余法-办公"/>
      <sheetName val="收益还原法-住宅"/>
      <sheetName val="收益还原法-商业"/>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办公"/>
      <sheetName val="租金办公"/>
      <sheetName val="办公案例"/>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比较法-住宅</v>
          </cell>
          <cell r="C9" t="str">
            <v>八级</v>
          </cell>
          <cell r="F9" t="str">
            <v>仓储</v>
          </cell>
        </row>
        <row r="10">
          <cell r="A10" t="str">
            <v>独栋</v>
          </cell>
          <cell r="B10" t="str">
            <v>比较法-商业</v>
          </cell>
          <cell r="C10" t="str">
            <v>九级</v>
          </cell>
          <cell r="F10" t="str">
            <v>——</v>
          </cell>
        </row>
        <row r="11">
          <cell r="A11" t="str">
            <v>底商</v>
          </cell>
          <cell r="B11" t="str">
            <v>比较法-办公</v>
          </cell>
          <cell r="C11" t="str">
            <v>十级</v>
          </cell>
        </row>
        <row r="12">
          <cell r="A12" t="str">
            <v>独立商业</v>
          </cell>
          <cell r="B12" t="str">
            <v>比较法-车位</v>
          </cell>
          <cell r="C12" t="str">
            <v>十一级</v>
          </cell>
        </row>
        <row r="13">
          <cell r="A13" t="str">
            <v>商业街</v>
          </cell>
          <cell r="B13" t="str">
            <v>比较法-仓储</v>
          </cell>
          <cell r="C13" t="str">
            <v>十二级</v>
          </cell>
        </row>
        <row r="14">
          <cell r="A14" t="str">
            <v>酒店</v>
          </cell>
          <cell r="B14" t="str">
            <v>不动产收益法住宅</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基准地价-车库</v>
          </cell>
        </row>
        <row r="24">
          <cell r="A24" t="str">
            <v>——</v>
          </cell>
          <cell r="B24" t="str">
            <v>基准地价-仓储</v>
          </cell>
        </row>
        <row r="25">
          <cell r="A25" t="str">
            <v>限价商品房</v>
          </cell>
          <cell r="B25" t="str">
            <v>剩余法-住宅</v>
          </cell>
        </row>
        <row r="26">
          <cell r="A26" t="str">
            <v>自住商品房</v>
          </cell>
          <cell r="B26" t="str">
            <v>剩余法-商业</v>
          </cell>
        </row>
        <row r="27">
          <cell r="A27" t="str">
            <v>*</v>
          </cell>
          <cell r="B27" t="str">
            <v>剩余法-办公</v>
          </cell>
        </row>
        <row r="28">
          <cell r="A28" t="str">
            <v>*</v>
          </cell>
          <cell r="B28" t="str">
            <v>剩余法-车库</v>
          </cell>
        </row>
        <row r="29">
          <cell r="A29" t="str">
            <v>*</v>
          </cell>
          <cell r="B29" t="str">
            <v>剩余法-仓储</v>
          </cell>
        </row>
        <row r="30">
          <cell r="A30" t="str">
            <v>*</v>
          </cell>
          <cell r="B30" t="str">
            <v>收益还原法-住宅</v>
          </cell>
        </row>
        <row r="31">
          <cell r="A31" t="str">
            <v>*</v>
          </cell>
          <cell r="B31" t="str">
            <v>收益还原法-商业</v>
          </cell>
        </row>
        <row r="32">
          <cell r="A32" t="str">
            <v>*</v>
          </cell>
          <cell r="B32" t="str">
            <v>收益还原法-办公</v>
          </cell>
        </row>
        <row r="33">
          <cell r="A33" t="str">
            <v>*</v>
          </cell>
          <cell r="B33" t="str">
            <v>收益还原法-车库</v>
          </cell>
        </row>
        <row r="34">
          <cell r="A34" t="str">
            <v>*</v>
          </cell>
          <cell r="B34" t="str">
            <v>收益还原法-仓储</v>
          </cell>
        </row>
        <row r="35">
          <cell r="A35" t="str">
            <v>*</v>
          </cell>
        </row>
        <row r="36">
          <cell r="A36" t="str">
            <v>*</v>
          </cell>
          <cell r="B36" t="str">
            <v>结果表-住宅</v>
          </cell>
        </row>
        <row r="37">
          <cell r="A37" t="str">
            <v>*</v>
          </cell>
          <cell r="B37" t="str">
            <v>结果表-办公</v>
          </cell>
        </row>
        <row r="38">
          <cell r="A38" t="str">
            <v>*</v>
          </cell>
          <cell r="B38" t="str">
            <v>结果表-商业</v>
          </cell>
        </row>
        <row r="39">
          <cell r="A39" t="str">
            <v>*</v>
          </cell>
          <cell r="B39" t="str">
            <v>结果表-车库</v>
          </cell>
        </row>
        <row r="40">
          <cell r="A40" t="str">
            <v>*</v>
          </cell>
          <cell r="B40" t="str">
            <v>结果表-仓储</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2">
          <cell r="K2" t="str">
            <v>北京市出让国有建设用地使用权</v>
          </cell>
        </row>
        <row r="6">
          <cell r="K6" t="str">
            <v/>
          </cell>
        </row>
        <row r="16">
          <cell r="B16" t="str">
            <v>出让</v>
          </cell>
        </row>
      </sheetData>
      <sheetData sheetId="10"/>
      <sheetData sheetId="11"/>
      <sheetData sheetId="12">
        <row r="3">
          <cell r="D3">
            <v>183040.85</v>
          </cell>
          <cell r="E3">
            <v>709912</v>
          </cell>
        </row>
        <row r="17">
          <cell r="C17" t="str">
            <v>项目类型</v>
          </cell>
        </row>
        <row r="19">
          <cell r="C19" t="str">
            <v>住宅</v>
          </cell>
        </row>
        <row r="20">
          <cell r="C20" t="str">
            <v>商业</v>
          </cell>
        </row>
        <row r="21">
          <cell r="C21" t="str">
            <v>办公</v>
          </cell>
        </row>
        <row r="22">
          <cell r="C22" t="str">
            <v>车库</v>
          </cell>
        </row>
        <row r="23">
          <cell r="C23" t="str">
            <v>仓储</v>
          </cell>
        </row>
        <row r="24">
          <cell r="C24" t="str">
            <v>其它</v>
          </cell>
        </row>
      </sheetData>
      <sheetData sheetId="13">
        <row r="2">
          <cell r="B2">
            <v>43388</v>
          </cell>
        </row>
        <row r="41">
          <cell r="B41">
            <v>5.6000000000000001E-2</v>
          </cell>
        </row>
        <row r="42">
          <cell r="C42">
            <v>0.05</v>
          </cell>
        </row>
        <row r="43">
          <cell r="B43">
            <v>6.000000000000001E-3</v>
          </cell>
        </row>
        <row r="48">
          <cell r="B48">
            <v>0.03</v>
          </cell>
        </row>
        <row r="49">
          <cell r="B49">
            <v>5.0000000000000001E-4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5">
          <cell r="C5">
            <v>50</v>
          </cell>
        </row>
      </sheetData>
      <sheetData sheetId="19"/>
      <sheetData sheetId="20"/>
      <sheetData sheetId="21"/>
      <sheetData sheetId="22">
        <row r="61">
          <cell r="A61" t="str">
            <v>交易情况</v>
          </cell>
          <cell r="C61" t="str">
            <v>正常</v>
          </cell>
          <cell r="D61" t="str">
            <v>挂牌</v>
          </cell>
        </row>
        <row r="63">
          <cell r="B63" t="str">
            <v>用途</v>
          </cell>
          <cell r="C63" t="str">
            <v>住宅</v>
          </cell>
        </row>
        <row r="86">
          <cell r="B86" t="str">
            <v>楼层-1</v>
          </cell>
        </row>
        <row r="88">
          <cell r="B88" t="str">
            <v>朝向</v>
          </cell>
          <cell r="C88" t="str">
            <v>南北东</v>
          </cell>
          <cell r="D88" t="str">
            <v>南北西</v>
          </cell>
          <cell r="E88" t="str">
            <v>南北</v>
          </cell>
          <cell r="F88" t="str">
            <v>东南</v>
          </cell>
          <cell r="G88" t="str">
            <v>西南</v>
          </cell>
          <cell r="H88" t="str">
            <v>南</v>
          </cell>
          <cell r="I88" t="str">
            <v>东西北</v>
          </cell>
          <cell r="J88" t="str">
            <v>东北</v>
          </cell>
          <cell r="K88" t="str">
            <v>西北</v>
          </cell>
          <cell r="L88" t="str">
            <v>东西</v>
          </cell>
          <cell r="M88" t="str">
            <v>东</v>
          </cell>
        </row>
        <row r="100">
          <cell r="B100" t="str">
            <v>建筑类型</v>
          </cell>
          <cell r="C100" t="str">
            <v>多层板楼</v>
          </cell>
          <cell r="D100" t="str">
            <v>高层板楼</v>
          </cell>
          <cell r="E100" t="str">
            <v>板塔结合</v>
          </cell>
        </row>
        <row r="105">
          <cell r="B105" t="str">
            <v>建筑结构</v>
          </cell>
          <cell r="C105" t="str">
            <v>钢结构</v>
          </cell>
          <cell r="D105" t="str">
            <v>钢混</v>
          </cell>
          <cell r="E105" t="str">
            <v>砖混</v>
          </cell>
          <cell r="F105" t="str">
            <v>混合</v>
          </cell>
        </row>
        <row r="107">
          <cell r="B107" t="str">
            <v>建筑品质</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cell r="E114" t="str">
            <v>单位自管</v>
          </cell>
          <cell r="F114" t="str">
            <v>居委会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E118" t="str">
            <v>跃层</v>
          </cell>
          <cell r="F118" t="str">
            <v>平层</v>
          </cell>
        </row>
        <row r="122">
          <cell r="B122" t="str">
            <v>内部装修</v>
          </cell>
          <cell r="C122" t="str">
            <v>精装修</v>
          </cell>
          <cell r="D122" t="str">
            <v>普通装修</v>
          </cell>
          <cell r="E122" t="str">
            <v>简装</v>
          </cell>
          <cell r="F122" t="str">
            <v>毛坯</v>
          </cell>
        </row>
      </sheetData>
      <sheetData sheetId="23"/>
      <sheetData sheetId="24"/>
      <sheetData sheetId="25"/>
      <sheetData sheetId="26"/>
      <sheetData sheetId="27">
        <row r="61">
          <cell r="A61" t="str">
            <v>交易情况</v>
          </cell>
          <cell r="C61" t="str">
            <v>正常</v>
          </cell>
          <cell r="D61" t="str">
            <v>挂牌</v>
          </cell>
        </row>
        <row r="63">
          <cell r="B63" t="str">
            <v>用途</v>
          </cell>
          <cell r="C63" t="str">
            <v>商业</v>
          </cell>
        </row>
        <row r="86">
          <cell r="B86" t="str">
            <v>临街状况</v>
          </cell>
          <cell r="C86" t="str">
            <v>高速</v>
          </cell>
          <cell r="D86" t="str">
            <v>快速</v>
          </cell>
          <cell r="E86" t="str">
            <v>主</v>
          </cell>
          <cell r="F86" t="str">
            <v>次</v>
          </cell>
          <cell r="G86" t="str">
            <v>支路</v>
          </cell>
        </row>
        <row r="90">
          <cell r="B90" t="str">
            <v>人流量</v>
          </cell>
          <cell r="C90" t="str">
            <v>较好</v>
          </cell>
          <cell r="D90" t="str">
            <v>一般</v>
          </cell>
        </row>
        <row r="92">
          <cell r="B92" t="str">
            <v>楼层</v>
          </cell>
          <cell r="C92">
            <v>1</v>
          </cell>
        </row>
        <row r="100">
          <cell r="B100" t="str">
            <v>商业类型</v>
          </cell>
          <cell r="C100" t="str">
            <v>独立商业</v>
          </cell>
          <cell r="D100" t="str">
            <v>商业综合体</v>
          </cell>
          <cell r="E100" t="str">
            <v>商业街商铺</v>
          </cell>
          <cell r="F100" t="str">
            <v>住宅底商</v>
          </cell>
        </row>
        <row r="105">
          <cell r="B105" t="str">
            <v>建筑结构</v>
          </cell>
          <cell r="C105" t="str">
            <v>钢混</v>
          </cell>
          <cell r="D105" t="str">
            <v>混合</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row>
        <row r="120">
          <cell r="B120" t="str">
            <v>进深比</v>
          </cell>
        </row>
        <row r="122">
          <cell r="B122" t="str">
            <v>内部装修</v>
          </cell>
          <cell r="C122" t="str">
            <v>精装修</v>
          </cell>
          <cell r="D122" t="str">
            <v>普通装修</v>
          </cell>
          <cell r="E122" t="str">
            <v>简装</v>
          </cell>
          <cell r="F122" t="str">
            <v>毛坯</v>
          </cell>
        </row>
      </sheetData>
      <sheetData sheetId="28"/>
      <sheetData sheetId="29"/>
      <sheetData sheetId="30"/>
      <sheetData sheetId="31"/>
      <sheetData sheetId="32"/>
      <sheetData sheetId="33"/>
      <sheetData sheetId="34">
        <row r="18">
          <cell r="C18">
            <v>258405</v>
          </cell>
        </row>
      </sheetData>
      <sheetData sheetId="35">
        <row r="18">
          <cell r="C18">
            <v>258405</v>
          </cell>
        </row>
      </sheetData>
      <sheetData sheetId="3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3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40"/>
      <sheetData sheetId="41"/>
      <sheetData sheetId="42"/>
      <sheetData sheetId="43"/>
      <sheetData sheetId="44"/>
      <sheetData sheetId="45"/>
      <sheetData sheetId="46"/>
      <sheetData sheetId="47">
        <row r="62">
          <cell r="A62" t="str">
            <v>交易情况</v>
          </cell>
          <cell r="C62" t="str">
            <v>正常</v>
          </cell>
          <cell r="D62" t="str">
            <v>挂牌</v>
          </cell>
        </row>
        <row r="64">
          <cell r="B64" t="str">
            <v>用途</v>
          </cell>
          <cell r="C64" t="str">
            <v>办公</v>
          </cell>
        </row>
        <row r="87">
          <cell r="B87" t="str">
            <v>毗邻道路的类型与等级</v>
          </cell>
          <cell r="C87" t="str">
            <v>高速</v>
          </cell>
          <cell r="D87" t="str">
            <v>快速</v>
          </cell>
          <cell r="E87" t="str">
            <v>主</v>
          </cell>
          <cell r="F87" t="str">
            <v>次</v>
          </cell>
          <cell r="G87" t="str">
            <v>支路</v>
          </cell>
        </row>
        <row r="89">
          <cell r="B89" t="str">
            <v>楼层</v>
          </cell>
        </row>
        <row r="91">
          <cell r="B91" t="str">
            <v>朝向</v>
          </cell>
        </row>
        <row r="101">
          <cell r="B101" t="str">
            <v>建筑类型</v>
          </cell>
          <cell r="C101" t="str">
            <v>高板</v>
          </cell>
        </row>
        <row r="106">
          <cell r="B106" t="str">
            <v>建筑结构</v>
          </cell>
          <cell r="C106" t="str">
            <v>钢混</v>
          </cell>
          <cell r="D106" t="str">
            <v>混合</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普通装修</v>
          </cell>
          <cell r="E123" t="str">
            <v>简装</v>
          </cell>
          <cell r="F123" t="str">
            <v>毛坯</v>
          </cell>
        </row>
      </sheetData>
      <sheetData sheetId="48"/>
      <sheetData sheetId="49"/>
      <sheetData sheetId="50"/>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70住宅"/>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 val="新旧规划结果表"/>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剩余法-待开发住宅</v>
          </cell>
        </row>
        <row r="21">
          <cell r="A21" t="str">
            <v>戊类库房</v>
          </cell>
          <cell r="B21" t="str">
            <v>剩余法-待开发商业</v>
          </cell>
        </row>
        <row r="22">
          <cell r="A22" t="str">
            <v>燃品库房</v>
          </cell>
          <cell r="B22" t="str">
            <v>*</v>
          </cell>
        </row>
        <row r="23">
          <cell r="A23" t="str">
            <v>非燃品库房</v>
          </cell>
          <cell r="B23" t="str">
            <v>基准地价-70住宅</v>
          </cell>
        </row>
        <row r="24">
          <cell r="A24" t="str">
            <v>——</v>
          </cell>
          <cell r="B24" t="str">
            <v>基准地价-商业</v>
          </cell>
        </row>
        <row r="25">
          <cell r="A25" t="str">
            <v>限价商品房</v>
          </cell>
          <cell r="B25" t="str">
            <v>基准地价-住宅</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商业（配套）</v>
          </cell>
        </row>
        <row r="21">
          <cell r="C21" t="str">
            <v>地下仓储</v>
          </cell>
        </row>
        <row r="22">
          <cell r="C22" t="str">
            <v>地下车库</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t="str">
            <v>南北</v>
          </cell>
          <cell r="D88">
            <v>0</v>
          </cell>
          <cell r="E88">
            <v>0</v>
          </cell>
          <cell r="F88">
            <v>0</v>
          </cell>
          <cell r="G88">
            <v>0</v>
          </cell>
          <cell r="H88">
            <v>0</v>
          </cell>
          <cell r="I88">
            <v>0</v>
          </cell>
          <cell r="J88">
            <v>0</v>
          </cell>
          <cell r="K88">
            <v>0</v>
          </cell>
          <cell r="L88">
            <v>0</v>
          </cell>
          <cell r="M88">
            <v>0</v>
          </cell>
        </row>
        <row r="100">
          <cell r="B100" t="str">
            <v>建筑类型</v>
          </cell>
          <cell r="C100" t="str">
            <v>板楼</v>
          </cell>
          <cell r="D100">
            <v>0</v>
          </cell>
          <cell r="E100">
            <v>0</v>
          </cell>
          <cell r="F100">
            <v>0</v>
          </cell>
          <cell r="G100">
            <v>0</v>
          </cell>
          <cell r="H100">
            <v>0</v>
          </cell>
          <cell r="I100">
            <v>0</v>
          </cell>
          <cell r="J100">
            <v>0</v>
          </cell>
          <cell r="K100">
            <v>0</v>
          </cell>
          <cell r="L100">
            <v>0</v>
          </cell>
          <cell r="M100">
            <v>0</v>
          </cell>
        </row>
        <row r="105">
          <cell r="B105" t="str">
            <v>建筑结构</v>
          </cell>
          <cell r="C105" t="str">
            <v>混合</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t="str">
            <v>普通装修</v>
          </cell>
          <cell r="D109">
            <v>0</v>
          </cell>
          <cell r="E109">
            <v>0</v>
          </cell>
          <cell r="F109">
            <v>0</v>
          </cell>
          <cell r="G109">
            <v>0</v>
          </cell>
          <cell r="H109">
            <v>0</v>
          </cell>
          <cell r="I109">
            <v>0</v>
          </cell>
          <cell r="J109">
            <v>0</v>
          </cell>
          <cell r="K109">
            <v>0</v>
          </cell>
          <cell r="L109">
            <v>0</v>
          </cell>
          <cell r="M109">
            <v>0</v>
          </cell>
        </row>
        <row r="114">
          <cell r="B114" t="str">
            <v>物业管理</v>
          </cell>
          <cell r="C114" t="str">
            <v>物业公司</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v>0</v>
          </cell>
          <cell r="E116">
            <v>0</v>
          </cell>
          <cell r="F116">
            <v>0</v>
          </cell>
          <cell r="G116">
            <v>0</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单面临街</v>
          </cell>
          <cell r="D86">
            <v>0</v>
          </cell>
          <cell r="E86">
            <v>0</v>
          </cell>
          <cell r="F86">
            <v>0</v>
          </cell>
          <cell r="G86">
            <v>0</v>
          </cell>
          <cell r="H86">
            <v>0</v>
          </cell>
          <cell r="I86">
            <v>0</v>
          </cell>
          <cell r="J86">
            <v>0</v>
          </cell>
          <cell r="K86">
            <v>0</v>
          </cell>
          <cell r="L86">
            <v>0</v>
          </cell>
          <cell r="M86">
            <v>0</v>
          </cell>
        </row>
        <row r="90">
          <cell r="B90" t="str">
            <v>人流量</v>
          </cell>
          <cell r="C90" t="str">
            <v>好</v>
          </cell>
          <cell r="D90" t="str">
            <v>较好</v>
          </cell>
          <cell r="E90" t="str">
            <v>一般</v>
          </cell>
          <cell r="F90" t="str">
            <v>较差</v>
          </cell>
          <cell r="G90" t="str">
            <v>差</v>
          </cell>
          <cell r="H90">
            <v>0</v>
          </cell>
          <cell r="I90">
            <v>0</v>
          </cell>
          <cell r="J90">
            <v>0</v>
          </cell>
          <cell r="K90">
            <v>0</v>
          </cell>
          <cell r="L90">
            <v>0</v>
          </cell>
          <cell r="M90">
            <v>0</v>
          </cell>
        </row>
        <row r="92">
          <cell r="B92" t="str">
            <v>楼层</v>
          </cell>
          <cell r="C92" t="str">
            <v>一层</v>
          </cell>
          <cell r="D92">
            <v>0</v>
          </cell>
          <cell r="E92">
            <v>0</v>
          </cell>
          <cell r="F92">
            <v>0</v>
          </cell>
          <cell r="G92">
            <v>0</v>
          </cell>
          <cell r="H92">
            <v>0</v>
          </cell>
          <cell r="I92">
            <v>0</v>
          </cell>
          <cell r="J92">
            <v>0</v>
          </cell>
          <cell r="K92">
            <v>0</v>
          </cell>
          <cell r="L92">
            <v>0</v>
          </cell>
          <cell r="M92">
            <v>0</v>
          </cell>
        </row>
        <row r="100">
          <cell r="B100" t="str">
            <v>商业类型</v>
          </cell>
          <cell r="C100" t="str">
            <v>商业综合楼</v>
          </cell>
          <cell r="D100" t="str">
            <v>商业街商铺</v>
          </cell>
          <cell r="E100" t="str">
            <v>住宅底商</v>
          </cell>
          <cell r="F100">
            <v>0</v>
          </cell>
          <cell r="G100">
            <v>0</v>
          </cell>
          <cell r="H100">
            <v>0</v>
          </cell>
          <cell r="I100">
            <v>0</v>
          </cell>
          <cell r="J100">
            <v>0</v>
          </cell>
          <cell r="K100">
            <v>0</v>
          </cell>
          <cell r="L100">
            <v>0</v>
          </cell>
          <cell r="M100">
            <v>0</v>
          </cell>
        </row>
        <row r="105">
          <cell r="B105" t="str">
            <v>建筑结构</v>
          </cell>
          <cell r="C105" t="str">
            <v>混合</v>
          </cell>
          <cell r="D105">
            <v>0</v>
          </cell>
          <cell r="E105">
            <v>0</v>
          </cell>
          <cell r="F105">
            <v>0</v>
          </cell>
          <cell r="G105">
            <v>0</v>
          </cell>
          <cell r="H105">
            <v>0</v>
          </cell>
          <cell r="I105">
            <v>0</v>
          </cell>
          <cell r="J105">
            <v>0</v>
          </cell>
          <cell r="K105">
            <v>0</v>
          </cell>
          <cell r="L105">
            <v>0</v>
          </cell>
          <cell r="M105">
            <v>0</v>
          </cell>
        </row>
        <row r="107">
          <cell r="B107" t="str">
            <v>公共部分装修</v>
          </cell>
          <cell r="C107" t="str">
            <v>普通装修</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t="str">
            <v>正常</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普通装修</v>
          </cell>
          <cell r="D122">
            <v>0</v>
          </cell>
          <cell r="E122">
            <v>0</v>
          </cell>
          <cell r="F122">
            <v>0</v>
          </cell>
          <cell r="G122">
            <v>0</v>
          </cell>
          <cell r="H122">
            <v>0</v>
          </cell>
          <cell r="I122">
            <v>0</v>
          </cell>
          <cell r="J122">
            <v>0</v>
          </cell>
          <cell r="K122">
            <v>0</v>
          </cell>
          <cell r="L122">
            <v>0</v>
          </cell>
          <cell r="M122">
            <v>0</v>
          </cell>
        </row>
      </sheetData>
      <sheetData sheetId="34"/>
      <sheetData sheetId="35"/>
      <sheetData sheetId="3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总结果表"/>
      <sheetName val="结果表"/>
      <sheetName val="结果表-商业"/>
      <sheetName val="基准地价-商业"/>
      <sheetName val="剩余法-商业"/>
      <sheetName val="不动产比较法-商业"/>
      <sheetName val="不动产收益法-商业"/>
      <sheetName val="商业案例"/>
      <sheetName val="结果表-办公"/>
      <sheetName val="基准地价-办公"/>
      <sheetName val="剩余法-现房"/>
      <sheetName val="比较法-住宅、综合"/>
      <sheetName val="比较法-工业"/>
      <sheetName val="修正"/>
      <sheetName val="区片价"/>
      <sheetName val="容积率修正"/>
      <sheetName val="因素修正幅度"/>
      <sheetName val="基准地价（汇总）"/>
      <sheetName val="收益还原法"/>
      <sheetName val="剩余法-办公"/>
      <sheetName val="酒店收入计算"/>
      <sheetName val="成本逼近法"/>
      <sheetName val="不动产比较法-住宅"/>
      <sheetName val="不动产比较法-办公"/>
      <sheetName val="不动产收益法-办公"/>
      <sheetName val="办公案例"/>
      <sheetName val="Sheet1"/>
      <sheetName val="地价"/>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9">
          <cell r="C29">
            <v>34943</v>
          </cell>
        </row>
      </sheetData>
      <sheetData sheetId="27"/>
      <sheetData sheetId="28"/>
      <sheetData sheetId="29"/>
      <sheetData sheetId="30"/>
      <sheetData sheetId="31"/>
      <sheetData sheetId="32"/>
      <sheetData sheetId="33"/>
      <sheetData sheetId="34"/>
      <sheetData sheetId="35"/>
      <sheetData sheetId="36">
        <row r="3">
          <cell r="B3">
            <v>39585</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北京市出让国有建设用地使用权市场价格预评估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受贵公司委托，我公司对北京市出让国有建设用地使用权市场价格进行了预评估。</v>
      </c>
      <c r="AM6" s="2880"/>
    </row>
    <row r="7" spans="1:55" s="2854" customFormat="1">
      <c r="A7" s="2855" t="s">
        <v>2658</v>
      </c>
      <c r="B7" s="2856" t="str">
        <f>'预评函-1'!A6</f>
        <v>估价对象为使用的、位于北京市出让国有建设用地使用权。根据《国有土地使用证》[]，估价对象（分摊）出让国有建设用地使用权面积为6130.06平方米。根据《建设工程规划许可证》[]、《出让合同》[]，估价对象规划建筑面积为59625.46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2019年3月28日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根据《国有土地使用证》[]，估价对象（分摊）出让国有建设用地使用权面积为6130.06平方米。根据《建设工程规划许可证》[]、《出让合同》[]，估价对象规划建筑面积为59625.46平方米。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20日、办公2054年7月14日、车库2054年7月14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3月28日，在规划利用条件下、设定土地开发程度为红线外“七通”、宗地内场地，设定用途为，剩余土地使用年限为的出让国有建设用地使用权价格。</v>
      </c>
    </row>
    <row r="19" spans="1:48" s="2854" customFormat="1">
      <c r="A19" s="2855" t="s">
        <v>2673</v>
      </c>
      <c r="B19" s="2856" t="str">
        <f>'预评函-1'!A26</f>
        <v>——</v>
      </c>
    </row>
    <row r="20" spans="1:48" s="2854" customFormat="1">
      <c r="A20" s="2855" t="s">
        <v>2674</v>
      </c>
      <c r="B20" s="2856" t="str">
        <f>'预评函-1'!A27</f>
        <v>——</v>
      </c>
    </row>
    <row r="21" spans="1:48" s="2870" customFormat="1" ht="15" thickBot="1">
      <c r="A21" s="2877" t="s">
        <v>2675</v>
      </c>
      <c r="B21" s="2878" t="str">
        <f>'预评函-1'!A28</f>
        <v>——</v>
      </c>
    </row>
    <row r="22" spans="1:48" ht="15" thickTop="1">
      <c r="A22" s="2866" t="s">
        <v>2676</v>
      </c>
      <c r="B22" s="2867" t="str">
        <f>'预评函-1'!A30</f>
        <v>评估专业人员根据估价的目的，按照估价的程序，采用科学的估价方法（基准地价系数修正法、收益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估价期日：2019年3月28日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6130.06</v>
      </c>
    </row>
    <row r="44" spans="1:2">
      <c r="A44" s="2855" t="s">
        <v>2741</v>
      </c>
      <c r="B44" s="2856" t="str">
        <f>'预评函-2'!O3</f>
        <v>规划建筑面积/㎡</v>
      </c>
    </row>
    <row r="45" spans="1:2">
      <c r="A45" s="2855" t="s">
        <v>2723</v>
      </c>
      <c r="B45" s="2856">
        <f>'预评函-2'!O5</f>
        <v>59625.46</v>
      </c>
    </row>
    <row r="46" spans="1:2">
      <c r="A46" s="2855" t="s">
        <v>2724</v>
      </c>
      <c r="B46" s="2856">
        <f ca="1">'预评函-2'!P5</f>
        <v>11453</v>
      </c>
    </row>
    <row r="47" spans="1:2">
      <c r="A47" s="2855" t="s">
        <v>2725</v>
      </c>
      <c r="B47" s="2856">
        <f ca="1">'预评函-2'!Q5</f>
        <v>1178</v>
      </c>
    </row>
    <row r="48" spans="1:2">
      <c r="A48" s="2855" t="s">
        <v>2726</v>
      </c>
      <c r="B48" s="2856">
        <f ca="1">'预评函-2'!R5</f>
        <v>7021</v>
      </c>
    </row>
    <row r="49" spans="1:2">
      <c r="A49" s="2855" t="s">
        <v>2742</v>
      </c>
      <c r="B49" s="2856" t="str">
        <f>'预评函-2'!A6</f>
        <v>——</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2787</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D20" sqref="D20:I2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654" t="str">
        <f>IF(B10="北京市","北京市",C10)&amp;F10&amp;B16&amp;"国有建设用地使用权"&amp;B9&amp;"预评估"</f>
        <v>北京市出让国有建设用地使用权市场价格预评估</v>
      </c>
      <c r="C1" s="3655"/>
      <c r="D1" s="3655"/>
      <c r="E1" s="3655"/>
      <c r="F1" s="3655"/>
      <c r="G1" s="3655"/>
      <c r="H1" s="3655"/>
      <c r="I1" s="3656"/>
      <c r="J1" s="1692"/>
      <c r="K1" s="2433"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1940</v>
      </c>
      <c r="B3" s="1660">
        <v>43556</v>
      </c>
      <c r="C3" s="1661" t="s">
        <v>1996</v>
      </c>
      <c r="D3" s="1660">
        <v>43552</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2889</v>
      </c>
      <c r="C4" s="1844">
        <f>SUMIF(土地估价师,B4,估价师及机构信息!E3:E24)</f>
        <v>0</v>
      </c>
      <c r="D4" s="1841" t="s">
        <v>2889</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2993</v>
      </c>
      <c r="C8" s="1669"/>
      <c r="D8" s="3660"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t="s">
        <v>2994</v>
      </c>
      <c r="C9" s="1673"/>
      <c r="D9" s="3661"/>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1946</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2995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657"/>
      <c r="C12" s="3658"/>
      <c r="D12" s="3659"/>
      <c r="E12" s="1697" t="s">
        <v>2062</v>
      </c>
      <c r="F12" s="3675" t="s">
        <v>2890</v>
      </c>
      <c r="G12" s="3676"/>
      <c r="H12" s="3676"/>
      <c r="I12" s="3677"/>
      <c r="J12" s="1692"/>
      <c r="K12" s="1772"/>
      <c r="L12" s="1721"/>
      <c r="M12" s="1721"/>
      <c r="N12" s="1692"/>
      <c r="O12" s="1693"/>
      <c r="P12" s="1692"/>
      <c r="Q12" s="1692"/>
      <c r="R12" s="1692"/>
      <c r="S12" s="1692"/>
      <c r="T12" s="1692"/>
      <c r="U12" s="1692"/>
    </row>
    <row r="13" spans="1:21">
      <c r="A13" s="1685" t="s">
        <v>2060</v>
      </c>
      <c r="B13" s="3657"/>
      <c r="C13" s="3658"/>
      <c r="D13" s="3659"/>
      <c r="E13" s="1697" t="s">
        <v>2062</v>
      </c>
      <c r="F13" s="3675" t="s">
        <v>2891</v>
      </c>
      <c r="G13" s="3676"/>
      <c r="H13" s="3676"/>
      <c r="I13" s="3677"/>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2993</v>
      </c>
      <c r="C16" s="1697" t="s">
        <v>1949</v>
      </c>
      <c r="D16" s="2624" t="s">
        <v>1950</v>
      </c>
      <c r="E16" s="1720" t="s">
        <v>2996</v>
      </c>
      <c r="F16" s="1720" t="s">
        <v>1678</v>
      </c>
      <c r="G16" s="1720" t="s">
        <v>3000</v>
      </c>
      <c r="H16" s="1720"/>
      <c r="I16" s="1684" t="s">
        <v>1955</v>
      </c>
      <c r="J16" s="1692"/>
      <c r="K16" s="2434" t="str">
        <f>IF(D17="","",D16&amp;TEXT(D17,"yyyy年m月d日;;"))</f>
        <v/>
      </c>
      <c r="L16" s="1697" t="str">
        <f>IF(OR(K16="",M16=""),"","、")</f>
        <v/>
      </c>
      <c r="M16" s="2434" t="str">
        <f>IF(E17="","",E16&amp;TEXT(E17,"yyyy年m月d日;;"))</f>
        <v>商业2059年3月20日</v>
      </c>
      <c r="N16" s="1697" t="str">
        <f>IF(OR(M16="",O16=""),"","、")</f>
        <v>、</v>
      </c>
      <c r="O16" s="2434" t="str">
        <f>IF(F17="","",F16&amp;TEXT(F17,"yyyy年m月d日;;"))</f>
        <v>办公2054年7月14日</v>
      </c>
      <c r="P16" s="1697" t="str">
        <f>IF(OR(O16="",Q16=""),"","、")</f>
        <v>、</v>
      </c>
      <c r="Q16" s="2434" t="str">
        <f>IF(G17="","",G16&amp;TEXT(G17,"yyyy年m月d日;;"))</f>
        <v>车库2054年7月14日</v>
      </c>
      <c r="R16" s="1697" t="str">
        <f>IF(OR(Q16="",S16=""),"","、")</f>
        <v/>
      </c>
      <c r="S16" s="2434" t="str">
        <f>IF(H17="","",H16&amp;TEXT(H17,"yyyy年m月d日;;"))</f>
        <v/>
      </c>
      <c r="T16" s="1697" t="str">
        <f>IF(OR(S16="",U16=""),"","、")</f>
        <v/>
      </c>
      <c r="U16" s="2434" t="str">
        <f>IF(I17="","",I16&amp;TEXT(I17,"yyyy年m月d日;;"))</f>
        <v/>
      </c>
    </row>
    <row r="17" spans="1:21">
      <c r="A17" s="1761"/>
      <c r="B17" s="1680"/>
      <c r="C17" s="1681" t="s">
        <v>1956</v>
      </c>
      <c r="D17" s="1698"/>
      <c r="E17" s="1698">
        <v>58154</v>
      </c>
      <c r="F17" s="1698">
        <v>56444</v>
      </c>
      <c r="G17" s="1698">
        <v>56444</v>
      </c>
      <c r="H17" s="1698"/>
      <c r="I17" s="1698"/>
      <c r="J17" s="1692"/>
      <c r="K17" s="2433" t="str">
        <f>CONCATENATE(K16,L16,M16,N16,O16,P16,Q16,R16,S16,T16,,U16)</f>
        <v>商业2059年3月20日、办公2054年7月14日、车库2054年7月14日</v>
      </c>
      <c r="L17" s="1721"/>
      <c r="M17" s="1721"/>
      <c r="N17" s="1692"/>
      <c r="O17" s="1693"/>
      <c r="P17" s="1692"/>
      <c r="Q17" s="1692"/>
      <c r="R17" s="1692"/>
      <c r="S17" s="1692"/>
      <c r="T17" s="1692"/>
      <c r="U17" s="1692"/>
    </row>
    <row r="18" spans="1:21">
      <c r="A18" s="1761"/>
      <c r="B18" s="1680"/>
      <c r="C18" s="1681" t="s">
        <v>1957</v>
      </c>
      <c r="D18" s="1682"/>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t="str">
        <f>IF(B16="出让",IF(D17="","",ROUNDDOWN(MIN((D17-$D$3)/365,D18),2)),D18)</f>
        <v/>
      </c>
      <c r="E19" s="1683">
        <f>IF(B16="出让",IF(E17="","",ROUNDDOWN(MIN((E17-$D$3)/365,E18),2)),E18)</f>
        <v>40</v>
      </c>
      <c r="F19" s="1683">
        <f>IF(B16="出让",IF(F17="","",ROUNDDOWN(MIN((F17-$D$3)/365,F18),2)),F18)</f>
        <v>35.32</v>
      </c>
      <c r="G19" s="1683">
        <f>IF(B16="出让",IF(G17="","",ROUNDDOWN(MIN((G17-$D$3)/365,G18),2)),G18)</f>
        <v>35.32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672"/>
      <c r="E20" s="3673"/>
      <c r="F20" s="3673"/>
      <c r="G20" s="3673"/>
      <c r="H20" s="3673"/>
      <c r="I20" s="3674"/>
      <c r="J20" s="1692"/>
      <c r="K20" s="1772"/>
      <c r="L20" s="1721"/>
      <c r="M20" s="1721"/>
      <c r="N20" s="1692"/>
      <c r="O20" s="1693"/>
      <c r="P20" s="1692"/>
      <c r="Q20" s="1692"/>
      <c r="R20" s="1692"/>
      <c r="S20" s="1692"/>
      <c r="T20" s="1692"/>
      <c r="U20" s="1692"/>
    </row>
    <row r="21" spans="1:21">
      <c r="A21" s="1761" t="s">
        <v>1959</v>
      </c>
      <c r="B21" s="1762" t="s">
        <v>1960</v>
      </c>
      <c r="C21" s="1757">
        <f>'数据-汇总表'!E3</f>
        <v>59625.46</v>
      </c>
      <c r="D21" s="1758" t="s">
        <v>1961</v>
      </c>
      <c r="E21" s="3662" t="s">
        <v>1999</v>
      </c>
      <c r="F21" s="3663"/>
      <c r="G21" s="3663"/>
      <c r="H21" s="3663"/>
      <c r="I21" s="3664"/>
      <c r="J21" s="1692"/>
      <c r="K21" s="1772"/>
      <c r="L21" s="1721"/>
      <c r="M21" s="1721"/>
      <c r="N21" s="1692"/>
      <c r="O21" s="1693"/>
      <c r="P21" s="1692"/>
      <c r="Q21" s="1692"/>
      <c r="R21" s="1692"/>
      <c r="S21" s="1692"/>
      <c r="T21" s="1692"/>
      <c r="U21" s="1692"/>
    </row>
    <row r="22" spans="1:21">
      <c r="A22" s="3120" t="s">
        <v>952</v>
      </c>
      <c r="B22" s="1659" t="s">
        <v>1962</v>
      </c>
      <c r="C22" s="1684">
        <f>'数据-汇总表'!D3</f>
        <v>6130.06</v>
      </c>
      <c r="D22" s="1685" t="s">
        <v>1961</v>
      </c>
      <c r="E22" s="3662" t="s">
        <v>2892</v>
      </c>
      <c r="F22" s="3663"/>
      <c r="G22" s="3663"/>
      <c r="H22" s="3663"/>
      <c r="I22" s="3664"/>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665" t="s">
        <v>1967</v>
      </c>
      <c r="C24" s="3666"/>
      <c r="D24" s="3667" t="s">
        <v>1968</v>
      </c>
      <c r="E24" s="3668"/>
      <c r="F24" s="1706" t="s">
        <v>1969</v>
      </c>
      <c r="G24" s="1692"/>
      <c r="H24" s="1692"/>
      <c r="I24" s="1705"/>
      <c r="J24" s="1692"/>
      <c r="K24" s="3653"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653"/>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653"/>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639" t="s">
        <v>2002</v>
      </c>
      <c r="B31" s="1762" t="s">
        <v>2003</v>
      </c>
      <c r="C31" s="3678"/>
      <c r="D31" s="3679"/>
      <c r="E31" s="1692"/>
      <c r="F31" s="1692"/>
      <c r="G31" s="1692"/>
      <c r="H31" s="1692"/>
      <c r="I31" s="1705"/>
      <c r="J31" s="1692"/>
      <c r="K31" s="2436"/>
      <c r="L31" s="1692"/>
      <c r="M31" s="1692"/>
      <c r="N31" s="1692"/>
      <c r="O31" s="1692"/>
      <c r="P31" s="1692"/>
      <c r="Q31" s="1692"/>
      <c r="R31" s="1692"/>
      <c r="S31" s="1692"/>
      <c r="T31" s="1692"/>
      <c r="U31" s="1692"/>
    </row>
    <row r="32" spans="1:21">
      <c r="A32" s="3639"/>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639"/>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640"/>
      <c r="B34" s="1659" t="s">
        <v>2006</v>
      </c>
      <c r="C34" s="3641"/>
      <c r="D34" s="3642"/>
      <c r="E34" s="1692"/>
      <c r="F34" s="1692"/>
      <c r="G34" s="1692"/>
      <c r="H34" s="1692"/>
      <c r="I34" s="1705"/>
      <c r="J34" s="1692"/>
      <c r="K34" s="2436"/>
      <c r="L34" s="1692"/>
      <c r="M34" s="1692"/>
      <c r="N34" s="1692"/>
      <c r="O34" s="1692"/>
      <c r="P34" s="1692"/>
      <c r="Q34" s="1692"/>
      <c r="R34" s="1692"/>
      <c r="S34" s="1692"/>
      <c r="T34" s="1692"/>
      <c r="U34" s="1692"/>
    </row>
    <row r="35" spans="1:21">
      <c r="A35" s="3643" t="s">
        <v>847</v>
      </c>
      <c r="B35" s="1720"/>
      <c r="C35" s="1774" t="str">
        <f>IF(B35="场地平整","——","具体情况：")</f>
        <v>具体情况：</v>
      </c>
      <c r="D35" s="3645"/>
      <c r="E35" s="3646"/>
      <c r="F35" s="3646"/>
      <c r="G35" s="3646"/>
      <c r="H35" s="3646"/>
      <c r="I35" s="3647"/>
      <c r="J35" s="1692"/>
      <c r="K35" s="1773"/>
      <c r="L35" s="1721"/>
      <c r="M35" s="1721"/>
      <c r="N35" s="1692"/>
      <c r="O35" s="1693"/>
      <c r="P35" s="1692"/>
      <c r="Q35" s="1692"/>
      <c r="R35" s="1692"/>
      <c r="S35" s="1692"/>
      <c r="T35" s="1692"/>
      <c r="U35" s="1692"/>
    </row>
    <row r="36" spans="1:21">
      <c r="A36" s="3639"/>
      <c r="B36" s="3648" t="s">
        <v>2055</v>
      </c>
      <c r="C36" s="3649"/>
      <c r="D36" s="1790"/>
      <c r="E36" s="3650"/>
      <c r="F36" s="3650"/>
      <c r="G36" s="1685" t="str">
        <f>IF(B35="场地未平整","估价结果处理","")</f>
        <v/>
      </c>
      <c r="H36" s="3651"/>
      <c r="I36" s="3651"/>
      <c r="J36" s="1692"/>
      <c r="K36" s="1773"/>
      <c r="L36" s="1721"/>
      <c r="M36" s="1721"/>
      <c r="N36" s="1692"/>
      <c r="O36" s="1693"/>
      <c r="P36" s="1692"/>
      <c r="Q36" s="1692"/>
      <c r="R36" s="1692"/>
      <c r="S36" s="1692"/>
      <c r="T36" s="1692"/>
      <c r="U36" s="1692"/>
    </row>
    <row r="37" spans="1:21" ht="28.5">
      <c r="A37" s="3639"/>
      <c r="B37" s="366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639"/>
      <c r="B38" s="3670"/>
      <c r="C38" s="1667" t="s">
        <v>850</v>
      </c>
      <c r="D38" s="1789">
        <f>ROUNDDOWN(MIN(('数据-取费表'!$B$2-D37)/365,D34),1)</f>
        <v>119.3</v>
      </c>
      <c r="E38" s="1725" t="s">
        <v>851</v>
      </c>
      <c r="F38" s="1692"/>
      <c r="G38" s="1692"/>
      <c r="H38" s="1692"/>
      <c r="I38" s="1705"/>
      <c r="J38" s="1692"/>
      <c r="K38" s="1773"/>
      <c r="L38" s="1692"/>
      <c r="M38" s="1692"/>
      <c r="N38" s="1692"/>
      <c r="O38" s="1692"/>
      <c r="P38" s="1692"/>
      <c r="Q38" s="1692"/>
      <c r="R38" s="1692"/>
      <c r="S38" s="1692"/>
      <c r="T38" s="1692"/>
      <c r="U38" s="1692"/>
    </row>
    <row r="39" spans="1:21">
      <c r="A39" s="3640"/>
      <c r="B39" s="367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652" t="s">
        <v>1986</v>
      </c>
      <c r="T40" s="1729" t="str">
        <f>NUMBERSTRING(7-K40,1)&amp;"通"</f>
        <v>七通</v>
      </c>
      <c r="U40" s="1692"/>
    </row>
    <row r="41" spans="1:21">
      <c r="A41" s="1661"/>
      <c r="B41" s="3644" t="s">
        <v>1722</v>
      </c>
      <c r="C41" s="3644"/>
      <c r="D41" s="3644"/>
      <c r="E41" s="3644"/>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652"/>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1097</v>
      </c>
      <c r="C43" s="1736" t="s">
        <v>1097</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t="s">
        <v>2997</v>
      </c>
      <c r="C44" s="1736" t="s">
        <v>2997</v>
      </c>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2893</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6130.06</v>
      </c>
      <c r="B3" s="22">
        <f>IF(C3="否",G5-AT5,G5)</f>
        <v>59625.46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59625.46</v>
      </c>
      <c r="H5" s="27">
        <f t="shared" ref="H5:AT5" si="0">SUM(H13:H641)</f>
        <v>59625.46</v>
      </c>
      <c r="I5" s="27">
        <f t="shared" si="0"/>
        <v>39900.839999999997</v>
      </c>
      <c r="J5" s="27">
        <f t="shared" si="0"/>
        <v>0</v>
      </c>
      <c r="K5" s="27">
        <f t="shared" si="0"/>
        <v>1779.8</v>
      </c>
      <c r="L5" s="27">
        <f t="shared" si="0"/>
        <v>0</v>
      </c>
      <c r="M5" s="27">
        <f t="shared" si="0"/>
        <v>2822.18</v>
      </c>
      <c r="N5" s="27">
        <f t="shared" si="0"/>
        <v>0</v>
      </c>
      <c r="O5" s="27">
        <f t="shared" si="0"/>
        <v>15122.64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59625.46</v>
      </c>
      <c r="BA5" s="29">
        <f t="shared" si="1"/>
        <v>59625.46</v>
      </c>
      <c r="BB5" s="29">
        <f t="shared" si="1"/>
        <v>39900.839999999997</v>
      </c>
      <c r="BC5" s="29">
        <f t="shared" si="1"/>
        <v>1779.8</v>
      </c>
      <c r="BD5" s="29">
        <f t="shared" si="1"/>
        <v>2822.18</v>
      </c>
      <c r="BE5" s="29">
        <f t="shared" si="1"/>
        <v>15122.64</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6130.0599999999995</v>
      </c>
      <c r="F6" s="27" t="s">
        <v>1</v>
      </c>
      <c r="G6" s="27" t="s">
        <v>2</v>
      </c>
      <c r="H6" s="33">
        <f>SUMIF(I$12:AB$12,"总值",I6:AB6)</f>
        <v>6130.0599999999995</v>
      </c>
      <c r="I6" s="27">
        <f t="shared" ref="I6:AB6" si="2">ROUND($A$3*I5/$B$3,2)</f>
        <v>4102.18</v>
      </c>
      <c r="J6" s="27">
        <f t="shared" si="2"/>
        <v>0</v>
      </c>
      <c r="K6" s="27">
        <f t="shared" si="2"/>
        <v>182.98</v>
      </c>
      <c r="L6" s="27">
        <f t="shared" si="2"/>
        <v>0</v>
      </c>
      <c r="M6" s="27">
        <f t="shared" si="2"/>
        <v>290.14999999999998</v>
      </c>
      <c r="N6" s="27">
        <f t="shared" si="2"/>
        <v>0</v>
      </c>
      <c r="O6" s="27">
        <f t="shared" si="2"/>
        <v>1554.75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6130.06</v>
      </c>
      <c r="AZ6" s="27" t="s">
        <v>3</v>
      </c>
      <c r="BA6" s="27">
        <f>ROUND($AY$6*BA5/$AZ$5,2)</f>
        <v>6130.06</v>
      </c>
      <c r="BB6" s="27">
        <f>ROUND($AY$6*BB5/$AZ$5,2)</f>
        <v>4102.18</v>
      </c>
      <c r="BC6" s="27">
        <f t="shared" ref="BC6:BH6" si="4">ROUND($AY$6*BC5/$AZ$5,2)</f>
        <v>182.98</v>
      </c>
      <c r="BD6" s="27">
        <f t="shared" si="4"/>
        <v>290.14999999999998</v>
      </c>
      <c r="BE6" s="27">
        <f t="shared" si="4"/>
        <v>1554.75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2998</v>
      </c>
      <c r="J9" s="51"/>
      <c r="K9" s="2993" t="s">
        <v>2998</v>
      </c>
      <c r="L9" s="51"/>
      <c r="M9" s="2993" t="s">
        <v>2999</v>
      </c>
      <c r="N9" s="51"/>
      <c r="O9" s="59" t="s">
        <v>2999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1678</v>
      </c>
      <c r="J10" s="51"/>
      <c r="K10" s="2995" t="s">
        <v>2996</v>
      </c>
      <c r="L10" s="51"/>
      <c r="M10" s="2995" t="s">
        <v>1678</v>
      </c>
      <c r="N10" s="51"/>
      <c r="O10" s="66" t="s">
        <v>3000</v>
      </c>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办公</v>
      </c>
      <c r="BC11" s="50" t="str">
        <f>K10</f>
        <v>商业</v>
      </c>
      <c r="BD11" s="50" t="str">
        <f>M10</f>
        <v>办公</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4102.18</v>
      </c>
      <c r="F13" s="81"/>
      <c r="G13" s="82">
        <f t="shared" ref="G13:G20" si="7">H13+AC13+AT13</f>
        <v>39900.839999999997</v>
      </c>
      <c r="H13" s="33">
        <f t="shared" ref="H13:H20" si="8">SUMIF(I$12:AB$12,"总值",I13:AB13)</f>
        <v>39900.839999999997</v>
      </c>
      <c r="I13" s="2992">
        <v>39900.839999999997</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4102.18</v>
      </c>
      <c r="AZ13" s="27">
        <f t="shared" ref="AZ13:AZ20" si="12">BA13+BL13</f>
        <v>39900.839999999997</v>
      </c>
      <c r="BA13" s="27">
        <f t="shared" ref="BA13:BA20" si="13">SUM(BB13:BK13)</f>
        <v>39900.839999999997</v>
      </c>
      <c r="BB13" s="27">
        <f t="shared" ref="BB13:BB20" si="14">IF($D13="是",I13-J13,0)</f>
        <v>39900.839999999997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t="s">
        <v>1679</v>
      </c>
      <c r="E14" s="27">
        <f t="shared" si="6"/>
        <v>182.98</v>
      </c>
      <c r="F14" s="81"/>
      <c r="G14" s="82">
        <f t="shared" si="7"/>
        <v>1779.8</v>
      </c>
      <c r="H14" s="33">
        <f t="shared" si="8"/>
        <v>1779.8</v>
      </c>
      <c r="I14" s="2992"/>
      <c r="J14" s="2992"/>
      <c r="K14" s="2992">
        <v>1779.8</v>
      </c>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182.98</v>
      </c>
      <c r="AZ14" s="27">
        <f t="shared" si="12"/>
        <v>1779.8</v>
      </c>
      <c r="BA14" s="27">
        <f t="shared" si="13"/>
        <v>1779.8</v>
      </c>
      <c r="BB14" s="27">
        <f t="shared" si="14"/>
        <v>0</v>
      </c>
      <c r="BC14" s="27">
        <f t="shared" si="15"/>
        <v>1779.8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t="s">
        <v>1679</v>
      </c>
      <c r="E15" s="27">
        <f t="shared" si="6"/>
        <v>290.14999999999998</v>
      </c>
      <c r="F15" s="81"/>
      <c r="G15" s="82">
        <f t="shared" si="7"/>
        <v>2822.18</v>
      </c>
      <c r="H15" s="33">
        <f t="shared" si="8"/>
        <v>2822.18</v>
      </c>
      <c r="I15" s="2992"/>
      <c r="J15" s="2992"/>
      <c r="K15" s="2992"/>
      <c r="L15" s="2992"/>
      <c r="M15" s="2992">
        <v>2822.18</v>
      </c>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290.14999999999998</v>
      </c>
      <c r="AZ15" s="27">
        <f t="shared" si="12"/>
        <v>2822.18</v>
      </c>
      <c r="BA15" s="27">
        <f t="shared" si="13"/>
        <v>2822.18</v>
      </c>
      <c r="BB15" s="27">
        <f t="shared" si="14"/>
        <v>0</v>
      </c>
      <c r="BC15" s="27">
        <f t="shared" si="15"/>
        <v>0</v>
      </c>
      <c r="BD15" s="27">
        <f t="shared" si="16"/>
        <v>2822.18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t="s">
        <v>1679</v>
      </c>
      <c r="E16" s="27">
        <f t="shared" si="6"/>
        <v>1554.75</v>
      </c>
      <c r="F16" s="81"/>
      <c r="G16" s="82">
        <f t="shared" si="7"/>
        <v>15122.64</v>
      </c>
      <c r="H16" s="33">
        <f t="shared" si="8"/>
        <v>15122.64</v>
      </c>
      <c r="I16" s="2992"/>
      <c r="J16" s="2992"/>
      <c r="K16" s="2992"/>
      <c r="L16" s="2992"/>
      <c r="M16" s="2992"/>
      <c r="N16" s="83"/>
      <c r="O16" s="83">
        <v>15122.64</v>
      </c>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1554.75</v>
      </c>
      <c r="AZ16" s="27">
        <f t="shared" si="12"/>
        <v>15122.64</v>
      </c>
      <c r="BA16" s="27">
        <f t="shared" si="13"/>
        <v>15122.64</v>
      </c>
      <c r="BB16" s="27">
        <f t="shared" si="14"/>
        <v>0</v>
      </c>
      <c r="BC16" s="27">
        <f t="shared" si="15"/>
        <v>0</v>
      </c>
      <c r="BD16" s="27">
        <f t="shared" si="16"/>
        <v>0</v>
      </c>
      <c r="BE16" s="27">
        <f t="shared" si="17"/>
        <v>15122.64</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0" t="s">
        <v>0</v>
      </c>
      <c r="B1" s="3680" t="s">
        <v>4</v>
      </c>
      <c r="C1" s="3680" t="s">
        <v>5</v>
      </c>
      <c r="D1" s="3681" t="s">
        <v>40</v>
      </c>
      <c r="E1" s="3681" t="s">
        <v>41</v>
      </c>
      <c r="F1" s="3681"/>
      <c r="G1" s="3681"/>
      <c r="H1" s="3681"/>
      <c r="I1" s="3681"/>
      <c r="J1" s="3681"/>
      <c r="K1" s="3681"/>
      <c r="L1" s="3681"/>
      <c r="M1" s="3681"/>
    </row>
    <row r="2" spans="1:13" ht="27" customHeight="1">
      <c r="A2" s="3680"/>
      <c r="B2" s="3680"/>
      <c r="C2" s="3680"/>
      <c r="D2" s="3681"/>
      <c r="E2" s="3681" t="s">
        <v>24</v>
      </c>
      <c r="F2" s="3681" t="s">
        <v>25</v>
      </c>
      <c r="G2" s="3681"/>
      <c r="H2" s="3681"/>
      <c r="I2" s="3681"/>
      <c r="J2" s="3681" t="s">
        <v>26</v>
      </c>
      <c r="K2" s="3681"/>
      <c r="L2" s="3681"/>
      <c r="M2" s="3681"/>
    </row>
    <row r="3" spans="1:13" ht="28.5">
      <c r="A3" s="3680"/>
      <c r="B3" s="3680"/>
      <c r="C3" s="3680"/>
      <c r="D3" s="3681"/>
      <c r="E3" s="36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1" t="s">
        <v>42</v>
      </c>
      <c r="B9" s="3681"/>
      <c r="C9" s="36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91" t="s">
        <v>203</v>
      </c>
      <c r="B2" s="3691"/>
      <c r="C2" s="3691"/>
      <c r="D2" s="1974" t="s">
        <v>204</v>
      </c>
      <c r="E2" s="106" t="s">
        <v>205</v>
      </c>
      <c r="F2" s="1983"/>
      <c r="G2" s="1198"/>
      <c r="H2" s="1199"/>
      <c r="I2" s="1200" t="s">
        <v>857</v>
      </c>
      <c r="J2" s="1983"/>
      <c r="K2" s="1983"/>
      <c r="L2" s="1983"/>
    </row>
    <row r="3" spans="1:16" ht="15.75" thickBot="1">
      <c r="A3" s="3692" t="s">
        <v>206</v>
      </c>
      <c r="B3" s="3692"/>
      <c r="C3" s="3692"/>
      <c r="D3" s="107">
        <f>'数据-基础表'!AY6</f>
        <v>6130.06</v>
      </c>
      <c r="E3" s="107">
        <f>'数据-基础表'!AZ5</f>
        <v>59625.46</v>
      </c>
      <c r="F3" s="1983"/>
      <c r="G3" s="280" t="s">
        <v>858</v>
      </c>
      <c r="H3" s="275" t="s">
        <v>859</v>
      </c>
      <c r="I3" s="1975">
        <f>ROUND('数据-基础表'!B3/'数据-基础表'!A3,2)</f>
        <v>9.73</v>
      </c>
      <c r="J3" s="1983"/>
      <c r="K3" s="1983"/>
      <c r="L3" s="1983"/>
    </row>
    <row r="4" spans="1:16" ht="15">
      <c r="A4" s="3693"/>
      <c r="B4" s="3694"/>
      <c r="C4" s="3695"/>
      <c r="D4" s="108" t="s">
        <v>204</v>
      </c>
      <c r="E4" s="109" t="s">
        <v>205</v>
      </c>
      <c r="F4" s="1983"/>
      <c r="G4" s="1201"/>
      <c r="H4" s="275" t="s">
        <v>860</v>
      </c>
      <c r="I4" s="1975">
        <f>ROUND(SUMIF('数据-基础表'!I9:AS9,"地上",'数据-基础表'!I5:AS5)/'数据-基础表'!A3,2)</f>
        <v>6.8</v>
      </c>
      <c r="J4" s="1983"/>
      <c r="K4" s="1983"/>
      <c r="L4" s="1983"/>
    </row>
    <row r="5" spans="1:16">
      <c r="A5" s="110" t="s">
        <v>207</v>
      </c>
      <c r="B5" s="3696" t="s">
        <v>230</v>
      </c>
      <c r="C5" s="3696"/>
      <c r="D5" s="111">
        <f>ROUND($D$3*E5/$E$3,2)</f>
        <v>0</v>
      </c>
      <c r="E5" s="112">
        <f>SUMIF('数据-基础表'!$11:$11,"住宅",'数据-基础表'!$5:$5)</f>
        <v>0</v>
      </c>
      <c r="F5" s="1983"/>
      <c r="G5" s="280" t="s">
        <v>861</v>
      </c>
      <c r="H5" s="275" t="s">
        <v>859</v>
      </c>
      <c r="I5" s="1975">
        <f>ROUND(E31/D31,2)</f>
        <v>9.73</v>
      </c>
      <c r="J5" s="1983"/>
      <c r="K5" s="1983"/>
      <c r="L5" s="1983"/>
    </row>
    <row r="6" spans="1:16" ht="15" thickBot="1">
      <c r="A6" s="113"/>
      <c r="B6" s="3696" t="s">
        <v>208</v>
      </c>
      <c r="C6" s="3696"/>
      <c r="D6" s="111">
        <f>ROUND($D$3*E6/$E$3,2)</f>
        <v>6130.06</v>
      </c>
      <c r="E6" s="112">
        <f>E3-E5</f>
        <v>59625.46</v>
      </c>
      <c r="F6" s="1983"/>
      <c r="G6" s="1201"/>
      <c r="H6" s="275" t="s">
        <v>860</v>
      </c>
      <c r="I6" s="1975">
        <f>ROUND(F31/D31,2)</f>
        <v>6.8</v>
      </c>
      <c r="J6" s="1983"/>
      <c r="K6" s="1983"/>
      <c r="L6" s="1983"/>
    </row>
    <row r="7" spans="1:16" ht="15">
      <c r="A7" s="3688"/>
      <c r="B7" s="3689"/>
      <c r="C7" s="3690"/>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4285.16</v>
      </c>
      <c r="E8" s="116">
        <f>SUMIF('数据-基础表'!BB10:BK10,"地上",'数据-基础表'!BB5:BK5)</f>
        <v>41680.639999999999</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290.14999999999998</v>
      </c>
      <c r="E11" s="116">
        <f>SUMPRODUCT(('数据-基础表'!BB10:BK10="地下")*('数据-基础表'!BB11:BK11="办公")*('数据-基础表'!BB5:BK5))+'数据-基础表'!AJ5</f>
        <v>2822.18</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1554.75</v>
      </c>
      <c r="E13" s="116">
        <f>SUMPRODUCT(('数据-基础表'!BB10:BK10="地下")*('数据-基础表'!BB11:BK11="车库")*('数据-基础表'!BB5:BK5))</f>
        <v>15122.64</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6130.0599999999995</v>
      </c>
      <c r="E16" s="120">
        <f>SUM(E8:E15)</f>
        <v>59625.46</v>
      </c>
      <c r="F16" s="1983"/>
      <c r="G16" s="1985"/>
      <c r="H16" s="968" t="s">
        <v>219</v>
      </c>
      <c r="I16" s="969"/>
      <c r="J16" s="1983"/>
      <c r="K16" s="3682" t="s">
        <v>2567</v>
      </c>
      <c r="L16" s="3683"/>
      <c r="M16" s="3683"/>
      <c r="N16" s="3683"/>
      <c r="O16" s="3683"/>
      <c r="P16" s="3684"/>
    </row>
    <row r="17" spans="1:19" ht="15">
      <c r="A17" s="121" t="s">
        <v>216</v>
      </c>
      <c r="B17" s="122" t="s">
        <v>217</v>
      </c>
      <c r="C17" s="2297" t="s">
        <v>2314</v>
      </c>
      <c r="D17" s="108" t="s">
        <v>204</v>
      </c>
      <c r="E17" s="124" t="s">
        <v>205</v>
      </c>
      <c r="F17" s="125"/>
      <c r="G17" s="1365"/>
      <c r="H17" s="970" t="s">
        <v>218</v>
      </c>
      <c r="I17" s="971" t="s">
        <v>2313</v>
      </c>
      <c r="J17" s="1983"/>
      <c r="K17" s="3685" t="s">
        <v>2568</v>
      </c>
      <c r="L17" s="3686"/>
      <c r="M17" s="3687"/>
      <c r="N17" s="3685" t="s">
        <v>2569</v>
      </c>
      <c r="O17" s="3686"/>
      <c r="P17" s="3687"/>
      <c r="R17" s="2298" t="s">
        <v>2312</v>
      </c>
      <c r="S17" s="144"/>
    </row>
    <row r="18" spans="1:19" ht="15">
      <c r="A18" s="117"/>
      <c r="B18" s="128"/>
      <c r="C18" s="129"/>
      <c r="D18" s="2620"/>
      <c r="E18" s="130" t="s">
        <v>220</v>
      </c>
      <c r="F18" s="131" t="s">
        <v>221</v>
      </c>
      <c r="G18" s="1366"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3002</v>
      </c>
      <c r="D19" s="111">
        <f t="shared" ref="D19:D26" si="1">ROUND($D$3*E19/$E$3,2)</f>
        <v>4102.18</v>
      </c>
      <c r="E19" s="134">
        <f t="shared" ref="E19:E26" si="2">SUM(F19:G19)</f>
        <v>39900.839999999997</v>
      </c>
      <c r="F19" s="135">
        <f>'数据-基础表'!I13</f>
        <v>39900.839999999997</v>
      </c>
      <c r="G19" s="1367"/>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4102.18</v>
      </c>
      <c r="S19" s="2300">
        <f t="shared" si="5"/>
        <v>39900.839999999997</v>
      </c>
    </row>
    <row r="20" spans="1:19">
      <c r="A20" s="138"/>
      <c r="B20" s="115" t="s">
        <v>226</v>
      </c>
      <c r="C20" s="2999" t="s">
        <v>3017</v>
      </c>
      <c r="D20" s="111">
        <f t="shared" si="1"/>
        <v>182.98</v>
      </c>
      <c r="E20" s="134">
        <f t="shared" si="2"/>
        <v>1779.8</v>
      </c>
      <c r="F20" s="135">
        <f>'数据-基础表'!K14</f>
        <v>1779.8</v>
      </c>
      <c r="G20" s="1367"/>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182.98</v>
      </c>
      <c r="S20" s="2300">
        <f t="shared" si="5"/>
        <v>1779.8</v>
      </c>
    </row>
    <row r="21" spans="1:19">
      <c r="A21" s="138"/>
      <c r="B21" s="115" t="s">
        <v>226</v>
      </c>
      <c r="C21" s="2999" t="s">
        <v>3003</v>
      </c>
      <c r="D21" s="111">
        <f t="shared" si="1"/>
        <v>290.14999999999998</v>
      </c>
      <c r="E21" s="134">
        <f t="shared" si="2"/>
        <v>2822.18</v>
      </c>
      <c r="F21" s="135"/>
      <c r="G21" s="1367">
        <f>'数据-基础表'!M15</f>
        <v>2822.18</v>
      </c>
      <c r="H21" s="974">
        <f t="shared" si="6"/>
        <v>0</v>
      </c>
      <c r="I21" s="116">
        <f t="shared" si="7"/>
        <v>0</v>
      </c>
      <c r="J21" s="1983"/>
      <c r="K21" s="2586">
        <f t="shared" si="3"/>
        <v>0</v>
      </c>
      <c r="L21" s="275">
        <f t="shared" si="4"/>
        <v>0</v>
      </c>
      <c r="M21" s="2587">
        <f t="shared" si="8"/>
        <v>0</v>
      </c>
      <c r="N21" s="2588"/>
      <c r="O21" s="2589"/>
      <c r="P21" s="2590">
        <f t="shared" si="9"/>
        <v>0</v>
      </c>
      <c r="R21" s="275">
        <f t="shared" si="5"/>
        <v>290.14999999999998</v>
      </c>
      <c r="S21" s="2300">
        <f t="shared" si="5"/>
        <v>2822.18</v>
      </c>
    </row>
    <row r="22" spans="1:19">
      <c r="A22" s="138"/>
      <c r="B22" s="115" t="s">
        <v>226</v>
      </c>
      <c r="C22" s="2999" t="s">
        <v>3004</v>
      </c>
      <c r="D22" s="111">
        <f t="shared" si="1"/>
        <v>1554.75</v>
      </c>
      <c r="E22" s="134">
        <f t="shared" si="2"/>
        <v>15122.64</v>
      </c>
      <c r="F22" s="140"/>
      <c r="G22" s="1368">
        <f>'数据-基础表'!O16</f>
        <v>15122.64</v>
      </c>
      <c r="H22" s="974">
        <f t="shared" si="6"/>
        <v>0</v>
      </c>
      <c r="I22" s="116">
        <f t="shared" si="7"/>
        <v>0</v>
      </c>
      <c r="J22" s="1983"/>
      <c r="K22" s="2586">
        <f t="shared" si="3"/>
        <v>0</v>
      </c>
      <c r="L22" s="275">
        <f t="shared" si="4"/>
        <v>0</v>
      </c>
      <c r="M22" s="2587">
        <f t="shared" si="8"/>
        <v>0</v>
      </c>
      <c r="N22" s="2588"/>
      <c r="O22" s="2589"/>
      <c r="P22" s="2590">
        <f t="shared" si="9"/>
        <v>0</v>
      </c>
      <c r="R22" s="275">
        <f t="shared" si="5"/>
        <v>1554.75</v>
      </c>
      <c r="S22" s="2300">
        <f t="shared" si="5"/>
        <v>15122.64</v>
      </c>
    </row>
    <row r="23" spans="1:19">
      <c r="A23" s="138"/>
      <c r="B23" s="115" t="s">
        <v>226</v>
      </c>
      <c r="C23" s="139"/>
      <c r="D23" s="111">
        <f>ROUND($D$3*E23/$E$3,2)</f>
        <v>0</v>
      </c>
      <c r="E23" s="134">
        <f>SUM(F23:G23)</f>
        <v>0</v>
      </c>
      <c r="F23" s="140"/>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6130.0599999999995</v>
      </c>
      <c r="E27" s="143">
        <f>IF(SUM(E19:E26)='数据-基础表'!BA5,SUM(E19:E26),IF(F27="地上面积有误","面积有误","地下面积有误"))</f>
        <v>59625.46</v>
      </c>
      <c r="F27" s="134">
        <f>IF(SUM(F19:F26)=E8,SUM(F19:F26),"地上面积有误")</f>
        <v>41680.639999999999</v>
      </c>
      <c r="G27" s="112">
        <f>SUM(G19:G26)</f>
        <v>17944.82</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6130.0599999999995</v>
      </c>
      <c r="S27" s="275">
        <f>IF(SUM(S19:S26)=$E$3,SUM(S19:S26),SUM(S19:S26)&amp;"误差"&amp;ROUND(SUM(S19:S26)-E3,2))</f>
        <v>59625.46</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6130.0599999999995</v>
      </c>
      <c r="E31" s="1371">
        <f>E27+E30</f>
        <v>59625.46</v>
      </c>
      <c r="F31" s="1372">
        <f>F27+F30</f>
        <v>41680.639999999999</v>
      </c>
      <c r="G31" s="1373">
        <f>G27+G30</f>
        <v>17944.82</v>
      </c>
      <c r="H31" s="1983"/>
      <c r="I31" s="1983"/>
      <c r="J31" s="1983"/>
      <c r="K31" s="1983"/>
      <c r="L31" s="1983"/>
    </row>
    <row r="32" spans="1:19">
      <c r="A32" s="1983"/>
      <c r="B32" s="2341" t="s">
        <v>2322</v>
      </c>
      <c r="C32" s="262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42"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9.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43552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地上办公</v>
      </c>
      <c r="B6" s="2336" t="str">
        <f>IF(A6=0,"","经营性")</f>
        <v>经营性</v>
      </c>
      <c r="C6" s="173" t="s">
        <v>1678</v>
      </c>
      <c r="D6" s="2307">
        <f>SUMIF(项目基本情况!D$15:I$15,C6,项目基本情况!D$18:I$18)</f>
        <v>50</v>
      </c>
      <c r="E6" s="2308">
        <f>IF(B6="","",SUMIF(项目基本情况!D$15:I$15,C6,项目基本情况!D$17:I$17))</f>
        <v>56444</v>
      </c>
      <c r="F6" s="174">
        <f>SUMIF(项目基本情况!D$15:I$15,C6,项目基本情况!D$19:I$19)</f>
        <v>35.32</v>
      </c>
      <c r="G6" s="175">
        <f>IF(ISERROR(ROUND(POWER(1+H8,D6-F6)*(POWER(1+H8,F6)-1)/(POWER(1+H8,D6)-1),3)),0,ROUND(POWER(1+H8,D6-F6)*(POWER(1+H8,F6)-1)/(POWER(1+H8,D6)-1),3))</f>
        <v>0.88700000000000001</v>
      </c>
      <c r="H6" s="3000">
        <v>4.4999999999999998E-2</v>
      </c>
      <c r="I6" s="3000">
        <v>0.05</v>
      </c>
      <c r="J6" s="176">
        <v>8.5000000000000006E-2</v>
      </c>
      <c r="K6" s="179">
        <f>SUMIF('数据-汇总表'!C$19:C$33,'数据-取费表'!A6,'数据-汇总表'!E$19:E$33)</f>
        <v>39900.839999999997</v>
      </c>
      <c r="L6" s="3001">
        <v>3200</v>
      </c>
      <c r="M6" s="177">
        <f t="shared" ref="M6:M14" si="0">ROUND(K6*L6/10000,0)</f>
        <v>12768</v>
      </c>
      <c r="N6" s="3002">
        <v>0</v>
      </c>
      <c r="O6" s="177">
        <f>IF($N$5="成新度","——",ROUND(M6*N6,0))</f>
        <v>0</v>
      </c>
      <c r="P6" s="178">
        <f>IF($N$5="成新度","——",M6-O6)</f>
        <v>12768</v>
      </c>
      <c r="Q6" s="3003">
        <v>0.2</v>
      </c>
      <c r="R6" s="179">
        <f>SUMIF('数据-汇总表'!C$19:C$33,A6,'数据-汇总表'!R$19:R$33)</f>
        <v>4102.18</v>
      </c>
      <c r="S6" s="132">
        <f>IF('数据-汇总表'!$I$17="按面积比例",SUMIF('数据-汇总表'!C$19:C$33,A6,'数据-汇总表'!K$19:K$33),SUMIF('数据-汇总表'!C$19:C$33,A6,'数据-汇总表'!N$19:N$33))</f>
        <v>0</v>
      </c>
      <c r="T6" s="2233" t="str">
        <f>IF($T$4="按面积比例",IF(ISERROR(ROUND($M$14*S6/S$16,0)),"0",ROUND($M$14*S6/S$16,0)),"需自行计算录入")</f>
        <v>0</v>
      </c>
      <c r="U6" s="180">
        <v>3</v>
      </c>
      <c r="V6" s="181">
        <v>0.03</v>
      </c>
      <c r="W6" s="181">
        <v>0.05</v>
      </c>
      <c r="X6" s="2320"/>
      <c r="Y6" s="182">
        <v>0.9</v>
      </c>
      <c r="Z6" s="183"/>
      <c r="AA6" s="176"/>
      <c r="AB6" s="176"/>
      <c r="AC6" s="2323"/>
      <c r="AD6" s="184"/>
      <c r="AE6" s="3189">
        <f>F6</f>
        <v>35.32</v>
      </c>
      <c r="AF6" s="141"/>
      <c r="AG6" s="1213">
        <f>IF(AF6="",0,AE6-AF6)</f>
        <v>0</v>
      </c>
      <c r="AH6" s="141">
        <f>'数据-汇总表'!E19</f>
        <v>39900.839999999997</v>
      </c>
      <c r="AI6" s="187">
        <v>365</v>
      </c>
      <c r="AJ6" s="188"/>
      <c r="AK6" s="189">
        <v>0.01</v>
      </c>
      <c r="AL6" s="190">
        <v>1E-3</v>
      </c>
      <c r="AM6" s="3014">
        <v>0.01</v>
      </c>
      <c r="AN6" s="2370" t="s">
        <v>3290</v>
      </c>
      <c r="AO6" s="1999"/>
      <c r="AP6" s="1204">
        <f>ROUND(1-1/(1+H8)^F6,3)</f>
        <v>0.78900000000000003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2996</v>
      </c>
      <c r="D7" s="2307">
        <f>SUMIF(项目基本情况!D$15:I$15,C7,项目基本情况!D$18:I$18)</f>
        <v>40</v>
      </c>
      <c r="E7" s="2308">
        <f>IF(B7="","",SUMIF(项目基本情况!D$15:I$15,C7,项目基本情况!D$17:I$17))</f>
        <v>58154</v>
      </c>
      <c r="F7" s="174">
        <f>SUMIF(项目基本情况!D$15:I$15,C7,项目基本情况!D$19:I$19)</f>
        <v>40</v>
      </c>
      <c r="G7" s="175">
        <f t="shared" ref="G7:G11" si="2">IF(ISERROR(ROUND(POWER(1+H7,D7-F7)*(POWER(1+H7,F7)-1)/(POWER(1+H7,D7)-1),3)),0,ROUND(POWER(1+H7,D7-F7)*(POWER(1+H7,F7)-1)/(POWER(1+H7,D7)-1),3))</f>
        <v>1</v>
      </c>
      <c r="H7" s="3188">
        <v>0.05</v>
      </c>
      <c r="I7" s="3188">
        <v>5.5E-2</v>
      </c>
      <c r="J7" s="176">
        <v>8.5000000000000006E-2</v>
      </c>
      <c r="K7" s="179">
        <f>SUMIF('数据-汇总表'!C$19:C$33,'数据-取费表'!A7,'数据-汇总表'!E$19:E$33)</f>
        <v>1779.8</v>
      </c>
      <c r="L7" s="3001">
        <v>3500</v>
      </c>
      <c r="M7" s="177">
        <f t="shared" si="0"/>
        <v>623</v>
      </c>
      <c r="N7" s="3002">
        <v>0</v>
      </c>
      <c r="O7" s="177">
        <f t="shared" ref="O7:O14" si="3">IF($N$5="成新度","——",ROUND(M7*N7,0))</f>
        <v>0</v>
      </c>
      <c r="P7" s="178">
        <f t="shared" ref="P7:P14" si="4">IF($N$5="成新度","——",M7-O7)</f>
        <v>623</v>
      </c>
      <c r="Q7" s="3003">
        <v>0.2</v>
      </c>
      <c r="R7" s="179">
        <f>SUMIF('数据-汇总表'!C$19:C$33,A7,'数据-汇总表'!R$19:R$33)</f>
        <v>182.98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5</v>
      </c>
      <c r="V7" s="181">
        <v>3.5000000000000003E-2</v>
      </c>
      <c r="W7" s="181">
        <v>0.05</v>
      </c>
      <c r="X7" s="2320"/>
      <c r="Y7" s="182">
        <v>0.9</v>
      </c>
      <c r="Z7" s="183"/>
      <c r="AA7" s="176"/>
      <c r="AB7" s="176"/>
      <c r="AC7" s="2323"/>
      <c r="AD7" s="184"/>
      <c r="AE7" s="3189">
        <f>F7</f>
        <v>40</v>
      </c>
      <c r="AF7" s="141"/>
      <c r="AG7" s="1213">
        <f t="shared" ref="AG7:AG13" si="6">IF(AF7="",0,AE7-AF7)</f>
        <v>0</v>
      </c>
      <c r="AH7" s="141">
        <f>'数据-汇总表'!E20</f>
        <v>1779.8</v>
      </c>
      <c r="AI7" s="187">
        <v>365</v>
      </c>
      <c r="AJ7" s="188"/>
      <c r="AK7" s="189">
        <v>0.01</v>
      </c>
      <c r="AL7" s="190">
        <v>1E-3</v>
      </c>
      <c r="AM7" s="3014">
        <v>0.01</v>
      </c>
      <c r="AN7" s="2370" t="s">
        <v>3018</v>
      </c>
      <c r="AO7" s="1999"/>
      <c r="AP7" s="1204">
        <f t="shared" ref="AP7:AP13" si="7">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地下办公</v>
      </c>
      <c r="B8" s="2336" t="str">
        <f t="shared" si="1"/>
        <v>经营性</v>
      </c>
      <c r="C8" s="173" t="s">
        <v>1678</v>
      </c>
      <c r="D8" s="2307">
        <f>SUMIF(项目基本情况!D$15:I$15,C8,项目基本情况!D$18:I$18)</f>
        <v>50</v>
      </c>
      <c r="E8" s="2308">
        <f>IF(B8="","",SUMIF(项目基本情况!D$15:I$15,C8,项目基本情况!D$17:I$17))</f>
        <v>56444</v>
      </c>
      <c r="F8" s="174">
        <f>SUMIF(项目基本情况!D$15:I$15,C8,项目基本情况!D$19:I$19)</f>
        <v>35.32</v>
      </c>
      <c r="G8" s="175">
        <f>IF(ISERROR(ROUND(POWER(1+#REF!,D8-F8)*(POWER(1+#REF!,F8)-1)/(POWER(1+#REF!,D8)-1),3)),0,ROUND(POWER(1+#REF!,D8-F8)*(POWER(1+#REF!,F8)-1)/(POWER(1+#REF!,D8)-1),3))</f>
        <v>0</v>
      </c>
      <c r="H8" s="3000">
        <v>4.4999999999999998E-2</v>
      </c>
      <c r="I8" s="3000">
        <v>0.05</v>
      </c>
      <c r="J8" s="176">
        <v>8.5000000000000006E-2</v>
      </c>
      <c r="K8" s="179">
        <f>SUMIF('数据-汇总表'!C$19:C$33,'数据-取费表'!A8,'数据-汇总表'!E$19:E$33)</f>
        <v>2822.18</v>
      </c>
      <c r="L8" s="3001">
        <v>3000</v>
      </c>
      <c r="M8" s="177">
        <f>ROUND(K8*L8/10000,0)</f>
        <v>847</v>
      </c>
      <c r="N8" s="3002">
        <v>0</v>
      </c>
      <c r="O8" s="177">
        <f t="shared" si="3"/>
        <v>0</v>
      </c>
      <c r="P8" s="178">
        <f t="shared" si="4"/>
        <v>847</v>
      </c>
      <c r="Q8" s="3003">
        <v>0.2</v>
      </c>
      <c r="R8" s="179">
        <f>SUMIF('数据-汇总表'!C$19:C$33,A8,'数据-汇总表'!R$19:R$33)</f>
        <v>290.14999999999998</v>
      </c>
      <c r="S8" s="132">
        <f>IF('数据-汇总表'!$I$17="按面积比例",SUMIF('数据-汇总表'!C$19:C$33,A8,'数据-汇总表'!K$19:K$33),SUMIF('数据-汇总表'!C$19:C$33,A8,'数据-汇总表'!N$19:N$33))</f>
        <v>0</v>
      </c>
      <c r="T8" s="2233" t="str">
        <f t="shared" si="5"/>
        <v>0</v>
      </c>
      <c r="U8" s="180">
        <v>3</v>
      </c>
      <c r="V8" s="181">
        <v>0.03</v>
      </c>
      <c r="W8" s="181">
        <v>0.05</v>
      </c>
      <c r="X8" s="2320"/>
      <c r="Y8" s="182">
        <v>0.9</v>
      </c>
      <c r="Z8" s="183"/>
      <c r="AA8" s="176"/>
      <c r="AB8" s="176"/>
      <c r="AC8" s="2323"/>
      <c r="AD8" s="184"/>
      <c r="AE8" s="3189">
        <f>F8</f>
        <v>35.32</v>
      </c>
      <c r="AF8" s="141"/>
      <c r="AG8" s="1213">
        <f t="shared" si="6"/>
        <v>0</v>
      </c>
      <c r="AH8" s="141">
        <f>'数据-汇总表'!E21</f>
        <v>2822.18</v>
      </c>
      <c r="AI8" s="187">
        <v>365</v>
      </c>
      <c r="AJ8" s="188"/>
      <c r="AK8" s="189">
        <v>0.01</v>
      </c>
      <c r="AL8" s="190">
        <v>1E-3</v>
      </c>
      <c r="AM8" s="3014">
        <v>0.01</v>
      </c>
      <c r="AN8" s="2370" t="s">
        <v>3019</v>
      </c>
      <c r="AO8" s="1999"/>
      <c r="AP8" s="1204" t="e">
        <f>ROUND(1-1/(1+#REF!)^F8,3)</f>
        <v>#REF!</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3000</v>
      </c>
      <c r="D9" s="2307">
        <f>SUMIF(项目基本情况!D$15:I$15,C9,项目基本情况!D$18:I$18)</f>
        <v>50</v>
      </c>
      <c r="E9" s="2308">
        <f>IF(B9="","",SUMIF(项目基本情况!D$15:I$15,C9,项目基本情况!D$17:I$17))</f>
        <v>56444</v>
      </c>
      <c r="F9" s="174">
        <f>SUMIF(项目基本情况!D$15:I$15,C9,项目基本情况!D$19:I$19)</f>
        <v>35.32</v>
      </c>
      <c r="G9" s="175">
        <f t="shared" si="2"/>
        <v>0.873</v>
      </c>
      <c r="H9" s="3000">
        <v>0.04</v>
      </c>
      <c r="I9" s="3000">
        <v>4.4999999999999998E-2</v>
      </c>
      <c r="J9" s="176">
        <v>8.5000000000000006E-2</v>
      </c>
      <c r="K9" s="179">
        <f>SUMIF('数据-汇总表'!C$19:C$33,'数据-取费表'!A9,'数据-汇总表'!E$19:E$33)</f>
        <v>15122.64</v>
      </c>
      <c r="L9" s="3001">
        <v>3000</v>
      </c>
      <c r="M9" s="177">
        <f t="shared" si="0"/>
        <v>4537</v>
      </c>
      <c r="N9" s="194">
        <v>0</v>
      </c>
      <c r="O9" s="177">
        <f t="shared" si="3"/>
        <v>0</v>
      </c>
      <c r="P9" s="178">
        <f t="shared" si="4"/>
        <v>4537</v>
      </c>
      <c r="Q9" s="192">
        <v>0.2</v>
      </c>
      <c r="R9" s="179">
        <f>SUMIF('数据-汇总表'!C$19:C$33,A9,'数据-汇总表'!R$19:R$33)</f>
        <v>1554.75</v>
      </c>
      <c r="S9" s="132">
        <f>IF('数据-汇总表'!$I$17="按面积比例",SUMIF('数据-汇总表'!C$19:C$33,A9,'数据-汇总表'!K$19:K$33),SUMIF('数据-汇总表'!C$19:C$33,A9,'数据-汇总表'!N$19:N$33))</f>
        <v>0</v>
      </c>
      <c r="T9" s="2233" t="str">
        <f t="shared" si="5"/>
        <v>0</v>
      </c>
      <c r="U9" s="180">
        <v>3</v>
      </c>
      <c r="V9" s="181">
        <v>0.01</v>
      </c>
      <c r="W9" s="181">
        <v>0.05</v>
      </c>
      <c r="X9" s="2320"/>
      <c r="Y9" s="182">
        <v>0.9</v>
      </c>
      <c r="Z9" s="183"/>
      <c r="AA9" s="176"/>
      <c r="AB9" s="176"/>
      <c r="AC9" s="2323"/>
      <c r="AD9" s="184"/>
      <c r="AE9" s="3189">
        <f>F9</f>
        <v>35.32</v>
      </c>
      <c r="AF9" s="141"/>
      <c r="AG9" s="1213">
        <f t="shared" si="6"/>
        <v>0</v>
      </c>
      <c r="AH9" s="141">
        <f>'数据-汇总表'!E22</f>
        <v>15122.64</v>
      </c>
      <c r="AI9" s="187">
        <v>365</v>
      </c>
      <c r="AJ9" s="188"/>
      <c r="AK9" s="189">
        <v>0.01</v>
      </c>
      <c r="AL9" s="190">
        <v>1E-3</v>
      </c>
      <c r="AM9" s="3014">
        <v>0.01</v>
      </c>
      <c r="AN9" s="2370"/>
      <c r="AO9" s="1999"/>
      <c r="AP9" s="1204">
        <f t="shared" si="7"/>
        <v>0.75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ref="AE10:AE13" ca="1" si="8">IF(AN10="",0,SUMIF(INDIRECT("'"&amp;AN10&amp;"'"&amp;"!E:E"),$AE$5,INDIRECT("'"&amp;AN10&amp;"'"&amp;"!F:F")))</f>
        <v>0</v>
      </c>
      <c r="AF10" s="141"/>
      <c r="AG10" s="1213">
        <f t="shared" si="6"/>
        <v>0</v>
      </c>
      <c r="AH10" s="141"/>
      <c r="AI10" s="187"/>
      <c r="AJ10" s="188"/>
      <c r="AK10" s="189"/>
      <c r="AL10" s="190"/>
      <c r="AM10" s="2368"/>
      <c r="AN10" s="2370"/>
      <c r="AO10" s="1999"/>
      <c r="AP10" s="1204">
        <f t="shared" si="7"/>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8"/>
        <v>0</v>
      </c>
      <c r="AF11" s="141"/>
      <c r="AG11" s="1213">
        <f t="shared" si="6"/>
        <v>0</v>
      </c>
      <c r="AH11" s="141"/>
      <c r="AI11" s="187"/>
      <c r="AJ11" s="188"/>
      <c r="AK11" s="196"/>
      <c r="AL11" s="197"/>
      <c r="AM11" s="1816"/>
      <c r="AN11" s="2370"/>
      <c r="AO11" s="1999"/>
      <c r="AP11" s="1204">
        <f t="shared" si="7"/>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8"/>
        <v>0</v>
      </c>
      <c r="AF12" s="141"/>
      <c r="AG12" s="1213">
        <f t="shared" si="6"/>
        <v>0</v>
      </c>
      <c r="AH12" s="141"/>
      <c r="AI12" s="187"/>
      <c r="AJ12" s="188"/>
      <c r="AK12" s="196"/>
      <c r="AL12" s="197"/>
      <c r="AM12" s="1816"/>
      <c r="AN12" s="2370"/>
      <c r="AO12" s="1999"/>
      <c r="AP12" s="1204">
        <f t="shared" si="7"/>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8"/>
        <v>0</v>
      </c>
      <c r="AF13" s="141"/>
      <c r="AG13" s="1213">
        <f t="shared" si="6"/>
        <v>0</v>
      </c>
      <c r="AH13" s="141"/>
      <c r="AI13" s="187"/>
      <c r="AJ13" s="188"/>
      <c r="AK13" s="189"/>
      <c r="AL13" s="190"/>
      <c r="AM13" s="2368"/>
      <c r="AN13" s="2370"/>
      <c r="AO13" s="1999"/>
      <c r="AP13" s="1204">
        <f t="shared" si="7"/>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0.88700000000000001</v>
      </c>
      <c r="H16" s="203" t="e">
        <f>ROUND(SUMPRODUCT(H7:H13,K6:K13)/SUMPRODUCT((H7:H13&gt;0)*(K6:K13)),3)</f>
        <v>#VALUE!</v>
      </c>
      <c r="I16" s="204"/>
      <c r="J16" s="204"/>
      <c r="K16" s="205">
        <f>SUM(K6:K15)</f>
        <v>59625.46</v>
      </c>
      <c r="L16" s="206">
        <f>ROUND(M16*10000/SUM(K6:K14),0)</f>
        <v>3149</v>
      </c>
      <c r="M16" s="206">
        <f>SUM(M6:M14)</f>
        <v>18775</v>
      </c>
      <c r="N16" s="207">
        <f>ROUND(SUMPRODUCT(M6:M14,N6:N14)/M16,3)</f>
        <v>0</v>
      </c>
      <c r="O16" s="206">
        <f>SUM(O6:O14)</f>
        <v>0</v>
      </c>
      <c r="P16" s="206">
        <f>SUM(P6:P14)</f>
        <v>18775</v>
      </c>
      <c r="Q16" s="208">
        <f>ROUND(SUMPRODUCT(Q6:Q13,K6:K13)/SUMPRODUCT((Q6:Q13&gt;0)*(K6:K13)),2)</f>
        <v>0.2</v>
      </c>
      <c r="R16" s="2310">
        <f>SUM(R6:R13)</f>
        <v>6130.0599999999995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t="e">
        <f>ROUND(SUMPRODUCT(AP6:AP13,K6:K13)/SUMPRODUCT((AP6:AP13&gt;0)*(K6:K13)),3)</f>
        <v>#REF!</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2</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2</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160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30</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51" t="s">
        <v>2905</v>
      </c>
      <c r="D53" s="3052"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2907</v>
      </c>
      <c r="B54" s="186">
        <f>C54</f>
        <v>30</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2908</v>
      </c>
      <c r="B55" s="186">
        <f t="shared" ref="B55:B60" si="9">C55</f>
        <v>24</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2909</v>
      </c>
      <c r="B56" s="186">
        <f t="shared" si="9"/>
        <v>18</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2910</v>
      </c>
      <c r="B57" s="186">
        <f t="shared" si="9"/>
        <v>12</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2911</v>
      </c>
      <c r="B58" s="186">
        <f t="shared" si="9"/>
        <v>3</v>
      </c>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2912</v>
      </c>
      <c r="B59" s="186">
        <f t="shared" si="9"/>
        <v>1.5</v>
      </c>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2913</v>
      </c>
      <c r="B60" s="186">
        <f t="shared" si="9"/>
        <v>0</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97" t="s">
        <v>1664</v>
      </c>
      <c r="B1" s="3698"/>
      <c r="C1" s="3698"/>
      <c r="D1" s="3698"/>
      <c r="E1" s="3698"/>
      <c r="F1" s="3698"/>
      <c r="G1" s="3698"/>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6" t="s">
        <v>2923</v>
      </c>
      <c r="D3" s="2008"/>
      <c r="E3" s="1229" t="s">
        <v>1667</v>
      </c>
      <c r="F3" s="1230" t="s">
        <v>1655</v>
      </c>
      <c r="G3" s="3060" t="s">
        <v>2922</v>
      </c>
      <c r="H3" s="2007"/>
      <c r="I3" s="2007"/>
      <c r="J3" s="2007"/>
      <c r="K3" s="2007"/>
      <c r="L3" s="2007"/>
      <c r="M3" s="2007"/>
      <c r="N3" s="2007"/>
      <c r="O3" s="2007"/>
      <c r="P3" s="2007"/>
      <c r="Q3" s="2007"/>
      <c r="R3" s="2007"/>
    </row>
    <row r="4" spans="1:18" ht="41.25">
      <c r="A4" s="1229"/>
      <c r="B4" s="1231" t="s">
        <v>1668</v>
      </c>
      <c r="C4" s="3057" t="s">
        <v>2924</v>
      </c>
      <c r="D4" s="2008"/>
      <c r="E4" s="1232"/>
      <c r="F4" s="1233" t="s">
        <v>1669</v>
      </c>
      <c r="G4" s="3058" t="s">
        <v>2919</v>
      </c>
      <c r="H4" s="2007"/>
      <c r="I4" s="2007"/>
      <c r="J4" s="2007"/>
      <c r="K4" s="2007"/>
      <c r="L4" s="2007"/>
      <c r="M4" s="2007"/>
      <c r="N4" s="2007"/>
      <c r="O4" s="2007"/>
      <c r="P4" s="2007"/>
      <c r="Q4" s="2007"/>
      <c r="R4" s="2007"/>
    </row>
    <row r="5" spans="1:18" ht="41.25">
      <c r="A5" s="1229"/>
      <c r="B5" s="1231" t="s">
        <v>1670</v>
      </c>
      <c r="C5" s="3057" t="s">
        <v>2925</v>
      </c>
      <c r="D5" s="2008"/>
      <c r="E5" s="1232"/>
      <c r="F5" s="1231" t="s">
        <v>2547</v>
      </c>
      <c r="G5" s="3058" t="s">
        <v>2920</v>
      </c>
      <c r="H5" s="2007"/>
      <c r="I5" s="2007"/>
      <c r="J5" s="2007"/>
      <c r="K5" s="2007"/>
      <c r="L5" s="2007"/>
      <c r="M5" s="2007"/>
      <c r="N5" s="2007"/>
      <c r="O5" s="2007"/>
      <c r="P5" s="2007"/>
      <c r="Q5" s="2007"/>
      <c r="R5" s="2007"/>
    </row>
    <row r="6" spans="1:18" ht="54">
      <c r="A6" s="1229"/>
      <c r="B6" s="1231" t="s">
        <v>1656</v>
      </c>
      <c r="C6" s="3058" t="s">
        <v>2919</v>
      </c>
      <c r="D6" s="2008"/>
      <c r="E6" s="1232"/>
      <c r="F6" s="1231" t="s">
        <v>2548</v>
      </c>
      <c r="G6" s="3058" t="s">
        <v>2917</v>
      </c>
      <c r="H6" s="2007"/>
      <c r="I6" s="2007"/>
      <c r="J6" s="2007"/>
      <c r="K6" s="2007"/>
      <c r="L6" s="2007"/>
      <c r="M6" s="2007"/>
      <c r="N6" s="2007"/>
      <c r="O6" s="2007"/>
      <c r="P6" s="2007"/>
      <c r="Q6" s="2007"/>
      <c r="R6" s="2007"/>
    </row>
    <row r="7" spans="1:18" ht="41.25" thickBot="1">
      <c r="A7" s="1229"/>
      <c r="B7" s="1231" t="s">
        <v>2547</v>
      </c>
      <c r="C7" s="3058" t="s">
        <v>2920</v>
      </c>
      <c r="D7" s="2009"/>
      <c r="E7" s="1234"/>
      <c r="F7" s="1235" t="s">
        <v>1671</v>
      </c>
      <c r="G7" s="3061" t="s">
        <v>2921</v>
      </c>
      <c r="H7" s="2007"/>
      <c r="I7" s="2007"/>
      <c r="J7" s="2007"/>
      <c r="K7" s="2007"/>
      <c r="L7" s="2007"/>
      <c r="M7" s="2007"/>
      <c r="N7" s="2007"/>
      <c r="O7" s="2007"/>
      <c r="P7" s="2007"/>
      <c r="Q7" s="2007"/>
      <c r="R7" s="2007"/>
    </row>
    <row r="8" spans="1:18" ht="27">
      <c r="A8" s="1229"/>
      <c r="B8" s="1231" t="s">
        <v>2548</v>
      </c>
      <c r="C8" s="3058" t="s">
        <v>2917</v>
      </c>
      <c r="D8" s="2009"/>
      <c r="E8" s="2009"/>
      <c r="F8" s="1553"/>
      <c r="G8" s="1553"/>
      <c r="H8" s="2007"/>
      <c r="I8" s="2007"/>
      <c r="J8" s="2007"/>
      <c r="K8" s="2007"/>
      <c r="L8" s="2007"/>
      <c r="M8" s="2007"/>
      <c r="N8" s="2007"/>
      <c r="O8" s="2007"/>
      <c r="P8" s="2007"/>
      <c r="Q8" s="2007"/>
      <c r="R8" s="2007"/>
    </row>
    <row r="9" spans="1:18" ht="40.5">
      <c r="A9" s="1229"/>
      <c r="B9" s="1231" t="s">
        <v>1657</v>
      </c>
      <c r="C9" s="3057" t="s">
        <v>2918</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5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2"/>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20" t="s">
        <v>2844</v>
      </c>
      <c r="B1" s="3020">
        <f>SUM(B14:B23)</f>
        <v>59625.46</v>
      </c>
      <c r="C1" s="3021"/>
      <c r="D1" s="3021"/>
      <c r="E1" s="3021"/>
      <c r="F1" s="3021"/>
    </row>
    <row r="2" spans="1:9" ht="16.5">
      <c r="A2" s="3020" t="s">
        <v>2845</v>
      </c>
      <c r="B2" s="3020">
        <f>SUM(C14:C23)</f>
        <v>6130.06</v>
      </c>
      <c r="C2" s="3021"/>
      <c r="D2" s="3021"/>
      <c r="E2" s="3021"/>
      <c r="F2" s="3021"/>
    </row>
    <row r="3" spans="1:9" ht="16.5">
      <c r="A3" s="3020" t="s">
        <v>2846</v>
      </c>
      <c r="B3" s="3022">
        <f>项目基本情况!D3</f>
        <v>43552</v>
      </c>
      <c r="C3" s="3021"/>
      <c r="D3" s="3021"/>
      <c r="E3" s="3021"/>
      <c r="F3" s="3021"/>
    </row>
    <row r="4" spans="1:9" ht="33">
      <c r="A4" s="3020" t="s">
        <v>2847</v>
      </c>
      <c r="B4" s="3020" t="s">
        <v>2848</v>
      </c>
      <c r="C4" s="3020" t="s">
        <v>2849</v>
      </c>
      <c r="D4" s="3020" t="s">
        <v>2850</v>
      </c>
      <c r="E4" s="3021"/>
      <c r="F4" s="3021"/>
    </row>
    <row r="5" spans="1:9" ht="16.5">
      <c r="A5" s="3020" t="s">
        <v>2851</v>
      </c>
      <c r="B5" s="3020">
        <f ca="1">SUM(D14:D23)</f>
        <v>7021</v>
      </c>
      <c r="C5" s="3020">
        <f ca="1">ROUND(B5*10000/$B$1,0)</f>
        <v>1178</v>
      </c>
      <c r="D5" s="3020">
        <f ca="1">ROUND(B5*10000/$B$2,0)</f>
        <v>11453</v>
      </c>
      <c r="E5" s="3021"/>
      <c r="F5" s="3021"/>
    </row>
    <row r="6" spans="1:9" ht="16.5">
      <c r="A6" s="3020" t="s">
        <v>2852</v>
      </c>
      <c r="B6" s="3020">
        <f>SUM(G14:G23)</f>
        <v>0</v>
      </c>
      <c r="C6" s="3020">
        <f t="shared" ref="C6:C8" si="0">ROUND(B6*10000/$B$1,0)</f>
        <v>0</v>
      </c>
      <c r="D6" s="3020">
        <f t="shared" ref="D6:D8" si="1">ROUND(B6*10000/$B$2,0)</f>
        <v>0</v>
      </c>
      <c r="E6" s="3021"/>
      <c r="F6" s="3021"/>
    </row>
    <row r="7" spans="1:9" ht="16.5">
      <c r="A7" s="3020" t="s">
        <v>2853</v>
      </c>
      <c r="B7" s="3020">
        <f>SUM(H14:H23)</f>
        <v>0</v>
      </c>
      <c r="C7" s="3020">
        <f t="shared" si="0"/>
        <v>0</v>
      </c>
      <c r="D7" s="3020">
        <f t="shared" si="1"/>
        <v>0</v>
      </c>
      <c r="E7" s="3021"/>
      <c r="F7" s="3021"/>
    </row>
    <row r="8" spans="1:9" ht="16.5">
      <c r="A8" s="3020" t="s">
        <v>2854</v>
      </c>
      <c r="B8" s="3020">
        <f>SUM(I14:I23)</f>
        <v>0</v>
      </c>
      <c r="C8" s="3020">
        <f t="shared" si="0"/>
        <v>0</v>
      </c>
      <c r="D8" s="3020">
        <f t="shared" si="1"/>
        <v>0</v>
      </c>
      <c r="E8" s="3021"/>
      <c r="F8" s="3021"/>
    </row>
    <row r="9" spans="1:9" ht="16.5">
      <c r="A9" s="3020" t="s">
        <v>2855</v>
      </c>
      <c r="B9" s="3023"/>
      <c r="C9" s="3021"/>
      <c r="D9" s="3021"/>
      <c r="E9" s="3021"/>
      <c r="F9" s="3021"/>
    </row>
    <row r="10" spans="1:9" ht="16.5">
      <c r="A10" s="3020" t="s">
        <v>2856</v>
      </c>
      <c r="B10" s="3023"/>
      <c r="C10" s="3021"/>
      <c r="D10" s="3021"/>
      <c r="E10" s="3021"/>
      <c r="F10" s="3021"/>
    </row>
    <row r="11" spans="1:9" ht="16.5">
      <c r="A11" s="3020" t="s">
        <v>2873</v>
      </c>
      <c r="B11" s="3023"/>
      <c r="C11" s="3021"/>
      <c r="D11" s="3021"/>
      <c r="E11" s="3021"/>
      <c r="F11" s="3021"/>
    </row>
    <row r="12" spans="1:9" ht="16.5">
      <c r="A12" s="3021"/>
      <c r="B12" s="3021"/>
      <c r="C12" s="3021"/>
      <c r="D12" s="3021"/>
      <c r="E12" s="3021"/>
      <c r="F12" s="3021"/>
    </row>
    <row r="13" spans="1:9" ht="33">
      <c r="A13" s="3026" t="s">
        <v>2872</v>
      </c>
      <c r="B13" s="3024" t="s">
        <v>2844</v>
      </c>
      <c r="C13" s="3024" t="s">
        <v>2845</v>
      </c>
      <c r="D13" s="3024" t="s">
        <v>2857</v>
      </c>
      <c r="E13" s="3020" t="s">
        <v>2871</v>
      </c>
      <c r="F13" s="3020" t="s">
        <v>2850</v>
      </c>
      <c r="G13" s="3024" t="s">
        <v>2858</v>
      </c>
      <c r="H13" s="3024" t="s">
        <v>2859</v>
      </c>
      <c r="I13" s="3024" t="s">
        <v>2860</v>
      </c>
    </row>
    <row r="14" spans="1:9" ht="16.5">
      <c r="A14" s="3027" t="s">
        <v>2870</v>
      </c>
      <c r="B14" s="3024">
        <f>结果表!L38</f>
        <v>59625.46</v>
      </c>
      <c r="C14" s="3024">
        <f>结果表!K38</f>
        <v>6130.06</v>
      </c>
      <c r="D14" s="3024">
        <f ca="1">结果表!C42</f>
        <v>7021</v>
      </c>
      <c r="E14" s="3024">
        <f ca="1">ROUND(D14*10000/B14,0)</f>
        <v>1178</v>
      </c>
      <c r="F14" s="3024">
        <f ca="1">ROUND(D14*10000/C14,0)</f>
        <v>11453</v>
      </c>
      <c r="G14" s="3024" t="str">
        <f>结果表!C44</f>
        <v>——</v>
      </c>
      <c r="H14" s="3024" t="str">
        <f>结果表!C45</f>
        <v>——</v>
      </c>
      <c r="I14" s="3024" t="str">
        <f>结果表!C46</f>
        <v>——</v>
      </c>
    </row>
    <row r="15" spans="1:9" ht="16.5">
      <c r="A15" s="3027" t="s">
        <v>2861</v>
      </c>
      <c r="B15" s="3028"/>
      <c r="C15" s="3028"/>
      <c r="D15" s="3028"/>
      <c r="E15" s="3024" t="e">
        <f t="shared" ref="E15:E23" si="2">ROUND(D15*10000/B15,0)</f>
        <v>#DIV/0!</v>
      </c>
      <c r="F15" s="3024" t="e">
        <f t="shared" ref="F15:F23" si="3">ROUND(D15*10000/C15,0)</f>
        <v>#DIV/0!</v>
      </c>
      <c r="G15" s="3025"/>
      <c r="H15" s="3025"/>
      <c r="I15" s="3028"/>
    </row>
    <row r="16" spans="1:9" ht="16.5">
      <c r="A16" s="3027" t="s">
        <v>2862</v>
      </c>
      <c r="B16" s="3028"/>
      <c r="C16" s="3028"/>
      <c r="D16" s="3028"/>
      <c r="E16" s="3024" t="e">
        <f t="shared" si="2"/>
        <v>#DIV/0!</v>
      </c>
      <c r="F16" s="3024" t="e">
        <f t="shared" si="3"/>
        <v>#DIV/0!</v>
      </c>
      <c r="G16" s="3025"/>
      <c r="H16" s="3025"/>
      <c r="I16" s="3028"/>
    </row>
    <row r="17" spans="1:9" ht="16.5">
      <c r="A17" s="3027" t="s">
        <v>2863</v>
      </c>
      <c r="B17" s="3028"/>
      <c r="C17" s="3028"/>
      <c r="D17" s="3028"/>
      <c r="E17" s="3024" t="e">
        <f t="shared" si="2"/>
        <v>#DIV/0!</v>
      </c>
      <c r="F17" s="3024" t="e">
        <f t="shared" si="3"/>
        <v>#DIV/0!</v>
      </c>
      <c r="G17" s="3025"/>
      <c r="H17" s="3025"/>
      <c r="I17" s="3028"/>
    </row>
    <row r="18" spans="1:9" ht="16.5">
      <c r="A18" s="3027" t="s">
        <v>2864</v>
      </c>
      <c r="B18" s="3028"/>
      <c r="C18" s="3028"/>
      <c r="D18" s="3028"/>
      <c r="E18" s="3024" t="e">
        <f t="shared" si="2"/>
        <v>#DIV/0!</v>
      </c>
      <c r="F18" s="3024" t="e">
        <f t="shared" si="3"/>
        <v>#DIV/0!</v>
      </c>
      <c r="G18" s="3028"/>
      <c r="H18" s="3028"/>
      <c r="I18" s="3028"/>
    </row>
    <row r="19" spans="1:9" ht="16.5">
      <c r="A19" s="3027" t="s">
        <v>2865</v>
      </c>
      <c r="B19" s="3028"/>
      <c r="C19" s="3028"/>
      <c r="D19" s="3028"/>
      <c r="E19" s="3024" t="e">
        <f t="shared" si="2"/>
        <v>#DIV/0!</v>
      </c>
      <c r="F19" s="3024" t="e">
        <f t="shared" si="3"/>
        <v>#DIV/0!</v>
      </c>
      <c r="G19" s="3028"/>
      <c r="H19" s="3028"/>
      <c r="I19" s="3028"/>
    </row>
    <row r="20" spans="1:9" ht="16.5">
      <c r="A20" s="3027" t="s">
        <v>2866</v>
      </c>
      <c r="B20" s="3028"/>
      <c r="C20" s="3028"/>
      <c r="D20" s="3028"/>
      <c r="E20" s="3024" t="e">
        <f t="shared" si="2"/>
        <v>#DIV/0!</v>
      </c>
      <c r="F20" s="3024" t="e">
        <f t="shared" si="3"/>
        <v>#DIV/0!</v>
      </c>
      <c r="G20" s="3028"/>
      <c r="H20" s="3028"/>
      <c r="I20" s="3028"/>
    </row>
    <row r="21" spans="1:9" ht="16.5">
      <c r="A21" s="3027" t="s">
        <v>2867</v>
      </c>
      <c r="B21" s="3028"/>
      <c r="C21" s="3028"/>
      <c r="D21" s="3028"/>
      <c r="E21" s="3024" t="e">
        <f t="shared" si="2"/>
        <v>#DIV/0!</v>
      </c>
      <c r="F21" s="3024" t="e">
        <f t="shared" si="3"/>
        <v>#DIV/0!</v>
      </c>
      <c r="G21" s="3028"/>
      <c r="H21" s="3028"/>
      <c r="I21" s="3028"/>
    </row>
    <row r="22" spans="1:9" ht="16.5">
      <c r="A22" s="3027" t="s">
        <v>2868</v>
      </c>
      <c r="B22" s="3028"/>
      <c r="C22" s="3028"/>
      <c r="D22" s="3028"/>
      <c r="E22" s="3024" t="e">
        <f t="shared" si="2"/>
        <v>#DIV/0!</v>
      </c>
      <c r="F22" s="3024" t="e">
        <f t="shared" si="3"/>
        <v>#DIV/0!</v>
      </c>
      <c r="G22" s="3028"/>
      <c r="H22" s="3028"/>
      <c r="I22" s="3028"/>
    </row>
    <row r="23" spans="1:9" ht="16.5">
      <c r="A23" s="3027" t="s">
        <v>2869</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J54"/>
  <sheetViews>
    <sheetView tabSelected="1" topLeftCell="A18" workbookViewId="0">
      <selection activeCell="E34" sqref="E34"/>
    </sheetView>
  </sheetViews>
  <sheetFormatPr defaultRowHeight="13.5"/>
  <cols>
    <col min="1" max="1" width="11.875" style="3190" customWidth="1"/>
    <col min="2" max="2" width="10.375" style="3190" customWidth="1"/>
    <col min="3" max="3" width="10.5" style="3190" customWidth="1"/>
    <col min="4" max="4" width="7.875" style="3191" customWidth="1"/>
    <col min="5" max="5" width="15.75" style="3190" customWidth="1"/>
    <col min="6" max="6" width="14.625" style="3190" customWidth="1"/>
    <col min="7" max="7" width="10.25" style="3190" customWidth="1"/>
    <col min="8" max="8" width="8.875" style="3191" customWidth="1"/>
    <col min="9" max="9" width="11.5" style="3190" customWidth="1"/>
    <col min="10" max="10" width="13.75" style="3190" customWidth="1"/>
    <col min="11" max="11" width="13.5" style="3190" customWidth="1"/>
    <col min="12" max="12" width="12.125" style="3190" customWidth="1"/>
    <col min="13" max="13" width="6.875" style="3190" customWidth="1"/>
    <col min="14" max="14" width="7.625" style="3190" customWidth="1"/>
    <col min="15" max="16" width="9" style="3190"/>
    <col min="17" max="17" width="10.125" style="3190" bestFit="1" customWidth="1"/>
    <col min="18" max="18" width="14.125" style="3190" customWidth="1"/>
    <col min="19" max="19" width="16.125" style="3190" customWidth="1"/>
    <col min="20" max="16384" width="9" style="3190"/>
  </cols>
  <sheetData>
    <row r="1" spans="1:62" ht="15.75" customHeight="1" thickBot="1">
      <c r="A1" s="3769" t="s">
        <v>3068</v>
      </c>
      <c r="B1" s="3769"/>
      <c r="C1" s="3769"/>
      <c r="E1" s="3769" t="s">
        <v>3067</v>
      </c>
      <c r="F1" s="3769"/>
      <c r="G1" s="3770"/>
      <c r="I1" s="3227" t="s">
        <v>3066</v>
      </c>
    </row>
    <row r="2" spans="1:62" ht="14.25" thickBot="1">
      <c r="A2" s="3743" t="s">
        <v>3065</v>
      </c>
      <c r="B2" s="3223" t="s">
        <v>3069</v>
      </c>
      <c r="C2" s="3229">
        <f>'数据-汇总表'!E19</f>
        <v>39900.839999999997</v>
      </c>
      <c r="E2" s="3743" t="s">
        <v>3065</v>
      </c>
      <c r="F2" s="3223" t="str">
        <f>B2</f>
        <v>地上办公</v>
      </c>
      <c r="G2" s="3222">
        <f>C2+C3</f>
        <v>41680.639999999999</v>
      </c>
      <c r="I2" s="3228">
        <f>C2-G2</f>
        <v>-1779.8000000000029</v>
      </c>
      <c r="J2" s="3192" t="s">
        <v>3074</v>
      </c>
    </row>
    <row r="3" spans="1:62" ht="14.25" thickBot="1">
      <c r="A3" s="3744"/>
      <c r="B3" s="3223" t="s">
        <v>3070</v>
      </c>
      <c r="C3" s="3224">
        <f>'数据-汇总表'!E20</f>
        <v>1779.8</v>
      </c>
      <c r="E3" s="3744"/>
      <c r="F3" s="3223" t="str">
        <f>B3</f>
        <v>地上商业</v>
      </c>
      <c r="G3" s="3222">
        <v>0</v>
      </c>
      <c r="I3" s="3228">
        <f>C3-G3</f>
        <v>1779.8</v>
      </c>
      <c r="J3" s="3192" t="s">
        <v>3075</v>
      </c>
    </row>
    <row r="4" spans="1:62" ht="14.25" thickBot="1">
      <c r="A4" s="3745" t="s">
        <v>3060</v>
      </c>
      <c r="B4" s="3771"/>
      <c r="C4" s="3220">
        <f>SUM(C2:C3)</f>
        <v>41680.639999999999</v>
      </c>
      <c r="D4" s="3227" t="s">
        <v>3064</v>
      </c>
      <c r="E4" s="3745" t="s">
        <v>3060</v>
      </c>
      <c r="F4" s="3771"/>
      <c r="G4" s="3220">
        <f>G2+G3</f>
        <v>41680.639999999999</v>
      </c>
      <c r="H4" s="3227" t="s">
        <v>3063</v>
      </c>
      <c r="I4" s="3225"/>
    </row>
    <row r="5" spans="1:62" ht="14.25" thickBot="1">
      <c r="A5" s="3743" t="s">
        <v>3062</v>
      </c>
      <c r="B5" s="3223" t="s">
        <v>3071</v>
      </c>
      <c r="C5" s="3226">
        <f>'数据-汇总表'!E21</f>
        <v>2822.18</v>
      </c>
      <c r="E5" s="3743" t="s">
        <v>3062</v>
      </c>
      <c r="F5" s="3223" t="str">
        <f>B5</f>
        <v>地下办公</v>
      </c>
      <c r="G5" s="3222">
        <f>C5</f>
        <v>2822.18</v>
      </c>
      <c r="I5" s="3225">
        <f>C5-G5</f>
        <v>0</v>
      </c>
      <c r="J5" s="3192" t="s">
        <v>3072</v>
      </c>
    </row>
    <row r="6" spans="1:62" ht="14.25" thickBot="1">
      <c r="A6" s="3744"/>
      <c r="B6" s="3223" t="s">
        <v>3061</v>
      </c>
      <c r="C6" s="3224">
        <f>'数据-汇总表'!E22</f>
        <v>15122.64</v>
      </c>
      <c r="E6" s="3744"/>
      <c r="F6" s="3223" t="s">
        <v>3061</v>
      </c>
      <c r="G6" s="3222">
        <f>C6</f>
        <v>15122.64</v>
      </c>
      <c r="I6" s="3221">
        <f>C6-G6</f>
        <v>0</v>
      </c>
      <c r="J6" s="3192" t="s">
        <v>3073</v>
      </c>
    </row>
    <row r="7" spans="1:62">
      <c r="A7" s="3745" t="s">
        <v>3060</v>
      </c>
      <c r="B7" s="3746"/>
      <c r="C7" s="3220">
        <f>SUM(C5:C6)</f>
        <v>17944.82</v>
      </c>
      <c r="E7" s="3745" t="s">
        <v>3060</v>
      </c>
      <c r="F7" s="3746"/>
      <c r="G7" s="3220">
        <f>SUM(G5:G6)</f>
        <v>17944.82</v>
      </c>
    </row>
    <row r="8" spans="1:62">
      <c r="A8" s="3219" t="s">
        <v>3059</v>
      </c>
      <c r="B8" s="3210"/>
      <c r="C8" s="3210">
        <f>C4+C7</f>
        <v>59625.46</v>
      </c>
      <c r="E8" s="3219" t="s">
        <v>3059</v>
      </c>
      <c r="F8" s="3210"/>
      <c r="G8" s="3210">
        <f>G4+C7</f>
        <v>59625.46</v>
      </c>
    </row>
    <row r="9" spans="1:62">
      <c r="F9" s="3190">
        <f>I3/C4</f>
        <v>4.2700879832939222E-2</v>
      </c>
    </row>
    <row r="10" spans="1:62" ht="14.25" thickBot="1"/>
    <row r="11" spans="1:62" ht="66" customHeight="1">
      <c r="A11" s="3231" t="s">
        <v>3058</v>
      </c>
      <c r="B11" s="3231" t="s">
        <v>3057</v>
      </c>
      <c r="C11" s="3231" t="s">
        <v>3056</v>
      </c>
      <c r="D11" s="3231" t="s">
        <v>3055</v>
      </c>
      <c r="E11" s="3600" t="s">
        <v>3054</v>
      </c>
      <c r="F11" s="3232" t="s">
        <v>3053</v>
      </c>
      <c r="G11" s="3601" t="s">
        <v>3052</v>
      </c>
      <c r="H11" s="3602" t="s">
        <v>3051</v>
      </c>
      <c r="I11" s="3603" t="s">
        <v>3050</v>
      </c>
    </row>
    <row r="12" spans="1:62" ht="14.25" customHeight="1">
      <c r="A12" s="3714" t="s">
        <v>3339</v>
      </c>
      <c r="B12" s="3604" t="s">
        <v>3319</v>
      </c>
      <c r="C12" s="3604">
        <f ca="1">'[3]基准地价-办公'!$C$29</f>
        <v>34943</v>
      </c>
      <c r="D12" s="3605">
        <v>0.5</v>
      </c>
      <c r="E12" s="3708">
        <f t="shared" ref="E12" ca="1" si="0">ROUND(C12*D12+C13*D13,0)</f>
        <v>37264</v>
      </c>
      <c r="F12" s="3708">
        <f ca="1">E12*I3/10000</f>
        <v>6632.2467199999992</v>
      </c>
      <c r="G12" s="3708">
        <f ca="1">ROUND(E12*0.25,0)</f>
        <v>9316</v>
      </c>
      <c r="H12" s="3710"/>
      <c r="I12" s="3708">
        <f ca="1">ROUND(E12/6.8,0)</f>
        <v>5480</v>
      </c>
    </row>
    <row r="13" spans="1:62" ht="12.75" customHeight="1">
      <c r="A13" s="3715"/>
      <c r="B13" s="3604" t="s">
        <v>3320</v>
      </c>
      <c r="C13" s="3604">
        <f ca="1">'[3]剩余法-办公'!$B$3</f>
        <v>39585</v>
      </c>
      <c r="D13" s="3605">
        <v>0.5</v>
      </c>
      <c r="E13" s="3709"/>
      <c r="F13" s="3709"/>
      <c r="G13" s="3709"/>
      <c r="H13" s="3711"/>
      <c r="I13" s="3709"/>
    </row>
    <row r="14" spans="1:62">
      <c r="A14" s="3763" t="s">
        <v>3076</v>
      </c>
      <c r="B14" s="3233" t="s">
        <v>3049</v>
      </c>
      <c r="C14" s="3234">
        <f ca="1">'基准地价-商业'!C29</f>
        <v>38314</v>
      </c>
      <c r="D14" s="3234">
        <v>0.5</v>
      </c>
      <c r="E14" s="3765">
        <f ca="1">ROUND(C14*D14+C15*D15,0)</f>
        <v>40471</v>
      </c>
      <c r="F14" s="3749">
        <f ca="1">E14*C3/10000</f>
        <v>7203.0285800000001</v>
      </c>
      <c r="G14" s="3749">
        <f ca="1">ROUND(E14*0.25,0)</f>
        <v>10118</v>
      </c>
      <c r="H14" s="3749"/>
      <c r="I14" s="3749">
        <f ca="1">ROUND(E14/6.8,0)</f>
        <v>5952</v>
      </c>
    </row>
    <row r="15" spans="1:62">
      <c r="A15" s="3764"/>
      <c r="B15" s="3233" t="s">
        <v>3048</v>
      </c>
      <c r="C15" s="3234">
        <f ca="1">'剩余法-商业'!B3</f>
        <v>42628</v>
      </c>
      <c r="D15" s="3234">
        <f>1-D14</f>
        <v>0.5</v>
      </c>
      <c r="E15" s="3766"/>
      <c r="F15" s="3750"/>
      <c r="G15" s="3750"/>
      <c r="H15" s="3750"/>
      <c r="I15" s="3750"/>
    </row>
    <row r="16" spans="1:62" s="3235" customFormat="1">
      <c r="A16" s="3759" t="s">
        <v>3322</v>
      </c>
      <c r="B16" s="3216" t="s">
        <v>3047</v>
      </c>
      <c r="C16" s="3215">
        <f ca="1">'基准地价-办公'!C29</f>
        <v>33087</v>
      </c>
      <c r="D16" s="3215">
        <f>D14</f>
        <v>0.5</v>
      </c>
      <c r="E16" s="3761">
        <f ca="1">ROUND(C16*D16+C17*D17,0)</f>
        <v>36117</v>
      </c>
      <c r="F16" s="3747">
        <f ca="1">ROUND(E16*C2/10000,4)</f>
        <v>144109.86379999999</v>
      </c>
      <c r="G16" s="3747">
        <f ca="1">ROUND(E16*0.25,0)</f>
        <v>9029</v>
      </c>
      <c r="H16" s="3747"/>
      <c r="I16" s="3747">
        <f ca="1">ROUND(E16/6.8,0)</f>
        <v>5311</v>
      </c>
      <c r="J16" s="3238"/>
      <c r="K16" s="3238"/>
      <c r="L16" s="3238"/>
      <c r="M16" s="3238"/>
      <c r="N16" s="3238"/>
      <c r="O16" s="3238"/>
      <c r="P16" s="3238"/>
      <c r="Q16" s="3238"/>
      <c r="R16" s="3238"/>
      <c r="S16" s="3238"/>
      <c r="T16" s="3238"/>
      <c r="U16" s="3238"/>
      <c r="V16" s="3238"/>
      <c r="W16" s="3238"/>
      <c r="X16" s="3238"/>
      <c r="Y16" s="3238"/>
      <c r="Z16" s="3238"/>
      <c r="AA16" s="3238"/>
      <c r="AB16" s="3238"/>
      <c r="AC16" s="3238"/>
      <c r="AD16" s="3238"/>
      <c r="AE16" s="3238"/>
      <c r="AF16" s="3238"/>
      <c r="AG16" s="3238"/>
      <c r="AH16" s="3238"/>
      <c r="AI16" s="3238"/>
      <c r="AJ16" s="3238"/>
      <c r="AK16" s="3238"/>
      <c r="AL16" s="3238"/>
      <c r="AM16" s="3238"/>
      <c r="AN16" s="3238"/>
      <c r="AO16" s="3238"/>
      <c r="AP16" s="3238"/>
      <c r="AQ16" s="3238"/>
      <c r="AR16" s="3238"/>
      <c r="AS16" s="3238"/>
      <c r="AT16" s="3238"/>
      <c r="AU16" s="3238"/>
      <c r="AV16" s="3238"/>
      <c r="AW16" s="3238"/>
      <c r="AX16" s="3238"/>
      <c r="AY16" s="3238"/>
      <c r="AZ16" s="3238"/>
      <c r="BA16" s="3238"/>
      <c r="BB16" s="3238"/>
      <c r="BC16" s="3238"/>
      <c r="BD16" s="3238"/>
      <c r="BE16" s="3238"/>
      <c r="BF16" s="3238"/>
      <c r="BG16" s="3238"/>
      <c r="BH16" s="3238"/>
      <c r="BI16" s="3238"/>
      <c r="BJ16" s="3238"/>
    </row>
    <row r="17" spans="1:62" s="3235" customFormat="1">
      <c r="A17" s="3760"/>
      <c r="B17" s="3216" t="s">
        <v>3046</v>
      </c>
      <c r="C17" s="3215">
        <f ca="1">'剩余法-办公'!B3</f>
        <v>39147</v>
      </c>
      <c r="D17" s="3215">
        <f>1-D16</f>
        <v>0.5</v>
      </c>
      <c r="E17" s="3762"/>
      <c r="F17" s="3748"/>
      <c r="G17" s="3748"/>
      <c r="H17" s="3748"/>
      <c r="I17" s="3748"/>
      <c r="J17" s="3238"/>
      <c r="K17" s="3238"/>
      <c r="L17" s="3238"/>
      <c r="M17" s="3238"/>
      <c r="N17" s="3238"/>
      <c r="O17" s="3238"/>
      <c r="P17" s="3238"/>
      <c r="Q17" s="3238"/>
      <c r="R17" s="3238"/>
      <c r="S17" s="3238"/>
      <c r="T17" s="3238"/>
      <c r="U17" s="3238"/>
      <c r="V17" s="3238"/>
      <c r="W17" s="3238"/>
      <c r="X17" s="3238"/>
      <c r="Y17" s="3238"/>
      <c r="Z17" s="3238"/>
      <c r="AA17" s="3238"/>
      <c r="AB17" s="3238"/>
      <c r="AC17" s="3238"/>
      <c r="AD17" s="3238"/>
      <c r="AE17" s="3238"/>
      <c r="AF17" s="3238"/>
      <c r="AG17" s="3238"/>
      <c r="AH17" s="3238"/>
      <c r="AI17" s="3238"/>
      <c r="AJ17" s="3238"/>
      <c r="AK17" s="3238"/>
      <c r="AL17" s="3238"/>
      <c r="AM17" s="3238"/>
      <c r="AN17" s="3238"/>
      <c r="AO17" s="3238"/>
      <c r="AP17" s="3238"/>
      <c r="AQ17" s="3238"/>
      <c r="AR17" s="3238"/>
      <c r="AS17" s="3238"/>
      <c r="AT17" s="3238"/>
      <c r="AU17" s="3238"/>
      <c r="AV17" s="3238"/>
      <c r="AW17" s="3238"/>
      <c r="AX17" s="3238"/>
      <c r="AY17" s="3238"/>
      <c r="AZ17" s="3238"/>
      <c r="BA17" s="3238"/>
      <c r="BB17" s="3238"/>
      <c r="BC17" s="3238"/>
      <c r="BD17" s="3238"/>
      <c r="BE17" s="3238"/>
      <c r="BF17" s="3238"/>
      <c r="BG17" s="3238"/>
      <c r="BH17" s="3238"/>
      <c r="BI17" s="3238"/>
      <c r="BJ17" s="3238"/>
    </row>
    <row r="18" spans="1:62">
      <c r="A18" s="3767" t="s">
        <v>3077</v>
      </c>
      <c r="B18" s="3218" t="s">
        <v>3047</v>
      </c>
      <c r="C18" s="3217">
        <f ca="1">'基准地价-办公'!C37</f>
        <v>11351</v>
      </c>
      <c r="D18" s="3217">
        <f>D14</f>
        <v>0.5</v>
      </c>
      <c r="E18" s="3755">
        <f ca="1">ROUND(C18*D18+C19*D19,0)</f>
        <v>11548</v>
      </c>
      <c r="F18" s="3751">
        <f ca="1">ROUND(E18*C5/10000,4)</f>
        <v>3259.0535</v>
      </c>
      <c r="G18" s="3751">
        <f ca="1">ROUND(E18*0.25,0)</f>
        <v>2887</v>
      </c>
      <c r="H18" s="3751"/>
      <c r="I18" s="3751">
        <f ca="1">ROUND(E18/6.8,0)</f>
        <v>1698</v>
      </c>
      <c r="J18" s="3238"/>
      <c r="K18" s="3238"/>
      <c r="L18" s="3238"/>
      <c r="M18" s="3238"/>
      <c r="N18" s="3238"/>
      <c r="O18" s="3238"/>
      <c r="P18" s="3238"/>
      <c r="Q18" s="3238"/>
      <c r="R18" s="3238"/>
      <c r="S18" s="3238"/>
      <c r="T18" s="3238"/>
      <c r="U18" s="3238"/>
      <c r="V18" s="3238"/>
      <c r="W18" s="3238"/>
      <c r="X18" s="3238"/>
      <c r="Y18" s="3238"/>
      <c r="Z18" s="3238"/>
      <c r="AA18" s="3238"/>
      <c r="AB18" s="3238"/>
      <c r="AC18" s="3238"/>
      <c r="AD18" s="3238"/>
      <c r="AE18" s="3238"/>
      <c r="AF18" s="3238"/>
      <c r="AG18" s="3238"/>
      <c r="AH18" s="3238"/>
      <c r="AI18" s="3238"/>
      <c r="AJ18" s="3238"/>
      <c r="AK18" s="3238"/>
      <c r="AL18" s="3238"/>
      <c r="AM18" s="3238"/>
      <c r="AN18" s="3238"/>
      <c r="AO18" s="3238"/>
      <c r="AP18" s="3238"/>
      <c r="AQ18" s="3238"/>
      <c r="AR18" s="3238"/>
      <c r="AS18" s="3238"/>
      <c r="AT18" s="3238"/>
      <c r="AU18" s="3238"/>
      <c r="AV18" s="3238"/>
      <c r="AW18" s="3238"/>
      <c r="AX18" s="3238"/>
      <c r="AY18" s="3238"/>
      <c r="AZ18" s="3238"/>
      <c r="BA18" s="3238"/>
      <c r="BB18" s="3238"/>
      <c r="BC18" s="3238"/>
      <c r="BD18" s="3238"/>
      <c r="BE18" s="3238"/>
      <c r="BF18" s="3238"/>
      <c r="BG18" s="3238"/>
      <c r="BH18" s="3238"/>
      <c r="BI18" s="3238"/>
      <c r="BJ18" s="3238"/>
    </row>
    <row r="19" spans="1:62">
      <c r="A19" s="3768"/>
      <c r="B19" s="3218" t="s">
        <v>3046</v>
      </c>
      <c r="C19" s="3217">
        <f ca="1">ROUND(C17*0.3,0)</f>
        <v>11744</v>
      </c>
      <c r="D19" s="3217">
        <f>1-D18</f>
        <v>0.5</v>
      </c>
      <c r="E19" s="3756"/>
      <c r="F19" s="3752"/>
      <c r="G19" s="3752"/>
      <c r="H19" s="3752"/>
      <c r="I19" s="3752"/>
      <c r="J19" s="3238"/>
      <c r="K19" s="3238"/>
      <c r="L19" s="3238"/>
      <c r="M19" s="3238"/>
      <c r="N19" s="3238"/>
      <c r="O19" s="3238"/>
      <c r="P19" s="3238"/>
      <c r="Q19" s="3238"/>
      <c r="R19" s="3238"/>
      <c r="S19" s="3238"/>
      <c r="T19" s="3238"/>
      <c r="U19" s="3238"/>
      <c r="V19" s="3238"/>
      <c r="W19" s="3238"/>
      <c r="X19" s="3238"/>
      <c r="Y19" s="3238"/>
      <c r="Z19" s="3238"/>
      <c r="AA19" s="3238"/>
      <c r="AB19" s="3238"/>
      <c r="AC19" s="3238"/>
      <c r="AD19" s="3238"/>
      <c r="AE19" s="3238"/>
      <c r="AF19" s="3238"/>
      <c r="AG19" s="3238"/>
      <c r="AH19" s="3238"/>
      <c r="AI19" s="3238"/>
      <c r="AJ19" s="3238"/>
      <c r="AK19" s="3238"/>
      <c r="AL19" s="3238"/>
      <c r="AM19" s="3238"/>
      <c r="AN19" s="3238"/>
      <c r="AO19" s="3238"/>
      <c r="AP19" s="3238"/>
      <c r="AQ19" s="3238"/>
      <c r="AR19" s="3238"/>
      <c r="AS19" s="3238"/>
      <c r="AT19" s="3238"/>
      <c r="AU19" s="3238"/>
      <c r="AV19" s="3238"/>
      <c r="AW19" s="3238"/>
      <c r="AX19" s="3238"/>
      <c r="AY19" s="3238"/>
      <c r="AZ19" s="3238"/>
      <c r="BA19" s="3238"/>
      <c r="BB19" s="3238"/>
      <c r="BC19" s="3238"/>
      <c r="BD19" s="3238"/>
      <c r="BE19" s="3238"/>
      <c r="BF19" s="3238"/>
      <c r="BG19" s="3238"/>
      <c r="BH19" s="3238"/>
      <c r="BI19" s="3238"/>
      <c r="BJ19" s="3238"/>
    </row>
    <row r="20" spans="1:62" s="3230" customFormat="1">
      <c r="A20" s="3757" t="s">
        <v>3027</v>
      </c>
      <c r="B20" s="3236" t="s">
        <v>3047</v>
      </c>
      <c r="C20" s="3586">
        <f ca="1">'基准地价-办公'!C39</f>
        <v>9459</v>
      </c>
      <c r="D20" s="3237">
        <f>D14</f>
        <v>0.5</v>
      </c>
      <c r="E20" s="3718">
        <f ca="1">ROUND(C20*D20+C21*D21,0)</f>
        <v>9623</v>
      </c>
      <c r="F20" s="3712">
        <f ca="1">ROUND(E20*C6/10000,4)</f>
        <v>14552.5165</v>
      </c>
      <c r="G20" s="3712">
        <f ca="1">ROUND(E20*0.25,0)</f>
        <v>2406</v>
      </c>
      <c r="H20" s="3712"/>
      <c r="I20" s="3712">
        <f ca="1">ROUND(E20/6.8,0)</f>
        <v>1415</v>
      </c>
      <c r="J20" s="3238"/>
      <c r="K20" s="3238"/>
      <c r="L20" s="3238"/>
      <c r="M20" s="3238"/>
      <c r="N20" s="3238"/>
      <c r="O20" s="3238"/>
      <c r="P20" s="3238"/>
      <c r="Q20" s="3238"/>
      <c r="R20" s="3238"/>
      <c r="S20" s="3238"/>
      <c r="T20" s="3238"/>
      <c r="U20" s="3238"/>
      <c r="V20" s="3238"/>
      <c r="W20" s="3238"/>
      <c r="X20" s="3238"/>
      <c r="Y20" s="3238"/>
      <c r="Z20" s="3238"/>
      <c r="AA20" s="3238"/>
      <c r="AB20" s="3238"/>
      <c r="AC20" s="3238"/>
      <c r="AD20" s="3238"/>
      <c r="AE20" s="3238"/>
      <c r="AF20" s="3238"/>
      <c r="AG20" s="3238"/>
      <c r="AH20" s="3238"/>
      <c r="AI20" s="3238"/>
      <c r="AJ20" s="3238"/>
      <c r="AK20" s="3238"/>
      <c r="AL20" s="3238"/>
      <c r="AM20" s="3238"/>
      <c r="AN20" s="3238"/>
      <c r="AO20" s="3238"/>
      <c r="AP20" s="3238"/>
      <c r="AQ20" s="3238"/>
      <c r="AR20" s="3238"/>
      <c r="AS20" s="3238"/>
      <c r="AT20" s="3238"/>
      <c r="AU20" s="3238"/>
      <c r="AV20" s="3238"/>
      <c r="AW20" s="3238"/>
      <c r="AX20" s="3238"/>
      <c r="AY20" s="3238"/>
      <c r="AZ20" s="3238"/>
      <c r="BA20" s="3238"/>
      <c r="BB20" s="3238"/>
      <c r="BC20" s="3238"/>
      <c r="BD20" s="3238"/>
      <c r="BE20" s="3238"/>
      <c r="BF20" s="3238"/>
      <c r="BG20" s="3238"/>
      <c r="BH20" s="3238"/>
      <c r="BI20" s="3238"/>
      <c r="BJ20" s="3238"/>
    </row>
    <row r="21" spans="1:62" s="3230" customFormat="1">
      <c r="A21" s="3758"/>
      <c r="B21" s="3236" t="s">
        <v>3046</v>
      </c>
      <c r="C21" s="3237">
        <f ca="1">ROUND(C17*0.25,0)</f>
        <v>9787</v>
      </c>
      <c r="D21" s="3237">
        <f>1-D20</f>
        <v>0.5</v>
      </c>
      <c r="E21" s="3719"/>
      <c r="F21" s="3713"/>
      <c r="G21" s="3713"/>
      <c r="H21" s="3713"/>
      <c r="I21" s="3713"/>
      <c r="J21" s="3238"/>
      <c r="K21" s="3238"/>
      <c r="L21" s="3238"/>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8"/>
      <c r="AK21" s="3238"/>
      <c r="AL21" s="3238"/>
      <c r="AM21" s="3238"/>
      <c r="AN21" s="3238"/>
      <c r="AO21" s="3238"/>
      <c r="AP21" s="3238"/>
      <c r="AQ21" s="3238"/>
      <c r="AR21" s="3238"/>
      <c r="AS21" s="3238"/>
      <c r="AT21" s="3238"/>
      <c r="AU21" s="3238"/>
      <c r="AV21" s="3238"/>
      <c r="AW21" s="3238"/>
      <c r="AX21" s="3238"/>
      <c r="AY21" s="3238"/>
      <c r="AZ21" s="3238"/>
      <c r="BA21" s="3238"/>
      <c r="BB21" s="3238"/>
      <c r="BC21" s="3238"/>
      <c r="BD21" s="3238"/>
      <c r="BE21" s="3238"/>
      <c r="BF21" s="3238"/>
      <c r="BG21" s="3238"/>
      <c r="BH21" s="3238"/>
      <c r="BI21" s="3238"/>
      <c r="BJ21" s="3238"/>
    </row>
    <row r="22" spans="1:62" ht="13.5" hidden="1" customHeight="1">
      <c r="A22" s="3753"/>
      <c r="B22" s="3214"/>
      <c r="C22" s="3212"/>
      <c r="D22" s="3212"/>
      <c r="E22" s="3718">
        <f t="shared" ref="E22" si="1">ROUND(C22*D22+C23*D23,0)</f>
        <v>0</v>
      </c>
      <c r="F22" s="3714"/>
      <c r="G22" s="3714"/>
      <c r="H22" s="3714"/>
      <c r="I22" s="3714"/>
    </row>
    <row r="23" spans="1:62" ht="13.5" hidden="1" customHeight="1">
      <c r="A23" s="3754"/>
      <c r="B23" s="3214"/>
      <c r="C23" s="3213"/>
      <c r="D23" s="3212"/>
      <c r="E23" s="3719"/>
      <c r="F23" s="3715"/>
      <c r="G23" s="3715"/>
      <c r="H23" s="3715"/>
      <c r="I23" s="3715"/>
    </row>
    <row r="24" spans="1:62" ht="15.75" hidden="1" customHeight="1">
      <c r="A24" s="3706" t="s">
        <v>3321</v>
      </c>
      <c r="B24" s="3222" t="s">
        <v>3319</v>
      </c>
      <c r="C24" s="3222">
        <f ca="1">'[3]基准地价-办公'!$C$29</f>
        <v>34943</v>
      </c>
      <c r="D24" s="3599">
        <v>0.5</v>
      </c>
      <c r="E24" s="3716">
        <f t="shared" ref="E24" ca="1" si="2">ROUND(C24*D24+C25*D25,0)</f>
        <v>37264</v>
      </c>
      <c r="F24" s="3706"/>
      <c r="G24" s="3706"/>
      <c r="H24" s="3706"/>
      <c r="I24" s="3706"/>
    </row>
    <row r="25" spans="1:62" ht="14.25" hidden="1" customHeight="1">
      <c r="A25" s="3707"/>
      <c r="B25" s="3222" t="s">
        <v>3320</v>
      </c>
      <c r="C25" s="3222">
        <f ca="1">'[3]剩余法-办公'!$B$3</f>
        <v>39585</v>
      </c>
      <c r="D25" s="3599">
        <v>0.5</v>
      </c>
      <c r="E25" s="3717"/>
      <c r="F25" s="3707"/>
      <c r="G25" s="3707"/>
      <c r="H25" s="3707"/>
      <c r="I25" s="3707"/>
    </row>
    <row r="26" spans="1:62" ht="24" customHeight="1">
      <c r="A26" s="3211"/>
      <c r="B26" s="3210"/>
    </row>
    <row r="29" spans="1:62" ht="19.5" thickBot="1">
      <c r="A29" s="3209" t="s">
        <v>3045</v>
      </c>
      <c r="D29" s="3190"/>
      <c r="H29" s="3742" t="s">
        <v>3044</v>
      </c>
      <c r="I29" s="3742"/>
      <c r="J29" s="3742"/>
      <c r="N29" s="3740"/>
      <c r="O29" s="3741"/>
      <c r="P29" s="3741"/>
      <c r="Q29" s="3741"/>
      <c r="R29" s="3741"/>
      <c r="S29" s="3741"/>
      <c r="T29" s="3741"/>
    </row>
    <row r="30" spans="1:62" s="3192" customFormat="1" ht="34.5" customHeight="1">
      <c r="A30" s="3735" t="s">
        <v>3039</v>
      </c>
      <c r="B30" s="3735" t="s">
        <v>3038</v>
      </c>
      <c r="C30" s="3208" t="s">
        <v>3043</v>
      </c>
      <c r="D30" s="3208" t="s">
        <v>3042</v>
      </c>
      <c r="E30" s="3208" t="s">
        <v>3031</v>
      </c>
      <c r="F30" s="3208" t="s">
        <v>3036</v>
      </c>
      <c r="G30" s="3195"/>
      <c r="H30" s="3735" t="s">
        <v>3039</v>
      </c>
      <c r="I30" s="3735" t="s">
        <v>3038</v>
      </c>
      <c r="J30" s="3208" t="s">
        <v>3037</v>
      </c>
      <c r="K30" s="3208" t="s">
        <v>3041</v>
      </c>
      <c r="L30" s="3735" t="s">
        <v>3040</v>
      </c>
      <c r="M30" s="3193"/>
      <c r="N30" s="3721"/>
      <c r="O30" s="3722"/>
      <c r="P30" s="3722"/>
      <c r="Q30" s="3590"/>
      <c r="R30" s="3590"/>
      <c r="S30" s="3590"/>
      <c r="T30" s="3590"/>
    </row>
    <row r="31" spans="1:62" s="3192" customFormat="1" ht="35.25" customHeight="1" thickBot="1">
      <c r="A31" s="3736"/>
      <c r="B31" s="3736"/>
      <c r="C31" s="3207" t="s">
        <v>3035</v>
      </c>
      <c r="D31" s="3207" t="s">
        <v>3034</v>
      </c>
      <c r="E31" s="3207" t="s">
        <v>3028</v>
      </c>
      <c r="F31" s="3207" t="s">
        <v>3029</v>
      </c>
      <c r="G31" s="3195"/>
      <c r="H31" s="3738"/>
      <c r="I31" s="3738"/>
      <c r="J31" s="3206" t="s">
        <v>3033</v>
      </c>
      <c r="K31" s="3206" t="s">
        <v>3032</v>
      </c>
      <c r="L31" s="3738"/>
      <c r="M31" s="3193"/>
      <c r="N31" s="3721"/>
      <c r="O31" s="3722"/>
      <c r="P31" s="3722"/>
      <c r="Q31" s="3590"/>
      <c r="R31" s="3590"/>
      <c r="S31" s="3590"/>
      <c r="T31" s="3590"/>
    </row>
    <row r="32" spans="1:62" s="3192" customFormat="1" ht="35.25" customHeight="1" thickBot="1">
      <c r="A32" s="3737"/>
      <c r="B32" s="3737"/>
      <c r="C32" s="3206" t="s">
        <v>3030</v>
      </c>
      <c r="D32" s="3206" t="s">
        <v>3029</v>
      </c>
      <c r="E32" s="3205"/>
      <c r="F32" s="3205"/>
      <c r="G32" s="3195"/>
      <c r="H32" s="3739" t="s">
        <v>2998</v>
      </c>
      <c r="I32" s="3197" t="str">
        <f>B33</f>
        <v>商业</v>
      </c>
      <c r="J32" s="3196">
        <f>I3</f>
        <v>1779.8</v>
      </c>
      <c r="K32" s="3196">
        <f ca="1">G14</f>
        <v>10118</v>
      </c>
      <c r="L32" s="3196">
        <f ca="1">ROUND(J32*K32/10000,2)</f>
        <v>1800.8</v>
      </c>
      <c r="M32" s="3193"/>
      <c r="N32" s="3721"/>
      <c r="O32" s="3722"/>
      <c r="P32" s="3722"/>
      <c r="Q32" s="3591"/>
      <c r="R32" s="3591"/>
      <c r="S32" s="3590"/>
      <c r="T32" s="3591"/>
    </row>
    <row r="33" spans="1:20" s="3192" customFormat="1" ht="63.75" customHeight="1" thickBot="1">
      <c r="A33" s="3723" t="s">
        <v>2998</v>
      </c>
      <c r="B33" s="3587" t="s">
        <v>3316</v>
      </c>
      <c r="C33" s="3196">
        <f>C2</f>
        <v>39900.839999999997</v>
      </c>
      <c r="D33" s="3196">
        <f ca="1">E14</f>
        <v>40471</v>
      </c>
      <c r="E33" s="3196">
        <f ca="1">F14</f>
        <v>7203.0285800000001</v>
      </c>
      <c r="F33" s="3196">
        <f ca="1">I14</f>
        <v>5952</v>
      </c>
      <c r="G33" s="3195"/>
      <c r="H33" s="3724"/>
      <c r="I33" s="3204" t="str">
        <f>B34</f>
        <v>地上办公</v>
      </c>
      <c r="J33" s="3200">
        <f>I2</f>
        <v>-1779.8000000000029</v>
      </c>
      <c r="K33" s="3200">
        <f ca="1">G12</f>
        <v>9316</v>
      </c>
      <c r="L33" s="3200">
        <f ca="1">ROUND(J33*K33/10000,2)</f>
        <v>-1658.06</v>
      </c>
      <c r="M33" s="3198"/>
      <c r="N33" s="3720"/>
      <c r="O33" s="3720"/>
      <c r="P33" s="3592"/>
      <c r="Q33" s="3593"/>
      <c r="R33" s="3594"/>
      <c r="S33" s="3595"/>
      <c r="T33" s="3595"/>
    </row>
    <row r="34" spans="1:20" s="3192" customFormat="1" ht="57" customHeight="1" thickBot="1">
      <c r="A34" s="3724"/>
      <c r="B34" s="3587" t="s">
        <v>3317</v>
      </c>
      <c r="C34" s="3196">
        <f>C3</f>
        <v>1779.8</v>
      </c>
      <c r="D34" s="3203">
        <f ca="1">E16</f>
        <v>36117</v>
      </c>
      <c r="E34" s="3203">
        <f ca="1">F16</f>
        <v>144109.86379999999</v>
      </c>
      <c r="F34" s="3196">
        <f ca="1">I16</f>
        <v>5311</v>
      </c>
      <c r="G34" s="3195"/>
      <c r="H34" s="3723" t="s">
        <v>2999</v>
      </c>
      <c r="I34" s="3202" t="str">
        <f>B35</f>
        <v>地下办公</v>
      </c>
      <c r="J34" s="3201">
        <v>0</v>
      </c>
      <c r="K34" s="3196">
        <f ca="1">G18</f>
        <v>2887</v>
      </c>
      <c r="L34" s="3196">
        <f ca="1">ROUND(J34*K34/10000,2)</f>
        <v>0</v>
      </c>
      <c r="M34" s="3193"/>
      <c r="N34" s="3720"/>
      <c r="O34" s="3720"/>
      <c r="P34" s="3592"/>
      <c r="Q34" s="3596"/>
      <c r="R34" s="3594"/>
      <c r="S34" s="3597"/>
      <c r="T34" s="3595"/>
    </row>
    <row r="35" spans="1:20" s="3192" customFormat="1" ht="36" customHeight="1" thickBot="1">
      <c r="A35" s="3723" t="s">
        <v>2999</v>
      </c>
      <c r="B35" s="3730" t="s">
        <v>3318</v>
      </c>
      <c r="C35" s="3728">
        <f>C5</f>
        <v>2822.18</v>
      </c>
      <c r="D35" s="3728">
        <f ca="1">E18</f>
        <v>11548</v>
      </c>
      <c r="E35" s="3728">
        <f ca="1">F18</f>
        <v>3259.0535</v>
      </c>
      <c r="F35" s="3728">
        <f ca="1">I18</f>
        <v>1698</v>
      </c>
      <c r="G35" s="3195"/>
      <c r="H35" s="3724"/>
      <c r="I35" s="3199" t="str">
        <f>B37</f>
        <v>地下车库</v>
      </c>
      <c r="J35" s="3588">
        <v>0</v>
      </c>
      <c r="K35" s="3200">
        <f ca="1">G20</f>
        <v>2406</v>
      </c>
      <c r="L35" s="3200">
        <v>0</v>
      </c>
      <c r="M35" s="3193"/>
      <c r="N35" s="3592"/>
      <c r="O35" s="3592"/>
      <c r="P35" s="3592"/>
      <c r="Q35" s="3593"/>
      <c r="R35" s="3594"/>
      <c r="S35" s="3595"/>
      <c r="T35" s="3595"/>
    </row>
    <row r="36" spans="1:20" s="3192" customFormat="1" ht="22.5" customHeight="1" thickBot="1">
      <c r="A36" s="3725"/>
      <c r="B36" s="3731"/>
      <c r="C36" s="3729"/>
      <c r="D36" s="3729"/>
      <c r="E36" s="3729"/>
      <c r="F36" s="3729">
        <f>ROUND(D36/1.33,0)</f>
        <v>0</v>
      </c>
      <c r="G36" s="3195"/>
      <c r="H36" s="3732" t="s">
        <v>24</v>
      </c>
      <c r="I36" s="3733"/>
      <c r="J36" s="3733"/>
      <c r="K36" s="3734"/>
      <c r="L36" s="3589">
        <f ca="1">L32+L33+L34</f>
        <v>142.74</v>
      </c>
      <c r="M36" s="3198"/>
      <c r="N36" s="3720"/>
      <c r="O36" s="3720"/>
      <c r="P36" s="3720"/>
      <c r="Q36" s="3596"/>
      <c r="R36" s="3594"/>
      <c r="S36" s="3597"/>
      <c r="T36" s="3595"/>
    </row>
    <row r="37" spans="1:20" s="3192" customFormat="1" ht="40.5" customHeight="1" thickBot="1">
      <c r="A37" s="3724"/>
      <c r="B37" s="3587" t="s">
        <v>3027</v>
      </c>
      <c r="C37" s="3196">
        <f>C6</f>
        <v>15122.64</v>
      </c>
      <c r="D37" s="3196">
        <f ca="1">E20</f>
        <v>9623</v>
      </c>
      <c r="E37" s="3196">
        <f ca="1">F20</f>
        <v>14552.5165</v>
      </c>
      <c r="F37" s="3196">
        <f ca="1">I20</f>
        <v>1415</v>
      </c>
      <c r="G37" s="3195"/>
      <c r="H37" s="3195"/>
      <c r="I37" s="3195"/>
      <c r="J37" s="3195"/>
      <c r="K37" s="3195"/>
      <c r="L37" s="3195"/>
      <c r="M37" s="3193"/>
      <c r="N37" s="3598"/>
      <c r="O37" s="3598"/>
      <c r="P37" s="3598"/>
      <c r="Q37" s="3598"/>
      <c r="R37" s="3598"/>
      <c r="S37" s="3598"/>
      <c r="T37" s="3598"/>
    </row>
    <row r="38" spans="1:20" s="3192" customFormat="1" ht="24.75" customHeight="1" thickBot="1">
      <c r="A38" s="3726" t="s">
        <v>24</v>
      </c>
      <c r="B38" s="3727"/>
      <c r="C38" s="3196">
        <f>SUM(C33:C37)</f>
        <v>59625.46</v>
      </c>
      <c r="D38" s="3196" t="s">
        <v>2818</v>
      </c>
      <c r="E38" s="3196">
        <f ca="1">SUM(E33:E37)</f>
        <v>169124.46238000001</v>
      </c>
      <c r="F38" s="3194" t="s">
        <v>2818</v>
      </c>
      <c r="M38" s="3193"/>
      <c r="P38" s="3190"/>
      <c r="Q38" s="3190"/>
      <c r="R38" s="3190"/>
    </row>
    <row r="39" spans="1:20" ht="15" customHeight="1">
      <c r="D39" s="3190"/>
      <c r="I39" s="3191"/>
      <c r="J39" s="3191"/>
      <c r="K39" s="3191"/>
      <c r="L39" s="3191"/>
    </row>
    <row r="44" spans="1:20">
      <c r="A44" s="3700" t="s">
        <v>3323</v>
      </c>
      <c r="B44" s="3700"/>
      <c r="C44" s="3700"/>
      <c r="D44" s="3700"/>
      <c r="E44" s="3700"/>
      <c r="F44" s="3700"/>
      <c r="G44" s="3700"/>
      <c r="H44" s="3700"/>
      <c r="I44" s="3700"/>
    </row>
    <row r="45" spans="1:20" ht="14.25" thickBot="1">
      <c r="A45" s="3700"/>
      <c r="B45" s="3700"/>
      <c r="C45" s="3700"/>
      <c r="D45" s="3700"/>
      <c r="E45" s="3700"/>
      <c r="F45" s="3700"/>
      <c r="G45" s="3700"/>
      <c r="H45" s="3700"/>
      <c r="I45" s="3700"/>
    </row>
    <row r="46" spans="1:20" ht="14.25" thickBot="1">
      <c r="A46" s="3701" t="s">
        <v>3039</v>
      </c>
      <c r="B46" s="3701" t="s">
        <v>3038</v>
      </c>
      <c r="C46" s="3701" t="s">
        <v>3324</v>
      </c>
      <c r="D46" s="3701" t="s">
        <v>3325</v>
      </c>
      <c r="E46" s="3702" t="s">
        <v>3326</v>
      </c>
      <c r="F46" s="3702" t="s">
        <v>3327</v>
      </c>
      <c r="G46" s="3702" t="s">
        <v>3328</v>
      </c>
      <c r="H46" s="3701" t="s">
        <v>3329</v>
      </c>
      <c r="I46" s="3705"/>
    </row>
    <row r="47" spans="1:20" ht="14.25" thickBot="1">
      <c r="A47" s="3701"/>
      <c r="B47" s="3701"/>
      <c r="C47" s="3701"/>
      <c r="D47" s="3701"/>
      <c r="E47" s="3703"/>
      <c r="F47" s="3703"/>
      <c r="G47" s="3703"/>
      <c r="H47" s="3701"/>
      <c r="I47" s="3705"/>
    </row>
    <row r="48" spans="1:20" ht="14.25" thickBot="1">
      <c r="A48" s="3701"/>
      <c r="B48" s="3701"/>
      <c r="C48" s="3701"/>
      <c r="D48" s="3701"/>
      <c r="E48" s="3704"/>
      <c r="F48" s="3704"/>
      <c r="G48" s="3704"/>
      <c r="H48" s="3701"/>
      <c r="I48" s="3705"/>
    </row>
    <row r="49" spans="1:9" ht="15.75" hidden="1" thickBot="1">
      <c r="A49" s="3699" t="s">
        <v>2998</v>
      </c>
      <c r="B49" s="3606" t="s">
        <v>3330</v>
      </c>
      <c r="C49" s="3607"/>
      <c r="D49" s="3607"/>
      <c r="E49" s="3608"/>
      <c r="F49" s="3609"/>
      <c r="G49" s="3607"/>
      <c r="H49" s="3607"/>
      <c r="I49" s="3610"/>
    </row>
    <row r="50" spans="1:9" ht="15.75" thickBot="1">
      <c r="A50" s="3699"/>
      <c r="B50" s="3606" t="s">
        <v>3332</v>
      </c>
      <c r="C50" s="3607">
        <f>C3</f>
        <v>1779.8</v>
      </c>
      <c r="D50" s="3607">
        <f ca="1">G14</f>
        <v>10118</v>
      </c>
      <c r="E50" s="3608"/>
      <c r="F50" s="3609"/>
      <c r="G50" s="3607"/>
      <c r="H50" s="3607"/>
      <c r="I50" s="3610"/>
    </row>
    <row r="51" spans="1:9" ht="15.75" thickBot="1">
      <c r="A51" s="3699"/>
      <c r="B51" s="3606" t="s">
        <v>3333</v>
      </c>
      <c r="C51" s="3607">
        <f>C2</f>
        <v>39900.839999999997</v>
      </c>
      <c r="D51" s="3607">
        <f ca="1">G16</f>
        <v>9029</v>
      </c>
      <c r="E51" s="3608"/>
      <c r="F51" s="3609"/>
      <c r="G51" s="3607"/>
      <c r="H51" s="3607"/>
      <c r="I51" s="3610"/>
    </row>
    <row r="52" spans="1:9" ht="15.75" thickBot="1">
      <c r="A52" s="3699" t="s">
        <v>3331</v>
      </c>
      <c r="B52" s="3606" t="s">
        <v>3334</v>
      </c>
      <c r="C52" s="3607">
        <f>C5</f>
        <v>2822.18</v>
      </c>
      <c r="D52" s="3607">
        <f ca="1">G18</f>
        <v>2887</v>
      </c>
      <c r="E52" s="3608"/>
      <c r="F52" s="3609"/>
      <c r="G52" s="3607"/>
      <c r="H52" s="3607"/>
      <c r="I52" s="3610"/>
    </row>
    <row r="53" spans="1:9" ht="15.75" thickBot="1">
      <c r="A53" s="3699"/>
      <c r="B53" s="3606" t="s">
        <v>3335</v>
      </c>
      <c r="C53" s="3607">
        <f>C6</f>
        <v>15122.64</v>
      </c>
      <c r="D53" s="3607">
        <f ca="1">G20</f>
        <v>2406</v>
      </c>
      <c r="E53" s="3608"/>
      <c r="F53" s="3609"/>
      <c r="G53" s="3607"/>
      <c r="H53" s="3607"/>
      <c r="I53" s="3610"/>
    </row>
    <row r="54" spans="1:9" ht="15.75" thickBot="1">
      <c r="A54" s="3699" t="s">
        <v>24</v>
      </c>
      <c r="B54" s="3699"/>
      <c r="C54" s="3607"/>
      <c r="D54" s="3607"/>
      <c r="E54" s="3607"/>
      <c r="F54" s="3607"/>
      <c r="G54" s="3607"/>
      <c r="H54" s="3607"/>
      <c r="I54" s="3610"/>
    </row>
  </sheetData>
  <mergeCells count="88">
    <mergeCell ref="E1:G1"/>
    <mergeCell ref="A1:C1"/>
    <mergeCell ref="A2:A3"/>
    <mergeCell ref="A4:B4"/>
    <mergeCell ref="E4:F4"/>
    <mergeCell ref="A5:A6"/>
    <mergeCell ref="A7:B7"/>
    <mergeCell ref="F22:F23"/>
    <mergeCell ref="F20:F21"/>
    <mergeCell ref="F18:F19"/>
    <mergeCell ref="F16:F17"/>
    <mergeCell ref="A22:A23"/>
    <mergeCell ref="E22:E23"/>
    <mergeCell ref="E18:E19"/>
    <mergeCell ref="F14:F15"/>
    <mergeCell ref="A20:A21"/>
    <mergeCell ref="A16:A17"/>
    <mergeCell ref="E16:E17"/>
    <mergeCell ref="A14:A15"/>
    <mergeCell ref="E14:E15"/>
    <mergeCell ref="A18:A19"/>
    <mergeCell ref="N29:T29"/>
    <mergeCell ref="H29:J29"/>
    <mergeCell ref="E2:E3"/>
    <mergeCell ref="E7:F7"/>
    <mergeCell ref="E5:E6"/>
    <mergeCell ref="H16:H17"/>
    <mergeCell ref="I14:I15"/>
    <mergeCell ref="I16:I17"/>
    <mergeCell ref="I18:I19"/>
    <mergeCell ref="I20:I21"/>
    <mergeCell ref="I22:I23"/>
    <mergeCell ref="G14:G15"/>
    <mergeCell ref="H14:H15"/>
    <mergeCell ref="G18:G19"/>
    <mergeCell ref="H18:H19"/>
    <mergeCell ref="G16:G17"/>
    <mergeCell ref="A30:A32"/>
    <mergeCell ref="B30:B32"/>
    <mergeCell ref="H30:H31"/>
    <mergeCell ref="I30:I31"/>
    <mergeCell ref="L30:L31"/>
    <mergeCell ref="H32:H33"/>
    <mergeCell ref="H34:H35"/>
    <mergeCell ref="A35:A37"/>
    <mergeCell ref="A38:B38"/>
    <mergeCell ref="C35:C36"/>
    <mergeCell ref="D35:D36"/>
    <mergeCell ref="E35:E36"/>
    <mergeCell ref="F35:F36"/>
    <mergeCell ref="B35:B36"/>
    <mergeCell ref="H36:K36"/>
    <mergeCell ref="A33:A34"/>
    <mergeCell ref="O33:O34"/>
    <mergeCell ref="N36:P36"/>
    <mergeCell ref="N30:N32"/>
    <mergeCell ref="O30:P32"/>
    <mergeCell ref="N33:N34"/>
    <mergeCell ref="A24:A25"/>
    <mergeCell ref="E24:E25"/>
    <mergeCell ref="F24:F25"/>
    <mergeCell ref="A12:A13"/>
    <mergeCell ref="E12:E13"/>
    <mergeCell ref="F12:F13"/>
    <mergeCell ref="E20:E21"/>
    <mergeCell ref="G24:G25"/>
    <mergeCell ref="H24:H25"/>
    <mergeCell ref="I24:I25"/>
    <mergeCell ref="G12:G13"/>
    <mergeCell ref="H12:H13"/>
    <mergeCell ref="I12:I13"/>
    <mergeCell ref="G20:G21"/>
    <mergeCell ref="H20:H21"/>
    <mergeCell ref="G22:G23"/>
    <mergeCell ref="H22:H23"/>
    <mergeCell ref="A49:A51"/>
    <mergeCell ref="A52:A53"/>
    <mergeCell ref="A54:B54"/>
    <mergeCell ref="A44:I45"/>
    <mergeCell ref="A46:A48"/>
    <mergeCell ref="B46:B48"/>
    <mergeCell ref="C46:C48"/>
    <mergeCell ref="D46:D48"/>
    <mergeCell ref="E46:E48"/>
    <mergeCell ref="F46:F48"/>
    <mergeCell ref="G46:G48"/>
    <mergeCell ref="H46:H48"/>
    <mergeCell ref="I46:I48"/>
  </mergeCells>
  <phoneticPr fontId="228"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27" sqref="E27"/>
    </sheetView>
  </sheetViews>
  <sheetFormatPr defaultRowHeight="13.5"/>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5" sqref="E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t="s">
        <v>3240</v>
      </c>
      <c r="E1" s="1804" t="s">
        <v>2058</v>
      </c>
      <c r="F1" s="1806" t="s">
        <v>3020</v>
      </c>
      <c r="G1" s="311"/>
      <c r="H1" s="311"/>
      <c r="I1" s="311"/>
      <c r="J1" s="2028"/>
      <c r="K1" s="2028"/>
      <c r="L1" s="2028"/>
      <c r="M1" s="2028"/>
      <c r="N1" s="2028"/>
      <c r="O1" s="2028"/>
      <c r="P1" s="2028"/>
      <c r="Q1" s="2028"/>
      <c r="R1" s="2028"/>
      <c r="S1" s="2028"/>
      <c r="T1" s="2028"/>
      <c r="U1" s="2028"/>
      <c r="V1" s="2028"/>
    </row>
    <row r="2" spans="1:22" ht="21.75" customHeight="1" thickBot="1">
      <c r="A2" s="3808" t="str">
        <f>项目基本情况!K2</f>
        <v>北京市出让国有建设用地使用权</v>
      </c>
      <c r="B2" s="3809"/>
      <c r="C2" s="3810"/>
      <c r="D2" s="3810"/>
      <c r="E2" s="3810"/>
      <c r="F2" s="3810"/>
      <c r="G2" s="3809"/>
      <c r="H2" s="3809"/>
      <c r="I2" s="3811"/>
      <c r="J2" s="2029"/>
      <c r="K2" s="2028"/>
      <c r="L2" s="2028"/>
      <c r="M2" s="2028"/>
      <c r="N2" s="2028"/>
      <c r="O2" s="2028"/>
      <c r="P2" s="2028"/>
      <c r="Q2" s="2028"/>
      <c r="R2" s="2028"/>
      <c r="S2" s="2028"/>
      <c r="T2" s="2028"/>
      <c r="U2" s="2028"/>
      <c r="V2" s="2028"/>
    </row>
    <row r="3" spans="1:22" ht="14.25">
      <c r="A3" s="3801" t="s">
        <v>298</v>
      </c>
      <c r="B3" s="3802"/>
      <c r="C3" s="3802"/>
      <c r="D3" s="3802"/>
      <c r="E3" s="3802"/>
      <c r="F3" s="3802"/>
      <c r="G3" s="3802"/>
      <c r="H3" s="3802"/>
      <c r="I3" s="3802"/>
      <c r="J3" s="2029"/>
      <c r="K3" s="2028"/>
      <c r="L3" s="2028"/>
      <c r="M3" s="2028"/>
      <c r="N3" s="2028"/>
      <c r="O3" s="2028"/>
      <c r="P3" s="2028"/>
      <c r="Q3" s="2028"/>
      <c r="R3" s="2028"/>
      <c r="S3" s="2028"/>
      <c r="T3" s="2028"/>
      <c r="U3" s="2028"/>
      <c r="V3" s="2028"/>
    </row>
    <row r="4" spans="1:22" ht="14.25">
      <c r="A4" s="258" t="s">
        <v>299</v>
      </c>
      <c r="B4" s="259" t="s">
        <v>300</v>
      </c>
      <c r="C4" s="260" t="s">
        <v>3023</v>
      </c>
      <c r="D4" s="260" t="s">
        <v>3018</v>
      </c>
      <c r="E4" s="3773" t="s">
        <v>301</v>
      </c>
      <c r="F4" s="3774"/>
      <c r="G4" s="3774"/>
      <c r="H4" s="3774"/>
      <c r="I4" s="3803"/>
      <c r="J4" s="2029"/>
      <c r="K4" s="2028"/>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收益法</v>
      </c>
      <c r="N4" s="2028"/>
      <c r="O4" s="2028"/>
      <c r="P4" s="2028"/>
      <c r="Q4" s="2028"/>
      <c r="R4" s="2028"/>
      <c r="S4" s="2028"/>
      <c r="T4" s="2028"/>
      <c r="U4" s="2028"/>
      <c r="V4" s="2028"/>
    </row>
    <row r="5" spans="1:22" ht="14.25">
      <c r="A5" s="3772" t="s">
        <v>302</v>
      </c>
      <c r="B5" s="3798">
        <v>25</v>
      </c>
      <c r="C5" s="3796">
        <v>50</v>
      </c>
      <c r="D5" s="3800">
        <f>100-C5</f>
        <v>50</v>
      </c>
      <c r="E5" s="261" t="s">
        <v>303</v>
      </c>
      <c r="F5" s="262"/>
      <c r="G5" s="262"/>
      <c r="H5" s="262"/>
      <c r="I5" s="263"/>
      <c r="J5" s="2029"/>
      <c r="K5" s="2028"/>
      <c r="L5" s="2028"/>
      <c r="M5" s="2028"/>
      <c r="N5" s="2028"/>
      <c r="O5" s="2028"/>
      <c r="P5" s="2028"/>
      <c r="Q5" s="2028"/>
      <c r="R5" s="2028"/>
      <c r="S5" s="2028"/>
      <c r="T5" s="2028"/>
      <c r="U5" s="2028"/>
      <c r="V5" s="2028"/>
    </row>
    <row r="6" spans="1:22" ht="14.25">
      <c r="A6" s="3772"/>
      <c r="B6" s="3798"/>
      <c r="C6" s="3799"/>
      <c r="D6" s="3800"/>
      <c r="E6" s="261" t="s">
        <v>304</v>
      </c>
      <c r="F6" s="262"/>
      <c r="G6" s="262"/>
      <c r="H6" s="262"/>
      <c r="I6" s="263"/>
      <c r="J6" s="2029"/>
      <c r="K6" s="2028"/>
      <c r="L6" s="2028"/>
      <c r="M6" s="2028"/>
      <c r="N6" s="2028"/>
      <c r="O6" s="2028"/>
      <c r="P6" s="2028"/>
      <c r="Q6" s="2028"/>
      <c r="R6" s="2028"/>
      <c r="S6" s="2028"/>
      <c r="T6" s="2028"/>
      <c r="U6" s="2028"/>
      <c r="V6" s="2028"/>
    </row>
    <row r="7" spans="1:22" ht="14.25">
      <c r="A7" s="3772"/>
      <c r="B7" s="3798"/>
      <c r="C7" s="3797"/>
      <c r="D7" s="3800"/>
      <c r="E7" s="261" t="s">
        <v>305</v>
      </c>
      <c r="F7" s="262"/>
      <c r="G7" s="262"/>
      <c r="H7" s="262"/>
      <c r="I7" s="263"/>
      <c r="J7" s="2029"/>
      <c r="K7" s="2028"/>
      <c r="L7" s="2028"/>
      <c r="M7" s="2028"/>
      <c r="N7" s="2028"/>
      <c r="O7" s="2028"/>
      <c r="P7" s="2028"/>
      <c r="Q7" s="2028"/>
      <c r="R7" s="2028"/>
      <c r="S7" s="2028"/>
      <c r="T7" s="2028"/>
      <c r="U7" s="2028"/>
      <c r="V7" s="2028"/>
    </row>
    <row r="8" spans="1:22" ht="14.25">
      <c r="A8" s="3772" t="s">
        <v>306</v>
      </c>
      <c r="B8" s="3798">
        <v>15</v>
      </c>
      <c r="C8" s="3796"/>
      <c r="D8" s="3800"/>
      <c r="E8" s="261" t="s">
        <v>307</v>
      </c>
      <c r="F8" s="262"/>
      <c r="G8" s="262"/>
      <c r="H8" s="262"/>
      <c r="I8" s="263"/>
      <c r="J8" s="2029"/>
      <c r="K8" s="2028"/>
      <c r="L8" s="2028"/>
      <c r="M8" s="2028"/>
      <c r="N8" s="2028"/>
      <c r="O8" s="2028"/>
      <c r="P8" s="2028"/>
      <c r="Q8" s="2028"/>
      <c r="R8" s="2028"/>
      <c r="S8" s="2028"/>
      <c r="T8" s="2028"/>
      <c r="U8" s="2028"/>
      <c r="V8" s="2028"/>
    </row>
    <row r="9" spans="1:22" ht="14.25">
      <c r="A9" s="3772"/>
      <c r="B9" s="3798"/>
      <c r="C9" s="3797"/>
      <c r="D9" s="3800"/>
      <c r="E9" s="261" t="s">
        <v>308</v>
      </c>
      <c r="F9" s="262"/>
      <c r="G9" s="262"/>
      <c r="H9" s="262"/>
      <c r="I9" s="263"/>
      <c r="J9" s="2029"/>
      <c r="K9" s="2028"/>
      <c r="L9" s="2028"/>
      <c r="M9" s="2028"/>
      <c r="N9" s="2028"/>
      <c r="O9" s="2028"/>
      <c r="P9" s="2028"/>
      <c r="Q9" s="2028"/>
      <c r="R9" s="2028"/>
      <c r="S9" s="2028"/>
      <c r="T9" s="2028"/>
      <c r="U9" s="2028"/>
      <c r="V9" s="2028"/>
    </row>
    <row r="10" spans="1:22" ht="14.25">
      <c r="A10" s="3772" t="s">
        <v>309</v>
      </c>
      <c r="B10" s="3798">
        <v>15</v>
      </c>
      <c r="C10" s="3796"/>
      <c r="D10" s="3800"/>
      <c r="E10" s="261" t="s">
        <v>310</v>
      </c>
      <c r="F10" s="262"/>
      <c r="G10" s="262"/>
      <c r="H10" s="262"/>
      <c r="I10" s="263"/>
      <c r="J10" s="2029"/>
      <c r="K10" s="2028"/>
      <c r="L10" s="2028"/>
      <c r="M10" s="2028"/>
      <c r="N10" s="2028"/>
      <c r="O10" s="2028"/>
      <c r="P10" s="2028"/>
      <c r="Q10" s="2028"/>
      <c r="R10" s="2028"/>
      <c r="S10" s="2028"/>
      <c r="T10" s="2028"/>
      <c r="U10" s="2028"/>
      <c r="V10" s="2028"/>
    </row>
    <row r="11" spans="1:22" ht="14.25">
      <c r="A11" s="3772"/>
      <c r="B11" s="3798"/>
      <c r="C11" s="3797"/>
      <c r="D11" s="3800"/>
      <c r="E11" s="261" t="s">
        <v>311</v>
      </c>
      <c r="F11" s="262"/>
      <c r="G11" s="262"/>
      <c r="H11" s="262"/>
      <c r="I11" s="263"/>
      <c r="J11" s="2029"/>
      <c r="K11" s="2028"/>
      <c r="L11" s="2028"/>
      <c r="M11" s="2028"/>
      <c r="N11" s="2028"/>
      <c r="O11" s="2028"/>
      <c r="P11" s="2028"/>
      <c r="Q11" s="2028"/>
      <c r="R11" s="2028"/>
      <c r="S11" s="2028"/>
      <c r="T11" s="2028"/>
      <c r="U11" s="2028"/>
      <c r="V11" s="2028"/>
    </row>
    <row r="12" spans="1:22" ht="14.25">
      <c r="A12" s="3772" t="s">
        <v>312</v>
      </c>
      <c r="B12" s="3798">
        <v>15</v>
      </c>
      <c r="C12" s="3796"/>
      <c r="D12" s="3800"/>
      <c r="E12" s="261" t="s">
        <v>313</v>
      </c>
      <c r="F12" s="262"/>
      <c r="G12" s="262"/>
      <c r="H12" s="262"/>
      <c r="I12" s="263"/>
      <c r="J12" s="2029"/>
      <c r="K12" s="2028"/>
      <c r="L12" s="2028"/>
      <c r="M12" s="2028"/>
      <c r="N12" s="2028"/>
      <c r="O12" s="2028"/>
      <c r="P12" s="2028"/>
      <c r="Q12" s="2028"/>
      <c r="R12" s="2028"/>
      <c r="S12" s="2028"/>
      <c r="T12" s="2028"/>
      <c r="U12" s="2028"/>
      <c r="V12" s="2028"/>
    </row>
    <row r="13" spans="1:22" ht="14.25">
      <c r="A13" s="3772"/>
      <c r="B13" s="3798"/>
      <c r="C13" s="3797"/>
      <c r="D13" s="3800"/>
      <c r="E13" s="261" t="s">
        <v>314</v>
      </c>
      <c r="F13" s="262"/>
      <c r="G13" s="262"/>
      <c r="H13" s="262"/>
      <c r="I13" s="263"/>
      <c r="J13" s="2029"/>
      <c r="K13" s="2028"/>
      <c r="L13" s="2028"/>
      <c r="M13" s="2028"/>
      <c r="N13" s="2028"/>
      <c r="O13" s="2028"/>
      <c r="P13" s="2028"/>
      <c r="Q13" s="2028"/>
      <c r="R13" s="2028"/>
      <c r="S13" s="2028"/>
      <c r="T13" s="2028"/>
      <c r="U13" s="2028"/>
      <c r="V13" s="2028"/>
    </row>
    <row r="14" spans="1:22" ht="14.25">
      <c r="A14" s="3772" t="s">
        <v>315</v>
      </c>
      <c r="B14" s="3798">
        <v>30</v>
      </c>
      <c r="C14" s="3796"/>
      <c r="D14" s="3800"/>
      <c r="E14" s="261" t="s">
        <v>316</v>
      </c>
      <c r="F14" s="262"/>
      <c r="G14" s="262"/>
      <c r="H14" s="262"/>
      <c r="I14" s="263"/>
      <c r="J14" s="2029"/>
      <c r="K14" s="2028"/>
      <c r="L14" s="2028"/>
      <c r="M14" s="2028"/>
      <c r="N14" s="2028"/>
      <c r="O14" s="2028"/>
      <c r="P14" s="2028"/>
      <c r="Q14" s="2028"/>
      <c r="R14" s="2028"/>
      <c r="S14" s="2028"/>
      <c r="T14" s="2028"/>
      <c r="U14" s="2028"/>
      <c r="V14" s="2028"/>
    </row>
    <row r="15" spans="1:22" ht="14.25">
      <c r="A15" s="3772"/>
      <c r="B15" s="3798"/>
      <c r="C15" s="3799"/>
      <c r="D15" s="3800"/>
      <c r="E15" s="261" t="s">
        <v>317</v>
      </c>
      <c r="F15" s="262"/>
      <c r="G15" s="262"/>
      <c r="H15" s="262"/>
      <c r="I15" s="263"/>
      <c r="J15" s="2029"/>
      <c r="K15" s="2028"/>
      <c r="L15" s="2028"/>
      <c r="M15" s="2028"/>
      <c r="N15" s="2028"/>
      <c r="O15" s="2028"/>
      <c r="P15" s="2028"/>
      <c r="Q15" s="2028"/>
      <c r="R15" s="2028"/>
      <c r="S15" s="2028"/>
      <c r="T15" s="2028"/>
      <c r="U15" s="2028"/>
      <c r="V15" s="2028"/>
    </row>
    <row r="16" spans="1:22" ht="14.25">
      <c r="A16" s="3772"/>
      <c r="B16" s="3798"/>
      <c r="C16" s="3797"/>
      <c r="D16" s="380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6819</v>
      </c>
      <c r="D19" s="271">
        <f ca="1">SUMIF(INDIRECT("'"&amp;D4&amp;"'"&amp;"!A:A"),结果表!B19,INDIRECT("'"&amp;D4&amp;"'"&amp;"!B:B"))</f>
        <v>7222</v>
      </c>
      <c r="E19" s="268" t="s">
        <v>323</v>
      </c>
      <c r="F19" s="269" t="s">
        <v>322</v>
      </c>
      <c r="G19" s="272">
        <f ca="1">ROUND(C19*$C$18+D19*$D$18,0)</f>
        <v>7021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38313</v>
      </c>
      <c r="D20" s="277">
        <f ca="1">SUMIF(INDIRECT("'"&amp;D4&amp;"'"&amp;"!A:A"),结果表!B20,INDIRECT("'"&amp;D4&amp;"'"&amp;"!B:B"))</f>
        <v>0</v>
      </c>
      <c r="E20" s="274"/>
      <c r="F20" s="275" t="s">
        <v>325</v>
      </c>
      <c r="G20" s="278">
        <f ca="1">ROUND(C20*$C$18+D20*$D$18,0)</f>
        <v>19157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372664</v>
      </c>
      <c r="D21" s="151">
        <f ca="1">SUMIF(INDIRECT("'"&amp;D4&amp;"'"&amp;"!A:A"),结果表!B21,INDIRECT("'"&amp;D4&amp;"'"&amp;"!B:B"))</f>
        <v>0</v>
      </c>
      <c r="E21" s="274"/>
      <c r="F21" s="280" t="s">
        <v>327</v>
      </c>
      <c r="G21" s="282">
        <f ca="1">ROUND(C21*$C$18+D21*$D$18,0)</f>
        <v>186332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5.9099574717700554E-2</v>
      </c>
      <c r="E22" s="284"/>
      <c r="F22" s="285"/>
      <c r="G22" s="286">
        <f ca="1">ROUND(G19/('数据-汇总表'!D3/666.67),0)</f>
        <v>764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77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79"/>
      <c r="B25" s="1321" t="s">
        <v>331</v>
      </c>
      <c r="C25" s="290">
        <f>IF(B30=0,0,C30)</f>
        <v>0</v>
      </c>
      <c r="D25" s="291"/>
      <c r="E25" s="311"/>
      <c r="F25" s="311"/>
      <c r="G25" s="311"/>
      <c r="H25" s="311"/>
      <c r="I25" s="311"/>
      <c r="J25" s="2028"/>
      <c r="K25" s="1255" t="str">
        <f ca="1">项目基本情况!B16&amp;"国有建设用地使用权价格："&amp;O38&amp;"万元"</f>
        <v>出让国有建设用地使用权价格：7021万元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大写金额：人民币柒仟零贰拾壹万元整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单位面积地价：11453元/平方米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楼面地价：1178元/平方米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05" t="s">
        <v>336</v>
      </c>
      <c r="B30" s="309"/>
      <c r="C30" s="309"/>
      <c r="D30" s="310"/>
      <c r="E30" s="3106" t="s">
        <v>2970</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7021</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1178</v>
      </c>
      <c r="D33" s="1385" t="s">
        <v>1692</v>
      </c>
      <c r="E33" s="3778"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11453</v>
      </c>
      <c r="D34" s="1387" t="s">
        <v>1692</v>
      </c>
      <c r="E34" s="3819"/>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764</v>
      </c>
      <c r="D35" s="1390" t="s">
        <v>1694</v>
      </c>
      <c r="E35" s="3820"/>
      <c r="F35" s="301" t="s">
        <v>342</v>
      </c>
      <c r="G35" s="982"/>
      <c r="H35" s="981" t="s">
        <v>343</v>
      </c>
      <c r="I35" s="311"/>
      <c r="J35" s="2028"/>
      <c r="K35" s="3793" t="s">
        <v>350</v>
      </c>
      <c r="L35" s="3793" t="s">
        <v>351</v>
      </c>
      <c r="M35" s="1264" t="s">
        <v>352</v>
      </c>
      <c r="N35" s="3793" t="s">
        <v>353</v>
      </c>
      <c r="O35" s="3793" t="s">
        <v>354</v>
      </c>
      <c r="P35" s="2028"/>
      <c r="V35" s="2028"/>
    </row>
    <row r="36" spans="1:26" ht="16.5" customHeight="1">
      <c r="A36" s="303" t="s">
        <v>344</v>
      </c>
      <c r="B36" s="304" t="s">
        <v>333</v>
      </c>
      <c r="C36" s="305" t="s">
        <v>345</v>
      </c>
      <c r="D36" s="305" t="s">
        <v>346</v>
      </c>
      <c r="E36" s="306" t="s">
        <v>347</v>
      </c>
      <c r="F36" s="311"/>
      <c r="G36" s="311"/>
      <c r="H36" s="311"/>
      <c r="I36" s="311"/>
      <c r="J36" s="2030"/>
      <c r="K36" s="3794"/>
      <c r="L36" s="3794"/>
      <c r="M36" s="1266" t="s">
        <v>355</v>
      </c>
      <c r="N36" s="3794"/>
      <c r="O36" s="3794"/>
      <c r="P36" s="2028"/>
      <c r="V36" s="2028"/>
    </row>
    <row r="37" spans="1:26" ht="16.5" customHeight="1" thickBot="1">
      <c r="A37" s="1260" t="s">
        <v>348</v>
      </c>
      <c r="B37" s="307"/>
      <c r="C37" s="294"/>
      <c r="D37" s="294"/>
      <c r="E37" s="295"/>
      <c r="F37" s="311"/>
      <c r="G37" s="311"/>
      <c r="H37" s="311"/>
      <c r="I37" s="311"/>
      <c r="J37" s="2030"/>
      <c r="K37" s="3795"/>
      <c r="L37" s="3795"/>
      <c r="M37" s="1267"/>
      <c r="N37" s="3795"/>
      <c r="O37" s="3795"/>
      <c r="P37" s="2028"/>
      <c r="V37" s="2028"/>
    </row>
    <row r="38" spans="1:26" ht="16.5" customHeight="1" thickBot="1">
      <c r="A38" s="1260" t="s">
        <v>349</v>
      </c>
      <c r="B38" s="307"/>
      <c r="C38" s="294"/>
      <c r="D38" s="294"/>
      <c r="E38" s="295"/>
      <c r="F38" s="311"/>
      <c r="G38" s="311"/>
      <c r="H38" s="311"/>
      <c r="I38" s="311"/>
      <c r="J38" s="2030"/>
      <c r="K38" s="1268">
        <f>'数据-汇总表'!D3</f>
        <v>6130.06</v>
      </c>
      <c r="L38" s="1269">
        <f>'数据-汇总表'!E3</f>
        <v>59625.46</v>
      </c>
      <c r="M38" s="1269">
        <f ca="1">C34</f>
        <v>11453</v>
      </c>
      <c r="N38" s="1269">
        <f ca="1">C33</f>
        <v>1178</v>
      </c>
      <c r="O38" s="1270">
        <f ca="1">C32</f>
        <v>7021</v>
      </c>
      <c r="P38" s="2028"/>
      <c r="V38" s="2028"/>
    </row>
    <row r="39" spans="1:26" ht="16.5" customHeight="1" thickBot="1">
      <c r="A39" s="1265"/>
      <c r="B39" s="308"/>
      <c r="C39" s="309"/>
      <c r="D39" s="309"/>
      <c r="E39" s="310"/>
      <c r="F39" s="311"/>
      <c r="G39" s="311"/>
      <c r="H39" s="311"/>
      <c r="I39" s="311"/>
      <c r="J39" s="2030"/>
      <c r="K39" s="3838" t="str">
        <f>MID(A44,3,LEN(A44)-2)</f>
        <v/>
      </c>
      <c r="L39" s="3839"/>
      <c r="M39" s="3839"/>
      <c r="N39" s="3840"/>
      <c r="O39" s="1392" t="str">
        <f>C44</f>
        <v>——</v>
      </c>
      <c r="P39" s="2028"/>
      <c r="V39" s="2028"/>
    </row>
    <row r="40" spans="1:26" ht="19.5" thickBot="1">
      <c r="A40" s="104" t="s">
        <v>873</v>
      </c>
      <c r="B40" s="311"/>
      <c r="C40" s="311"/>
      <c r="D40" s="311"/>
      <c r="E40" s="311"/>
      <c r="F40" s="311"/>
      <c r="G40" s="311"/>
      <c r="H40" s="311"/>
      <c r="I40" s="311"/>
      <c r="J40" s="2030"/>
      <c r="K40" s="3838" t="str">
        <f t="shared" ref="K40:K41" si="0">MID(A45,3,LEN(A45)-2)</f>
        <v/>
      </c>
      <c r="L40" s="3839"/>
      <c r="M40" s="3839"/>
      <c r="N40" s="3840"/>
      <c r="O40" s="1392" t="str">
        <f>C45</f>
        <v>——</v>
      </c>
      <c r="P40" s="2028"/>
      <c r="V40" s="2028"/>
    </row>
    <row r="41" spans="1:26" ht="16.5" thickBot="1">
      <c r="A41" s="312" t="s">
        <v>356</v>
      </c>
      <c r="B41" s="313"/>
      <c r="C41" s="314" t="s">
        <v>357</v>
      </c>
      <c r="D41" s="315" t="s">
        <v>358</v>
      </c>
      <c r="E41" s="315" t="s">
        <v>359</v>
      </c>
      <c r="F41" s="316" t="s">
        <v>360</v>
      </c>
      <c r="G41" s="311"/>
      <c r="H41" s="311"/>
      <c r="I41" s="311"/>
      <c r="J41" s="2030"/>
      <c r="K41" s="3838" t="str">
        <f t="shared" si="0"/>
        <v/>
      </c>
      <c r="L41" s="3839"/>
      <c r="M41" s="3839"/>
      <c r="N41" s="3840"/>
      <c r="O41" s="1392" t="str">
        <f>C46</f>
        <v>——</v>
      </c>
      <c r="P41" s="2028"/>
      <c r="V41" s="2028"/>
    </row>
    <row r="42" spans="1:26" ht="29.25">
      <c r="A42" s="3780" t="s">
        <v>2068</v>
      </c>
      <c r="B42" s="3781"/>
      <c r="C42" s="264">
        <f ca="1">C32</f>
        <v>7021</v>
      </c>
      <c r="D42" s="317">
        <f ca="1">C33</f>
        <v>1178</v>
      </c>
      <c r="E42" s="317">
        <f ca="1">C34</f>
        <v>11453</v>
      </c>
      <c r="F42" s="318">
        <f ca="1">C35</f>
        <v>764</v>
      </c>
      <c r="G42" s="311"/>
      <c r="H42" s="311"/>
      <c r="I42" s="319"/>
      <c r="J42" s="2030"/>
      <c r="K42" s="1271" t="s">
        <v>361</v>
      </c>
      <c r="L42" s="2047" t="s">
        <v>362</v>
      </c>
      <c r="M42" s="1272" t="s">
        <v>363</v>
      </c>
      <c r="N42" s="2048" t="s">
        <v>364</v>
      </c>
      <c r="O42" s="2049" t="s">
        <v>365</v>
      </c>
      <c r="P42" s="2028"/>
      <c r="V42" s="2028"/>
    </row>
    <row r="43" spans="1:26" ht="30">
      <c r="A43" s="3791" t="s">
        <v>2731</v>
      </c>
      <c r="B43" s="3792"/>
      <c r="C43" s="264">
        <f>IF(H33="正常操作",G33+G34+G35,G34+G35)</f>
        <v>0</v>
      </c>
      <c r="D43" s="317" t="s">
        <v>43</v>
      </c>
      <c r="E43" s="317" t="s">
        <v>44</v>
      </c>
      <c r="F43" s="318" t="s">
        <v>44</v>
      </c>
      <c r="G43" s="2844" t="s">
        <v>952</v>
      </c>
      <c r="H43" s="311"/>
      <c r="I43" s="319"/>
      <c r="J43" s="2030"/>
      <c r="K43" s="1273" t="str">
        <f>C4</f>
        <v>基准地价-商业</v>
      </c>
      <c r="L43" s="1274">
        <f ca="1">IF(L42="估价结果/万元",C19,C20)</f>
        <v>6819</v>
      </c>
      <c r="M43" s="1275">
        <f>C18</f>
        <v>0.5</v>
      </c>
      <c r="N43" s="1276">
        <f ca="1">IF(N42="测算结果/万元",G19,G20)</f>
        <v>7021</v>
      </c>
      <c r="O43" s="1277">
        <f ca="1">IF(O42="最终结果/万元",C32,C33)</f>
        <v>7021</v>
      </c>
      <c r="P43" s="2028"/>
      <c r="V43" s="2028"/>
    </row>
    <row r="44" spans="1:26" ht="30.75" thickBot="1">
      <c r="A44" s="3780" t="str">
        <f>IF(OR(项目基本情况!E8="抵押价格",项目基本情况!E8="已注销及未注销"),"3.抵押价格","——")</f>
        <v>——</v>
      </c>
      <c r="B44" s="3781"/>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不动产收益法-商业</v>
      </c>
      <c r="L44" s="1279">
        <f ca="1">IF(L42="估价结果/万元",D19,D20)</f>
        <v>7222</v>
      </c>
      <c r="M44" s="1280">
        <f>D18</f>
        <v>0.5</v>
      </c>
      <c r="N44" s="1281"/>
      <c r="O44" s="1282"/>
      <c r="P44" s="2028"/>
      <c r="V44" s="2028"/>
    </row>
    <row r="45" spans="1:26" ht="15">
      <c r="A45" s="3786" t="str">
        <f>IF(项目基本情况!E8="已注销及未注销","4.抵押担保权已注销时的抵押价格",IF(项目基本情况!E8="已注销","3.抵押担保权已注销时的抵押价格","——"))</f>
        <v>——</v>
      </c>
      <c r="B45" s="378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82" t="str">
        <f>IF(项目基本情况!E9="抵押净值",IF(A45="——","4.抵押净值","5.抵押净值"),"——")</f>
        <v>——</v>
      </c>
      <c r="B46" s="378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827" t="s">
        <v>374</v>
      </c>
      <c r="B63" s="3828"/>
      <c r="C63" s="3829"/>
      <c r="D63" s="341">
        <f ca="1">ROUND(C42*F63,0)</f>
        <v>4213</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88" t="s">
        <v>378</v>
      </c>
      <c r="B64" s="3789"/>
      <c r="C64" s="3789"/>
      <c r="D64" s="3789"/>
      <c r="E64" s="3789"/>
      <c r="F64" s="3789"/>
      <c r="G64" s="3790"/>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784" t="s">
        <v>386</v>
      </c>
      <c r="B66" s="3785"/>
      <c r="C66" s="3785"/>
      <c r="D66" s="261">
        <f ca="1">IF(H66="情况1",0,IF(H66="情况2",D70,IF(H66="情况3",D71,IF(H66="情况4",D72))))</f>
        <v>225</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842" t="s">
        <v>385</v>
      </c>
      <c r="M66" s="3843"/>
      <c r="N66" s="2437"/>
      <c r="O66" s="2438"/>
      <c r="P66" s="2439"/>
      <c r="Q66" s="2028"/>
      <c r="R66" s="2028"/>
      <c r="S66" s="2028"/>
      <c r="T66" s="2028"/>
      <c r="U66" s="2028"/>
      <c r="V66" s="2028"/>
    </row>
    <row r="67" spans="1:22" ht="25.5" customHeight="1">
      <c r="A67" s="352" t="s">
        <v>390</v>
      </c>
      <c r="B67" s="3775" t="s">
        <v>391</v>
      </c>
      <c r="C67" s="3775"/>
      <c r="D67" s="353">
        <v>0</v>
      </c>
      <c r="E67" s="41" t="s">
        <v>392</v>
      </c>
      <c r="F67" s="62" t="s">
        <v>21</v>
      </c>
      <c r="G67" s="3830"/>
      <c r="H67" s="311"/>
      <c r="I67" s="1292"/>
      <c r="J67" s="2035"/>
      <c r="K67" s="1976">
        <v>2</v>
      </c>
      <c r="L67" s="3841" t="s">
        <v>389</v>
      </c>
      <c r="M67" s="3841"/>
      <c r="N67" s="1325">
        <f>'数据-取费表'!B2</f>
        <v>43552</v>
      </c>
      <c r="O67" s="1325"/>
      <c r="P67" s="1325"/>
      <c r="Q67" s="2028"/>
      <c r="R67" s="2028"/>
      <c r="S67" s="2028"/>
      <c r="T67" s="2028"/>
      <c r="U67" s="2028"/>
      <c r="V67" s="2028"/>
    </row>
    <row r="68" spans="1:22" ht="25.5" customHeight="1">
      <c r="A68" s="354"/>
      <c r="B68" s="3775" t="s">
        <v>394</v>
      </c>
      <c r="C68" s="3775"/>
      <c r="D68" s="355"/>
      <c r="E68" s="77"/>
      <c r="F68" s="356"/>
      <c r="G68" s="3831"/>
      <c r="H68" s="311"/>
      <c r="I68" s="1292"/>
      <c r="J68" s="2035"/>
      <c r="K68" s="1976">
        <v>3</v>
      </c>
      <c r="L68" s="3841" t="s">
        <v>393</v>
      </c>
      <c r="M68" s="3841"/>
      <c r="N68" s="1293">
        <f ca="1">C42</f>
        <v>7021</v>
      </c>
      <c r="O68" s="1293"/>
      <c r="P68" s="1293"/>
      <c r="Q68" s="2028"/>
      <c r="R68" s="2028"/>
      <c r="S68" s="2028"/>
      <c r="T68" s="2028"/>
      <c r="U68" s="2028"/>
      <c r="V68" s="2028"/>
    </row>
    <row r="69" spans="1:22" ht="12" customHeight="1">
      <c r="A69" s="357"/>
      <c r="B69" s="3775" t="s">
        <v>395</v>
      </c>
      <c r="C69" s="3775"/>
      <c r="D69" s="358"/>
      <c r="E69" s="73"/>
      <c r="F69" s="356"/>
      <c r="G69" s="3832"/>
      <c r="H69" s="311"/>
      <c r="I69" s="1292"/>
      <c r="J69" s="2035"/>
      <c r="K69" s="1294">
        <v>4</v>
      </c>
      <c r="L69" s="3846" t="s">
        <v>2883</v>
      </c>
      <c r="M69" s="3847"/>
      <c r="N69" s="1295" t="str">
        <f>C44</f>
        <v>——</v>
      </c>
      <c r="O69" s="1295"/>
      <c r="P69" s="1295"/>
      <c r="Q69" s="2028"/>
      <c r="R69" s="2028"/>
      <c r="S69" s="2028"/>
      <c r="T69" s="2028"/>
      <c r="U69" s="2028"/>
      <c r="V69" s="2028"/>
    </row>
    <row r="70" spans="1:22" ht="24" customHeight="1">
      <c r="A70" s="359" t="s">
        <v>396</v>
      </c>
      <c r="B70" s="3775" t="s">
        <v>397</v>
      </c>
      <c r="C70" s="3775"/>
      <c r="D70" s="358">
        <f ca="1">ROUND(D63*'数据-取费表'!B41/(1+'数据-取费表'!C42),0)</f>
        <v>225</v>
      </c>
      <c r="E70" s="17" t="s">
        <v>398</v>
      </c>
      <c r="F70" s="360">
        <f>'数据-取费表'!B41</f>
        <v>5.6000000000000001E-2</v>
      </c>
      <c r="G70" s="361"/>
      <c r="H70" s="311"/>
      <c r="I70" s="1292"/>
      <c r="J70" s="2035"/>
      <c r="K70" s="3037"/>
      <c r="L70" s="3038"/>
      <c r="M70" s="3038"/>
      <c r="N70" s="3039" t="s">
        <v>2888</v>
      </c>
      <c r="O70" s="3038"/>
      <c r="P70" s="3040"/>
      <c r="Q70" s="2028"/>
      <c r="R70" s="2028"/>
      <c r="S70" s="2028"/>
      <c r="T70" s="2028"/>
      <c r="U70" s="2028"/>
      <c r="V70" s="2028"/>
    </row>
    <row r="71" spans="1:22" ht="12" customHeight="1">
      <c r="A71" s="359" t="s">
        <v>404</v>
      </c>
      <c r="B71" s="3776" t="s">
        <v>405</v>
      </c>
      <c r="C71" s="3777"/>
      <c r="D71" s="358">
        <f ca="1">ROUND(D63*'数据-取费表'!B41/(1+'数据-取费表'!C42),0)</f>
        <v>225</v>
      </c>
      <c r="E71" s="17" t="s">
        <v>398</v>
      </c>
      <c r="F71" s="360">
        <f>'数据-取费表'!B41</f>
        <v>5.6000000000000001E-2</v>
      </c>
      <c r="G71" s="361"/>
      <c r="H71" s="311"/>
      <c r="I71" s="1292"/>
      <c r="J71" s="2035"/>
      <c r="K71" s="3036" t="s">
        <v>399</v>
      </c>
      <c r="L71" s="3848" t="s">
        <v>400</v>
      </c>
      <c r="M71" s="3848"/>
      <c r="N71" s="3036" t="s">
        <v>401</v>
      </c>
      <c r="O71" s="3036" t="s">
        <v>402</v>
      </c>
      <c r="P71" s="3036" t="s">
        <v>403</v>
      </c>
      <c r="Q71" s="2028"/>
      <c r="R71" s="2028"/>
      <c r="S71" s="2028"/>
      <c r="T71" s="2028"/>
      <c r="U71" s="2028"/>
      <c r="V71" s="2028"/>
    </row>
    <row r="72" spans="1:22" ht="12" customHeight="1">
      <c r="A72" s="359" t="s">
        <v>407</v>
      </c>
      <c r="B72" s="3776" t="s">
        <v>408</v>
      </c>
      <c r="C72" s="3777"/>
      <c r="D72" s="358">
        <f ca="1">C86</f>
        <v>113</v>
      </c>
      <c r="E72" s="73" t="s">
        <v>409</v>
      </c>
      <c r="F72" s="360">
        <f>'数据-取费表'!B41</f>
        <v>5.6000000000000001E-2</v>
      </c>
      <c r="G72" s="361"/>
      <c r="H72" s="1298"/>
      <c r="I72" s="1292"/>
      <c r="J72" s="2035"/>
      <c r="K72" s="1976">
        <v>1</v>
      </c>
      <c r="L72" s="3823" t="s">
        <v>406</v>
      </c>
      <c r="M72" s="3823"/>
      <c r="N72" s="1296">
        <f ca="1">D66</f>
        <v>225</v>
      </c>
      <c r="O72" s="1859" t="str">
        <f>E66</f>
        <v>销售额×税（费）率</v>
      </c>
      <c r="P72" s="1297">
        <f>F66</f>
        <v>5.6000000000000001E-2</v>
      </c>
      <c r="Q72" s="2028"/>
      <c r="R72" s="2028"/>
      <c r="S72" s="2028"/>
      <c r="T72" s="2028"/>
      <c r="U72" s="2028"/>
      <c r="V72" s="2028"/>
    </row>
    <row r="73" spans="1:22" ht="24" customHeight="1">
      <c r="A73" s="3817" t="s">
        <v>411</v>
      </c>
      <c r="B73" s="3785"/>
      <c r="C73" s="3785"/>
      <c r="D73" s="362">
        <f>IF(H73="个人住宅",0,ROUND(D63*I73,0))</f>
        <v>0</v>
      </c>
      <c r="E73" s="17" t="s">
        <v>412</v>
      </c>
      <c r="F73" s="360" t="str">
        <f>IF(H73="正常",I73,"免征")</f>
        <v>免征</v>
      </c>
      <c r="G73" s="361"/>
      <c r="H73" s="191" t="s">
        <v>2456</v>
      </c>
      <c r="I73" s="360">
        <f>'数据-取费表'!B49</f>
        <v>5.0000000000000001E-4</v>
      </c>
      <c r="J73" s="2035"/>
      <c r="K73" s="1976">
        <v>2</v>
      </c>
      <c r="L73" s="3823" t="s">
        <v>410</v>
      </c>
      <c r="M73" s="3823"/>
      <c r="N73" s="1296">
        <f t="shared" ref="N73:P74" si="1">D73</f>
        <v>0</v>
      </c>
      <c r="O73" s="1859" t="str">
        <f t="shared" si="1"/>
        <v>销售额×税（费）率</v>
      </c>
      <c r="P73" s="1297" t="str">
        <f t="shared" si="1"/>
        <v>免征</v>
      </c>
      <c r="Q73" s="2028"/>
      <c r="R73" s="2028"/>
      <c r="S73" s="2028"/>
      <c r="T73" s="2028"/>
      <c r="U73" s="2028"/>
      <c r="V73" s="2028"/>
    </row>
    <row r="74" spans="1:22" ht="24.75">
      <c r="A74" s="3817" t="s">
        <v>415</v>
      </c>
      <c r="B74" s="3785"/>
      <c r="C74" s="3785"/>
      <c r="D74" s="362">
        <f ca="1">IF(H74="个人住宅",D75,D76)</f>
        <v>1729</v>
      </c>
      <c r="E74" s="17" t="s">
        <v>416</v>
      </c>
      <c r="F74" s="360" t="str">
        <f>IF(H74="正常",F76,"免征")</f>
        <v>——</v>
      </c>
      <c r="G74" s="983" t="s">
        <v>417</v>
      </c>
      <c r="H74" s="363" t="s">
        <v>413</v>
      </c>
      <c r="I74" s="42"/>
      <c r="J74" s="2035"/>
      <c r="K74" s="1976">
        <v>3</v>
      </c>
      <c r="L74" s="3823" t="s">
        <v>414</v>
      </c>
      <c r="M74" s="3823"/>
      <c r="N74" s="1296">
        <f t="shared" ca="1" si="1"/>
        <v>1729</v>
      </c>
      <c r="O74" s="1859" t="str">
        <f t="shared" si="1"/>
        <v>增值额×税（费）率</v>
      </c>
      <c r="P74" s="1299" t="str">
        <f t="shared" si="1"/>
        <v>——</v>
      </c>
      <c r="Q74" s="2028"/>
      <c r="R74" s="2028"/>
      <c r="S74" s="2028"/>
      <c r="T74" s="2028"/>
      <c r="U74" s="2028"/>
      <c r="V74" s="2028"/>
    </row>
    <row r="75" spans="1:22" ht="24">
      <c r="A75" s="359" t="s">
        <v>418</v>
      </c>
      <c r="B75" s="3773" t="s">
        <v>419</v>
      </c>
      <c r="C75" s="3803"/>
      <c r="D75" s="364">
        <v>0</v>
      </c>
      <c r="E75" s="41" t="s">
        <v>420</v>
      </c>
      <c r="F75" s="365"/>
      <c r="G75" s="361"/>
      <c r="H75" s="42"/>
      <c r="I75" s="42"/>
      <c r="J75" s="2035"/>
      <c r="K75" s="3029">
        <f>IF(H77="非个人房产","",4)</f>
        <v>4</v>
      </c>
      <c r="L75" s="3823" t="str">
        <f>IF(H77="非个人房产","——","个人所得税")</f>
        <v>个人所得税</v>
      </c>
      <c r="M75" s="3823"/>
      <c r="N75" s="1300">
        <f ca="1">D77</f>
        <v>42</v>
      </c>
      <c r="O75" s="1872" t="str">
        <f>E77</f>
        <v>销售额×税（费）率</v>
      </c>
      <c r="P75" s="1301">
        <f>F77</f>
        <v>0.01</v>
      </c>
      <c r="Q75" s="2028"/>
      <c r="R75" s="2028"/>
      <c r="S75" s="2028"/>
      <c r="T75" s="2028"/>
      <c r="U75" s="2028"/>
      <c r="V75" s="2028"/>
    </row>
    <row r="76" spans="1:22" ht="24.75">
      <c r="A76" s="359" t="s">
        <v>396</v>
      </c>
      <c r="B76" s="3773" t="s">
        <v>422</v>
      </c>
      <c r="C76" s="3774"/>
      <c r="D76" s="362">
        <f ca="1">IF(H76="转让取得",C99,C115)</f>
        <v>1729</v>
      </c>
      <c r="E76" s="17" t="s">
        <v>423</v>
      </c>
      <c r="F76" s="53" t="s">
        <v>21</v>
      </c>
      <c r="G76" s="361"/>
      <c r="H76" s="363" t="s">
        <v>424</v>
      </c>
      <c r="I76" s="42"/>
      <c r="J76" s="2035"/>
      <c r="K76" s="3029" t="str">
        <f>IF(项目基本情况!K6="上海银行",IF(K75="",4,K75+1),"")</f>
        <v/>
      </c>
      <c r="L76" s="3834" t="str">
        <f>IF(项目基本情况!K6="上海银行","其他处置费用","")</f>
        <v/>
      </c>
      <c r="M76" s="3835"/>
      <c r="N76" s="1296" t="str">
        <f>IF(项目基本情况!K6="上海银行",N89,"")</f>
        <v/>
      </c>
      <c r="O76" s="3836" t="str">
        <f>IF(项目基本情况!K6="上海银行","包含处置中涉及的律师、诉讼、拍卖、评估等费用","")</f>
        <v/>
      </c>
      <c r="P76" s="3837"/>
      <c r="Q76" s="2028"/>
      <c r="R76" s="2028"/>
      <c r="S76" s="2028"/>
      <c r="T76" s="2028"/>
      <c r="U76" s="2028"/>
      <c r="V76" s="2028"/>
    </row>
    <row r="77" spans="1:22" ht="26.25" thickBot="1">
      <c r="A77" s="3825" t="s">
        <v>426</v>
      </c>
      <c r="B77" s="3826"/>
      <c r="C77" s="3826"/>
      <c r="D77" s="366">
        <f ca="1">IF(H77="非个人房产","——",IF(H77="个人住宅",0,ROUND(D63*I77,0)))</f>
        <v>42</v>
      </c>
      <c r="E77" s="367" t="str">
        <f>IF(H77="非个人房产","——","销售额×税（费）率")</f>
        <v>销售额×税（费）率</v>
      </c>
      <c r="F77" s="368">
        <f>IF(H77="非个人房产","——",IF(H77="个人住宅","免征",I77))</f>
        <v>0.01</v>
      </c>
      <c r="G77" s="984" t="s">
        <v>417</v>
      </c>
      <c r="H77" s="363" t="s">
        <v>2884</v>
      </c>
      <c r="I77" s="369">
        <v>0.01</v>
      </c>
      <c r="J77" s="2035"/>
      <c r="K77" s="3824">
        <f>IF(AND(K75="",K76=""),4,IF(项目基本情况!K6="上海银行",K76+1,K75+1))</f>
        <v>5</v>
      </c>
      <c r="L77" s="3823" t="s">
        <v>2885</v>
      </c>
      <c r="M77" s="3035" t="s">
        <v>421</v>
      </c>
      <c r="N77" s="1302"/>
      <c r="O77" s="1303">
        <f ca="1">SUMIF(N72:N76,"&lt;9e307")</f>
        <v>1996</v>
      </c>
      <c r="P77" s="1304"/>
      <c r="Q77" s="3033" t="e">
        <f ca="1">O77/N69</f>
        <v>#VALUE!</v>
      </c>
      <c r="R77" s="2028"/>
      <c r="S77" s="2028"/>
      <c r="T77" s="2028"/>
      <c r="U77" s="2028"/>
      <c r="V77" s="2028"/>
    </row>
    <row r="78" spans="1:22" ht="12" customHeight="1">
      <c r="A78" s="1305"/>
      <c r="B78" s="311"/>
      <c r="C78" s="311"/>
      <c r="D78" s="311"/>
      <c r="E78" s="42"/>
      <c r="F78" s="42"/>
      <c r="G78" s="42"/>
      <c r="H78" s="1003"/>
      <c r="I78" s="311"/>
      <c r="J78" s="2035"/>
      <c r="K78" s="3824"/>
      <c r="L78" s="3823"/>
      <c r="M78" s="3035" t="s">
        <v>425</v>
      </c>
      <c r="N78" s="1302"/>
      <c r="O78" s="1303" t="str">
        <f ca="1">NUMBERSTRING(INT(O77*10000),2)&amp;"元整"</f>
        <v>壹仟玖佰玖拾陆万元整</v>
      </c>
      <c r="P78" s="1304"/>
      <c r="Q78" s="2028"/>
      <c r="R78" s="2028"/>
      <c r="S78" s="2028"/>
      <c r="T78" s="2028"/>
      <c r="U78" s="2028"/>
      <c r="V78" s="2028"/>
    </row>
    <row r="79" spans="1:22" ht="13.5" thickBot="1">
      <c r="A79" s="3818" t="s">
        <v>427</v>
      </c>
      <c r="B79" s="3818"/>
      <c r="C79" s="3818"/>
      <c r="D79" s="3818"/>
      <c r="E79" s="3818"/>
      <c r="F79" s="42"/>
      <c r="G79" s="42"/>
      <c r="H79" s="1003"/>
      <c r="I79" s="311"/>
      <c r="J79" s="2035"/>
      <c r="K79" s="3844">
        <f>K77+1</f>
        <v>6</v>
      </c>
      <c r="L79" s="3823" t="s">
        <v>2886</v>
      </c>
      <c r="M79" s="3035" t="s">
        <v>421</v>
      </c>
      <c r="N79" s="1302"/>
      <c r="O79" s="1303" t="e">
        <f ca="1">N69-O77</f>
        <v>#VALUE!</v>
      </c>
      <c r="P79" s="1304"/>
      <c r="Q79" s="2028"/>
      <c r="R79" s="2028"/>
      <c r="S79" s="2028"/>
      <c r="T79" s="2028"/>
      <c r="U79" s="2028"/>
      <c r="V79" s="2028"/>
    </row>
    <row r="80" spans="1:22" ht="12.75">
      <c r="A80" s="3813" t="s">
        <v>428</v>
      </c>
      <c r="B80" s="3814"/>
      <c r="C80" s="994"/>
      <c r="D80" s="994" t="s">
        <v>429</v>
      </c>
      <c r="E80" s="370" t="s">
        <v>430</v>
      </c>
      <c r="F80" s="42"/>
      <c r="G80" s="42"/>
      <c r="H80" s="1003"/>
      <c r="I80" s="311"/>
      <c r="J80" s="2028"/>
      <c r="K80" s="3845"/>
      <c r="L80" s="3823"/>
      <c r="M80" s="3035"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4012</v>
      </c>
      <c r="D81" s="373"/>
      <c r="E81" s="374"/>
      <c r="F81" s="42"/>
      <c r="G81" s="42"/>
      <c r="H81" s="1003"/>
      <c r="I81" s="311"/>
      <c r="J81" s="2028"/>
      <c r="K81" s="3029">
        <f>K79+1</f>
        <v>7</v>
      </c>
      <c r="L81" s="3821" t="s">
        <v>2887</v>
      </c>
      <c r="M81" s="3822"/>
      <c r="N81" s="1306"/>
      <c r="O81" s="1307" t="e">
        <f ca="1">ROUND(O79*10000/'数据-汇总表'!E3,0)</f>
        <v>#VALUE!</v>
      </c>
      <c r="P81" s="1308"/>
      <c r="Q81" s="2028"/>
      <c r="R81" s="2028"/>
      <c r="S81" s="2028"/>
      <c r="T81" s="2028"/>
      <c r="U81" s="2028"/>
      <c r="V81" s="2028"/>
    </row>
    <row r="82" spans="1:26" ht="13.5" thickTop="1">
      <c r="A82" s="375" t="s">
        <v>1825</v>
      </c>
      <c r="B82" s="376" t="s">
        <v>432</v>
      </c>
      <c r="C82" s="377">
        <f ca="1">D63</f>
        <v>4213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833" t="s">
        <v>2874</v>
      </c>
      <c r="L83" s="3041" t="s">
        <v>2875</v>
      </c>
      <c r="M83" s="3031" t="e">
        <f>IF(N69&gt;10000,N69*0.5%,IF(AND(N69&gt;1000,N69&lt;=10000),N69*1%,IF(AND(N69&gt;100,N69&lt;=1000),N69*3%,IF(AND(N69&gt;10,N69&lt;=100),N69*5%,N69*8%))))</f>
        <v>#VALUE!</v>
      </c>
      <c r="N83" s="53" t="e">
        <f>ROUND(M83,1)</f>
        <v>#VALUE!</v>
      </c>
      <c r="O83" s="3034"/>
      <c r="P83" s="2028"/>
      <c r="Q83" s="2028"/>
      <c r="R83" s="2028"/>
      <c r="S83" s="2028"/>
      <c r="T83" s="2028"/>
      <c r="U83" s="2028"/>
      <c r="V83" s="2028"/>
    </row>
    <row r="84" spans="1:26" ht="12.75">
      <c r="A84" s="381" t="s">
        <v>1827</v>
      </c>
      <c r="B84" s="382" t="s">
        <v>434</v>
      </c>
      <c r="C84" s="383">
        <v>2000</v>
      </c>
      <c r="D84" s="384" t="s">
        <v>19</v>
      </c>
      <c r="E84" s="3076" t="s">
        <v>2942</v>
      </c>
      <c r="F84" s="42"/>
      <c r="G84" s="42"/>
      <c r="H84" s="1003"/>
      <c r="I84" s="311"/>
      <c r="J84" s="2028"/>
      <c r="K84" s="3833"/>
      <c r="L84" s="3041" t="s">
        <v>2876</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2877</v>
      </c>
      <c r="P84" s="2028"/>
      <c r="Q84" s="2028"/>
      <c r="R84" s="2028"/>
      <c r="S84" s="2028"/>
      <c r="T84" s="2028"/>
      <c r="U84" s="2028"/>
      <c r="V84" s="2028"/>
    </row>
    <row r="85" spans="1:26" ht="12.75">
      <c r="A85" s="381" t="s">
        <v>1828</v>
      </c>
      <c r="B85" s="382" t="s">
        <v>435</v>
      </c>
      <c r="C85" s="385">
        <f ca="1">C81-C84</f>
        <v>2012</v>
      </c>
      <c r="D85" s="378" t="s">
        <v>19</v>
      </c>
      <c r="E85" s="379"/>
      <c r="F85" s="42"/>
      <c r="G85" s="42"/>
      <c r="H85" s="1003"/>
      <c r="I85" s="311"/>
      <c r="J85" s="2028"/>
      <c r="K85" s="3833"/>
      <c r="L85" s="3041" t="s">
        <v>2878</v>
      </c>
      <c r="M85" s="3031" t="e">
        <f>IF(N69&gt;1000,N69*0.1%,IF(AND(N69&gt;500,N69&lt;=1000),N69*0.5%,IF(AND(N69&gt;50,N69&lt;=500),N69*1%,IF(AND(N69&gt;1,N69&lt;=50),N69*1.5%))))</f>
        <v>#VALUE!</v>
      </c>
      <c r="N85" s="53" t="e">
        <f t="shared" si="2"/>
        <v>#VALUE!</v>
      </c>
      <c r="O85" s="2028" t="s">
        <v>2877</v>
      </c>
      <c r="P85" s="2028"/>
      <c r="Q85" s="2028"/>
      <c r="R85" s="2028"/>
      <c r="S85" s="2028"/>
      <c r="T85" s="2028"/>
      <c r="U85" s="2028"/>
      <c r="V85" s="2028"/>
    </row>
    <row r="86" spans="1:26" ht="13.5" thickBot="1">
      <c r="A86" s="386" t="s">
        <v>1829</v>
      </c>
      <c r="B86" s="387" t="s">
        <v>436</v>
      </c>
      <c r="C86" s="388">
        <f ca="1">IF(C85&lt;=0,0,ROUND(C85*D86,0))</f>
        <v>113</v>
      </c>
      <c r="D86" s="389">
        <f>'数据-取费表'!B41</f>
        <v>5.6000000000000001E-2</v>
      </c>
      <c r="E86" s="390"/>
      <c r="F86" s="42"/>
      <c r="G86" s="42"/>
      <c r="H86" s="1003"/>
      <c r="I86" s="311"/>
      <c r="J86" s="2028"/>
      <c r="K86" s="3833"/>
      <c r="L86" s="3041" t="s">
        <v>2879</v>
      </c>
      <c r="M86" s="3031" t="e">
        <f>N69*0.5%</f>
        <v>#VALUE!</v>
      </c>
      <c r="N86" s="53" t="e">
        <f>IF(M86&gt;0.5,0.5,ROUND(M86,0))</f>
        <v>#VALUE!</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833"/>
      <c r="L87" s="3041" t="s">
        <v>2881</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8"/>
      <c r="R87" s="2028"/>
      <c r="S87" s="2028"/>
      <c r="T87" s="2028"/>
      <c r="U87" s="2028"/>
      <c r="V87" s="2028"/>
      <c r="W87" s="292"/>
      <c r="X87" s="292"/>
      <c r="Y87" s="292"/>
      <c r="Z87" s="292"/>
    </row>
    <row r="88" spans="1:26" s="1314" customFormat="1" ht="15" thickBot="1">
      <c r="A88" s="3815" t="s">
        <v>437</v>
      </c>
      <c r="B88" s="3816"/>
      <c r="C88" s="3816"/>
      <c r="D88" s="3816"/>
      <c r="E88" s="3816"/>
      <c r="F88" s="3816"/>
      <c r="G88" s="3816"/>
      <c r="H88" s="3816"/>
      <c r="I88" s="1315"/>
      <c r="J88" s="2036"/>
      <c r="K88" s="3833"/>
      <c r="L88" s="3041" t="s">
        <v>2882</v>
      </c>
      <c r="M88" s="3031" t="e">
        <f>IF(N69&gt;10000,N69*0.5%,IF(AND(N69&gt;5000,N69&lt;=10000),N69*1%,IF(AND(N69&gt;1000,N69&lt;=5000),N69*2%,IF(AND(N69&gt;200,N69&lt;=1000),N69*3%,N69*5%))))</f>
        <v>#VALUE!</v>
      </c>
      <c r="N88" s="53" t="e">
        <f>ROUND(M88,1)</f>
        <v>#VALUE!</v>
      </c>
      <c r="O88" s="3034"/>
      <c r="P88" s="11"/>
      <c r="Q88" s="2033"/>
      <c r="R88" s="2033"/>
      <c r="S88" s="2033"/>
      <c r="T88" s="2033"/>
      <c r="U88" s="2033"/>
      <c r="V88" s="2033"/>
      <c r="W88" s="2037"/>
      <c r="X88" s="2037"/>
      <c r="Y88" s="2037"/>
      <c r="Z88" s="2037"/>
    </row>
    <row r="89" spans="1:26" s="1314" customFormat="1" ht="14.25">
      <c r="A89" s="3813" t="s">
        <v>428</v>
      </c>
      <c r="B89" s="3814"/>
      <c r="C89" s="994"/>
      <c r="D89" s="994" t="s">
        <v>429</v>
      </c>
      <c r="E89" s="391" t="s">
        <v>438</v>
      </c>
      <c r="F89" s="392"/>
      <c r="G89" s="392"/>
      <c r="H89" s="393"/>
      <c r="I89" s="1316"/>
      <c r="J89" s="2038"/>
      <c r="K89" s="3833"/>
      <c r="L89" s="3041" t="s">
        <v>27</v>
      </c>
      <c r="M89" s="3032"/>
      <c r="N89" s="53" t="e">
        <f>ROUND(SUM(N83:N88),0)</f>
        <v>#VALUE!</v>
      </c>
      <c r="O89" s="3042"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4012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2585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776" t="s">
        <v>447</v>
      </c>
      <c r="F94" s="3775"/>
      <c r="G94" s="3775"/>
      <c r="H94" s="381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24</v>
      </c>
      <c r="D96" s="406">
        <f>'数据-取费表'!B43</f>
        <v>6.000000000000001E-3</v>
      </c>
      <c r="E96" s="3804" t="s">
        <v>2429</v>
      </c>
      <c r="F96" s="3805"/>
      <c r="G96" s="3805"/>
      <c r="H96" s="380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1427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0.55203094777562867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442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815" t="s">
        <v>454</v>
      </c>
      <c r="B101" s="3816"/>
      <c r="C101" s="3816"/>
      <c r="D101" s="3816"/>
      <c r="E101" s="3816"/>
      <c r="F101" s="3816"/>
      <c r="G101" s="3816"/>
      <c r="H101" s="381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813" t="s">
        <v>428</v>
      </c>
      <c r="B102" s="381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4012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714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IF(H109="——",IF(F1="现房",'剩余法-现房'!C18,'剩余法-商业'!C18),I109)</f>
        <v>55</v>
      </c>
      <c r="D109" s="406"/>
      <c r="E109" s="3807" t="s">
        <v>462</v>
      </c>
      <c r="F109" s="3805"/>
      <c r="G109" s="3805"/>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807" t="s">
        <v>464</v>
      </c>
      <c r="F110" s="3805"/>
      <c r="G110" s="3805"/>
      <c r="H110" s="380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24</v>
      </c>
      <c r="D111" s="406">
        <f>'数据-取费表'!B43</f>
        <v>6.000000000000001E-3</v>
      </c>
      <c r="E111" s="3804" t="s">
        <v>2429</v>
      </c>
      <c r="F111" s="3805"/>
      <c r="G111" s="3805"/>
      <c r="H111" s="380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807" t="s">
        <v>2454</v>
      </c>
      <c r="F112" s="3805"/>
      <c r="G112" s="3805"/>
      <c r="H112" s="380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3298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4.6190476190476186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1729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611" t="str">
        <f>项目基本情况!B1</f>
        <v>北京市出让国有建设用地使用权市场价格预评估</v>
      </c>
      <c r="C37" s="3611"/>
      <c r="D37" s="3611"/>
      <c r="E37" s="3611"/>
      <c r="F37" s="3611"/>
      <c r="G37" s="3611"/>
      <c r="H37" s="3611"/>
      <c r="I37" s="3611"/>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zoomScalePageLayoutView="80" workbookViewId="0">
      <selection activeCell="E21" sqref="E21"/>
    </sheetView>
  </sheetViews>
  <sheetFormatPr defaultColWidth="12.625" defaultRowHeight="21.75" customHeight="1"/>
  <cols>
    <col min="1" max="2" width="12.75" style="3239" bestFit="1" customWidth="1"/>
    <col min="3" max="4" width="12.625" style="3239" customWidth="1"/>
    <col min="5" max="9" width="12.75" style="3239" bestFit="1" customWidth="1"/>
    <col min="10" max="10" width="2.25" style="3240" customWidth="1"/>
    <col min="11" max="12" width="12.625" style="3240" customWidth="1"/>
    <col min="13" max="13" width="12.625" style="3240"/>
    <col min="14" max="14" width="15.625" style="3240" bestFit="1" customWidth="1"/>
    <col min="15" max="19" width="12.75" style="3240" bestFit="1" customWidth="1"/>
    <col min="20" max="26" width="12.625" style="3240"/>
    <col min="27" max="16384" width="12.625" style="3239"/>
  </cols>
  <sheetData>
    <row r="1" spans="1:22" ht="21.75" customHeight="1" thickBot="1">
      <c r="A1" s="3572" t="s">
        <v>3242</v>
      </c>
      <c r="B1" s="3571"/>
      <c r="C1" s="3569" t="s">
        <v>3241</v>
      </c>
      <c r="D1" s="3570" t="s">
        <v>3240</v>
      </c>
      <c r="E1" s="3569" t="s">
        <v>3239</v>
      </c>
      <c r="F1" s="3568" t="s">
        <v>3020</v>
      </c>
      <c r="G1" s="3305"/>
      <c r="H1" s="3305"/>
      <c r="I1" s="3305"/>
      <c r="J1" s="3248"/>
      <c r="K1" s="3248"/>
      <c r="L1" s="3248"/>
      <c r="M1" s="3248"/>
      <c r="N1" s="3248"/>
      <c r="O1" s="3248"/>
      <c r="P1" s="3248"/>
      <c r="Q1" s="3248"/>
      <c r="R1" s="3248"/>
      <c r="S1" s="3248"/>
      <c r="T1" s="3248"/>
      <c r="U1" s="3248"/>
      <c r="V1" s="3248"/>
    </row>
    <row r="2" spans="1:22" ht="21.75" customHeight="1" thickBot="1">
      <c r="A2" s="3920" t="str">
        <f>[1]项目基本情况!K2</f>
        <v>北京市出让国有建设用地使用权</v>
      </c>
      <c r="B2" s="3921"/>
      <c r="C2" s="3922"/>
      <c r="D2" s="3922"/>
      <c r="E2" s="3922"/>
      <c r="F2" s="3922"/>
      <c r="G2" s="3921"/>
      <c r="H2" s="3921"/>
      <c r="I2" s="3923"/>
      <c r="J2" s="3560"/>
      <c r="K2" s="3248"/>
      <c r="L2" s="3248"/>
      <c r="M2" s="3248"/>
      <c r="N2" s="3248"/>
      <c r="O2" s="3248"/>
      <c r="P2" s="3248"/>
      <c r="Q2" s="3248"/>
      <c r="R2" s="3248"/>
      <c r="S2" s="3248"/>
      <c r="T2" s="3248"/>
      <c r="U2" s="3248"/>
      <c r="V2" s="3248"/>
    </row>
    <row r="3" spans="1:22" ht="14.25">
      <c r="A3" s="3924" t="s">
        <v>298</v>
      </c>
      <c r="B3" s="3925"/>
      <c r="C3" s="3925"/>
      <c r="D3" s="3925"/>
      <c r="E3" s="3925"/>
      <c r="F3" s="3925"/>
      <c r="G3" s="3925"/>
      <c r="H3" s="3925"/>
      <c r="I3" s="3925"/>
      <c r="J3" s="3560"/>
      <c r="K3" s="3248"/>
      <c r="L3" s="3248"/>
      <c r="M3" s="3248"/>
      <c r="N3" s="3248"/>
      <c r="O3" s="3248"/>
      <c r="P3" s="3248"/>
      <c r="Q3" s="3248"/>
      <c r="R3" s="3248"/>
      <c r="S3" s="3248"/>
      <c r="T3" s="3248"/>
      <c r="U3" s="3248"/>
      <c r="V3" s="3248"/>
    </row>
    <row r="4" spans="1:22" ht="14.25">
      <c r="A4" s="3567" t="s">
        <v>299</v>
      </c>
      <c r="B4" s="3566" t="s">
        <v>300</v>
      </c>
      <c r="C4" s="3565" t="s">
        <v>3023</v>
      </c>
      <c r="D4" s="3565" t="s">
        <v>3238</v>
      </c>
      <c r="E4" s="3876" t="s">
        <v>3237</v>
      </c>
      <c r="F4" s="3878"/>
      <c r="G4" s="3878"/>
      <c r="H4" s="3878"/>
      <c r="I4" s="3877"/>
      <c r="J4" s="3560"/>
      <c r="K4" s="3248"/>
      <c r="L4" s="3400" t="str">
        <f>IF(ISNUMBER(FIND("比较法",C4)),"比较法",IF(ISNUMBER(FIND("成本法",C4)),"成本法",IF(ISNUMBER(FIND("剩余法",C4)),"剩余法",IF(ISNUMBER(FIND("收益法",C4)),"收益法","基准地价系数修正法"))))</f>
        <v>基准地价系数修正法</v>
      </c>
      <c r="M4" s="3400" t="str">
        <f>IF(ISNUMBER(FIND("比较法",D4)),"比较法",IF(ISNUMBER(FIND("成本法",D4)),"成本法",IF(ISNUMBER(FIND("剩余法",D4)),"剩余法",IF(ISNUMBER(FIND("收益法",D4)),"收益法","基准地价系数修正法"))))</f>
        <v>剩余法</v>
      </c>
      <c r="N4" s="3248"/>
      <c r="O4" s="3248"/>
      <c r="P4" s="3248"/>
      <c r="Q4" s="3248"/>
      <c r="R4" s="3248"/>
      <c r="S4" s="3248"/>
      <c r="T4" s="3248"/>
      <c r="U4" s="3248"/>
      <c r="V4" s="3248"/>
    </row>
    <row r="5" spans="1:22" ht="14.25">
      <c r="A5" s="3910" t="s">
        <v>302</v>
      </c>
      <c r="B5" s="3911">
        <v>25</v>
      </c>
      <c r="C5" s="3912">
        <f>'[1]结果表-住宅'!C5:C7</f>
        <v>50</v>
      </c>
      <c r="D5" s="3914">
        <f>100-C5</f>
        <v>50</v>
      </c>
      <c r="E5" s="3393" t="s">
        <v>3236</v>
      </c>
      <c r="F5" s="3564"/>
      <c r="G5" s="3564"/>
      <c r="H5" s="3564"/>
      <c r="I5" s="3563"/>
      <c r="J5" s="3560"/>
      <c r="K5" s="3248"/>
      <c r="L5" s="3248"/>
      <c r="M5" s="3248"/>
      <c r="N5" s="3248"/>
      <c r="O5" s="3248"/>
      <c r="P5" s="3248"/>
      <c r="Q5" s="3248"/>
      <c r="R5" s="3248"/>
      <c r="S5" s="3248"/>
      <c r="T5" s="3248"/>
      <c r="U5" s="3248"/>
      <c r="V5" s="3248"/>
    </row>
    <row r="6" spans="1:22" ht="14.25">
      <c r="A6" s="3910"/>
      <c r="B6" s="3911"/>
      <c r="C6" s="3915"/>
      <c r="D6" s="3914"/>
      <c r="E6" s="3393" t="s">
        <v>3235</v>
      </c>
      <c r="F6" s="3564"/>
      <c r="G6" s="3564"/>
      <c r="H6" s="3564"/>
      <c r="I6" s="3563"/>
      <c r="J6" s="3560"/>
      <c r="K6" s="3248"/>
      <c r="L6" s="3248"/>
      <c r="M6" s="3248"/>
      <c r="N6" s="3248"/>
      <c r="O6" s="3248"/>
      <c r="P6" s="3248"/>
      <c r="Q6" s="3248"/>
      <c r="R6" s="3248"/>
      <c r="S6" s="3248"/>
      <c r="T6" s="3248"/>
      <c r="U6" s="3248"/>
      <c r="V6" s="3248"/>
    </row>
    <row r="7" spans="1:22" ht="14.25">
      <c r="A7" s="3910"/>
      <c r="B7" s="3911"/>
      <c r="C7" s="3913"/>
      <c r="D7" s="3914"/>
      <c r="E7" s="3393" t="s">
        <v>3234</v>
      </c>
      <c r="F7" s="3564"/>
      <c r="G7" s="3564"/>
      <c r="H7" s="3564"/>
      <c r="I7" s="3563"/>
      <c r="J7" s="3560"/>
      <c r="K7" s="3248"/>
      <c r="L7" s="3248"/>
      <c r="M7" s="3248"/>
      <c r="N7" s="3248"/>
      <c r="O7" s="3248"/>
      <c r="P7" s="3248"/>
      <c r="Q7" s="3248"/>
      <c r="R7" s="3248"/>
      <c r="S7" s="3248"/>
      <c r="T7" s="3248"/>
      <c r="U7" s="3248"/>
      <c r="V7" s="3248"/>
    </row>
    <row r="8" spans="1:22" ht="14.25">
      <c r="A8" s="3910" t="s">
        <v>306</v>
      </c>
      <c r="B8" s="3911">
        <v>15</v>
      </c>
      <c r="C8" s="3912"/>
      <c r="D8" s="3914"/>
      <c r="E8" s="3393" t="s">
        <v>3233</v>
      </c>
      <c r="F8" s="3564"/>
      <c r="G8" s="3564"/>
      <c r="H8" s="3564"/>
      <c r="I8" s="3563"/>
      <c r="J8" s="3560"/>
      <c r="K8" s="3248"/>
      <c r="L8" s="3248"/>
      <c r="M8" s="3248"/>
      <c r="N8" s="3248"/>
      <c r="O8" s="3248"/>
      <c r="P8" s="3248"/>
      <c r="Q8" s="3248"/>
      <c r="R8" s="3248"/>
      <c r="S8" s="3248"/>
      <c r="T8" s="3248"/>
      <c r="U8" s="3248"/>
      <c r="V8" s="3248"/>
    </row>
    <row r="9" spans="1:22" ht="14.25">
      <c r="A9" s="3910"/>
      <c r="B9" s="3911"/>
      <c r="C9" s="3913"/>
      <c r="D9" s="3914"/>
      <c r="E9" s="3393" t="s">
        <v>3232</v>
      </c>
      <c r="F9" s="3564"/>
      <c r="G9" s="3564"/>
      <c r="H9" s="3564"/>
      <c r="I9" s="3563"/>
      <c r="J9" s="3560"/>
      <c r="K9" s="3248"/>
      <c r="L9" s="3248"/>
      <c r="M9" s="3248"/>
      <c r="N9" s="3248"/>
      <c r="O9" s="3248"/>
      <c r="P9" s="3248"/>
      <c r="Q9" s="3248"/>
      <c r="R9" s="3248"/>
      <c r="S9" s="3248"/>
      <c r="T9" s="3248"/>
      <c r="U9" s="3248"/>
      <c r="V9" s="3248"/>
    </row>
    <row r="10" spans="1:22" ht="14.25">
      <c r="A10" s="3910" t="s">
        <v>309</v>
      </c>
      <c r="B10" s="3911">
        <v>15</v>
      </c>
      <c r="C10" s="3912"/>
      <c r="D10" s="3914"/>
      <c r="E10" s="3393" t="s">
        <v>3231</v>
      </c>
      <c r="F10" s="3564"/>
      <c r="G10" s="3564"/>
      <c r="H10" s="3564"/>
      <c r="I10" s="3563"/>
      <c r="J10" s="3560"/>
      <c r="K10" s="3248"/>
      <c r="L10" s="3248"/>
      <c r="M10" s="3248"/>
      <c r="N10" s="3248"/>
      <c r="O10" s="3248"/>
      <c r="P10" s="3248"/>
      <c r="Q10" s="3248"/>
      <c r="R10" s="3248"/>
      <c r="S10" s="3248"/>
      <c r="T10" s="3248"/>
      <c r="U10" s="3248"/>
      <c r="V10" s="3248"/>
    </row>
    <row r="11" spans="1:22" ht="14.25">
      <c r="A11" s="3910"/>
      <c r="B11" s="3911"/>
      <c r="C11" s="3913"/>
      <c r="D11" s="3914"/>
      <c r="E11" s="3393" t="s">
        <v>3230</v>
      </c>
      <c r="F11" s="3564"/>
      <c r="G11" s="3564"/>
      <c r="H11" s="3564"/>
      <c r="I11" s="3563"/>
      <c r="J11" s="3560"/>
      <c r="K11" s="3248"/>
      <c r="L11" s="3248"/>
      <c r="M11" s="3248"/>
      <c r="N11" s="3248"/>
      <c r="O11" s="3248"/>
      <c r="P11" s="3248"/>
      <c r="Q11" s="3248"/>
      <c r="R11" s="3248"/>
      <c r="S11" s="3248"/>
      <c r="T11" s="3248"/>
      <c r="U11" s="3248"/>
      <c r="V11" s="3248"/>
    </row>
    <row r="12" spans="1:22" ht="14.25">
      <c r="A12" s="3910" t="s">
        <v>312</v>
      </c>
      <c r="B12" s="3911">
        <v>15</v>
      </c>
      <c r="C12" s="3912"/>
      <c r="D12" s="3914"/>
      <c r="E12" s="3393" t="s">
        <v>3229</v>
      </c>
      <c r="F12" s="3564"/>
      <c r="G12" s="3564"/>
      <c r="H12" s="3564"/>
      <c r="I12" s="3563"/>
      <c r="J12" s="3560"/>
      <c r="K12" s="3248"/>
      <c r="L12" s="3248"/>
      <c r="M12" s="3248"/>
      <c r="N12" s="3248"/>
      <c r="O12" s="3248"/>
      <c r="P12" s="3248"/>
      <c r="Q12" s="3248"/>
      <c r="R12" s="3248"/>
      <c r="S12" s="3248"/>
      <c r="T12" s="3248"/>
      <c r="U12" s="3248"/>
      <c r="V12" s="3248"/>
    </row>
    <row r="13" spans="1:22" ht="14.25">
      <c r="A13" s="3910"/>
      <c r="B13" s="3911"/>
      <c r="C13" s="3913"/>
      <c r="D13" s="3914"/>
      <c r="E13" s="3393" t="s">
        <v>3228</v>
      </c>
      <c r="F13" s="3564"/>
      <c r="G13" s="3564"/>
      <c r="H13" s="3564"/>
      <c r="I13" s="3563"/>
      <c r="J13" s="3560"/>
      <c r="K13" s="3248"/>
      <c r="L13" s="3248"/>
      <c r="M13" s="3248"/>
      <c r="N13" s="3248"/>
      <c r="O13" s="3248"/>
      <c r="P13" s="3248"/>
      <c r="Q13" s="3248"/>
      <c r="R13" s="3248"/>
      <c r="S13" s="3248"/>
      <c r="T13" s="3248"/>
      <c r="U13" s="3248"/>
      <c r="V13" s="3248"/>
    </row>
    <row r="14" spans="1:22" ht="14.25">
      <c r="A14" s="3910" t="s">
        <v>315</v>
      </c>
      <c r="B14" s="3911">
        <v>30</v>
      </c>
      <c r="C14" s="3912"/>
      <c r="D14" s="3914"/>
      <c r="E14" s="3393" t="s">
        <v>3227</v>
      </c>
      <c r="F14" s="3564"/>
      <c r="G14" s="3564"/>
      <c r="H14" s="3564"/>
      <c r="I14" s="3563"/>
      <c r="J14" s="3560"/>
      <c r="K14" s="3248"/>
      <c r="L14" s="3248"/>
      <c r="M14" s="3248"/>
      <c r="N14" s="3248"/>
      <c r="O14" s="3248"/>
      <c r="P14" s="3248"/>
      <c r="Q14" s="3248"/>
      <c r="R14" s="3248"/>
      <c r="S14" s="3248"/>
      <c r="T14" s="3248"/>
      <c r="U14" s="3248"/>
      <c r="V14" s="3248"/>
    </row>
    <row r="15" spans="1:22" ht="14.25">
      <c r="A15" s="3910"/>
      <c r="B15" s="3911"/>
      <c r="C15" s="3915"/>
      <c r="D15" s="3914"/>
      <c r="E15" s="3393" t="s">
        <v>3226</v>
      </c>
      <c r="F15" s="3564"/>
      <c r="G15" s="3564"/>
      <c r="H15" s="3564"/>
      <c r="I15" s="3563"/>
      <c r="J15" s="3560"/>
      <c r="K15" s="3248"/>
      <c r="L15" s="3248"/>
      <c r="M15" s="3248"/>
      <c r="N15" s="3248"/>
      <c r="O15" s="3248"/>
      <c r="P15" s="3248"/>
      <c r="Q15" s="3248"/>
      <c r="R15" s="3248"/>
      <c r="S15" s="3248"/>
      <c r="T15" s="3248"/>
      <c r="U15" s="3248"/>
      <c r="V15" s="3248"/>
    </row>
    <row r="16" spans="1:22" ht="14.25">
      <c r="A16" s="3910"/>
      <c r="B16" s="3911"/>
      <c r="C16" s="3913"/>
      <c r="D16" s="3914"/>
      <c r="E16" s="3393" t="s">
        <v>3225</v>
      </c>
      <c r="F16" s="3564"/>
      <c r="G16" s="3564"/>
      <c r="H16" s="3564"/>
      <c r="I16" s="3563"/>
      <c r="J16" s="3560"/>
      <c r="K16" s="3248"/>
      <c r="L16" s="3248"/>
      <c r="M16" s="3248"/>
      <c r="N16" s="3248"/>
      <c r="O16" s="3248"/>
      <c r="P16" s="3248"/>
      <c r="Q16" s="3248"/>
      <c r="R16" s="3248"/>
      <c r="S16" s="3248"/>
      <c r="T16" s="3248"/>
      <c r="U16" s="3248"/>
      <c r="V16" s="3248"/>
    </row>
    <row r="17" spans="1:26" ht="15">
      <c r="A17" s="3451" t="s">
        <v>319</v>
      </c>
      <c r="B17" s="3562"/>
      <c r="C17" s="3561">
        <f>SUM(C5:C16)</f>
        <v>50</v>
      </c>
      <c r="D17" s="3561">
        <f>SUM(D5:D16)</f>
        <v>50</v>
      </c>
      <c r="E17" s="3305"/>
      <c r="F17" s="3305"/>
      <c r="G17" s="3305"/>
      <c r="H17" s="3305"/>
      <c r="I17" s="3305"/>
      <c r="J17" s="3560"/>
      <c r="K17" s="3248"/>
      <c r="L17" s="3248"/>
      <c r="M17" s="3248"/>
      <c r="N17" s="3248"/>
      <c r="O17" s="3248"/>
      <c r="P17" s="3248"/>
      <c r="Q17" s="3248"/>
      <c r="R17" s="3248"/>
      <c r="S17" s="3248"/>
      <c r="T17" s="3248"/>
      <c r="U17" s="3248"/>
      <c r="V17" s="3248"/>
    </row>
    <row r="18" spans="1:26" ht="15.75" thickBot="1">
      <c r="A18" s="3559" t="s">
        <v>320</v>
      </c>
      <c r="B18" s="3498"/>
      <c r="C18" s="3558">
        <f>ROUND(C17/SUM(C17:D17),2)</f>
        <v>0.5</v>
      </c>
      <c r="D18" s="3558">
        <f>1-C18</f>
        <v>0.5</v>
      </c>
      <c r="E18" s="3305"/>
      <c r="F18" s="3305"/>
      <c r="G18" s="3305"/>
      <c r="H18" s="3305"/>
      <c r="I18" s="3305"/>
      <c r="J18" s="3248"/>
      <c r="K18" s="3248"/>
      <c r="L18" s="3248"/>
      <c r="M18" s="3248"/>
      <c r="N18" s="3248"/>
      <c r="O18" s="3248"/>
      <c r="P18" s="3248"/>
      <c r="Q18" s="3248"/>
      <c r="R18" s="3248"/>
      <c r="S18" s="3248"/>
      <c r="T18" s="3248"/>
      <c r="U18" s="3248"/>
      <c r="V18" s="3248"/>
    </row>
    <row r="19" spans="1:26" ht="15">
      <c r="A19" s="3520" t="s">
        <v>3224</v>
      </c>
      <c r="B19" s="3535" t="s">
        <v>3215</v>
      </c>
      <c r="C19" s="3557">
        <f ca="1">SUMIF(INDIRECT("'"&amp;C4&amp;"'"&amp;"!A:A"),'结果表-商业'!B19,INDIRECT("'"&amp;C4&amp;"'"&amp;"!B:B"))</f>
        <v>6819</v>
      </c>
      <c r="D19" s="3556">
        <f ca="1">SUMIF(INDIRECT("'"&amp;D4&amp;"'"&amp;"!A:A"),'结果表-商业'!B19,INDIRECT("'"&amp;D4&amp;"'"&amp;"!B:B"))</f>
        <v>7587</v>
      </c>
      <c r="E19" s="3520" t="s">
        <v>3223</v>
      </c>
      <c r="F19" s="3535" t="s">
        <v>3215</v>
      </c>
      <c r="G19" s="3555">
        <f ca="1">ROUND(C19*$C$18+D19*$D$18,0)</f>
        <v>7203</v>
      </c>
      <c r="H19" s="3554" t="s">
        <v>3222</v>
      </c>
      <c r="I19" s="3305"/>
      <c r="J19" s="3248"/>
      <c r="K19" s="3248"/>
      <c r="L19" s="3248"/>
      <c r="M19" s="3248"/>
      <c r="N19" s="3248"/>
      <c r="O19" s="3248"/>
      <c r="P19" s="3248"/>
      <c r="Q19" s="3248"/>
      <c r="R19" s="3248"/>
      <c r="S19" s="3248"/>
      <c r="T19" s="3248"/>
      <c r="U19" s="3248"/>
      <c r="V19" s="3248"/>
    </row>
    <row r="20" spans="1:26" s="3547" customFormat="1" ht="15">
      <c r="A20" s="3551"/>
      <c r="B20" s="3550" t="s">
        <v>3221</v>
      </c>
      <c r="C20" s="3553">
        <f ca="1">SUMIF(INDIRECT("'"&amp;C4&amp;"'"&amp;"!A:A"),'结果表-商业'!B20,INDIRECT("'"&amp;C4&amp;"'"&amp;"!B:B"))</f>
        <v>38313</v>
      </c>
      <c r="D20" s="3552">
        <f ca="1">SUMIF(INDIRECT("'"&amp;D4&amp;"'"&amp;"!A:A"),'结果表-商业'!B20,INDIRECT("'"&amp;D4&amp;"'"&amp;"!B:B"))</f>
        <v>42628</v>
      </c>
      <c r="E20" s="3551"/>
      <c r="F20" s="3550" t="s">
        <v>3221</v>
      </c>
      <c r="G20" s="3549">
        <f ca="1">ROUND(C20*$C$18+D20*$D$18,0)</f>
        <v>40471</v>
      </c>
      <c r="H20" s="3548" t="s">
        <v>3219</v>
      </c>
      <c r="J20" s="3457"/>
      <c r="K20" s="3457"/>
      <c r="L20" s="3457"/>
      <c r="M20" s="3457"/>
      <c r="N20" s="3457"/>
      <c r="O20" s="3457"/>
      <c r="P20" s="3457"/>
      <c r="Q20" s="3457"/>
      <c r="R20" s="3457"/>
      <c r="S20" s="3457"/>
      <c r="T20" s="3457"/>
      <c r="U20" s="3457"/>
      <c r="V20" s="3457"/>
      <c r="W20" s="3457"/>
      <c r="X20" s="3457"/>
      <c r="Y20" s="3457"/>
      <c r="Z20" s="3457"/>
    </row>
    <row r="21" spans="1:26" ht="15" customHeight="1">
      <c r="A21" s="3544"/>
      <c r="B21" s="3543" t="s">
        <v>3220</v>
      </c>
      <c r="C21" s="3546">
        <f ca="1">SUMIF(INDIRECT("'"&amp;C4&amp;"'"&amp;"!A:A"),'结果表-商业'!B21,INDIRECT("'"&amp;C4&amp;"'"&amp;"!B:B"))</f>
        <v>372664</v>
      </c>
      <c r="D21" s="3545">
        <f ca="1">SUMIF(INDIRECT("'"&amp;D4&amp;"'"&amp;"!A:A"),'结果表-商业'!B21,INDIRECT("'"&amp;D4&amp;"'"&amp;"!B:B"))</f>
        <v>414635</v>
      </c>
      <c r="E21" s="3544"/>
      <c r="F21" s="3543" t="s">
        <v>3220</v>
      </c>
      <c r="G21" s="3542">
        <f ca="1">ROUND(C21*$C$18+D21*$D$18,0)</f>
        <v>393650</v>
      </c>
      <c r="H21" s="3504" t="s">
        <v>3219</v>
      </c>
      <c r="I21" s="3305"/>
      <c r="J21" s="3248"/>
      <c r="K21" s="3248"/>
      <c r="L21" s="3248"/>
      <c r="M21" s="3248"/>
      <c r="N21" s="3248"/>
      <c r="O21" s="3248"/>
      <c r="P21" s="3248"/>
      <c r="Q21" s="3248"/>
      <c r="R21" s="3248"/>
      <c r="S21" s="3248"/>
      <c r="T21" s="3248"/>
      <c r="U21" s="3248"/>
      <c r="V21" s="3248"/>
    </row>
    <row r="22" spans="1:26" ht="15.75" thickBot="1">
      <c r="A22" s="3541" t="s">
        <v>3218</v>
      </c>
      <c r="B22" s="3505"/>
      <c r="C22" s="3540"/>
      <c r="D22" s="3539">
        <f ca="1">IF(C19&lt;D19,D19/C19-1,C19/D19-1)</f>
        <v>0.11262648482182147</v>
      </c>
      <c r="E22" s="3494"/>
      <c r="F22" s="3538"/>
      <c r="G22" s="3537">
        <f ca="1">ROUND(G19/('[1]数据-汇总表'!D3/666.67),0)</f>
        <v>26</v>
      </c>
      <c r="H22" s="3536" t="s">
        <v>3217</v>
      </c>
      <c r="I22" s="3305"/>
      <c r="J22" s="3248"/>
      <c r="K22" s="3248"/>
      <c r="L22" s="3248"/>
      <c r="M22" s="3248"/>
      <c r="N22" s="3248"/>
      <c r="O22" s="3248"/>
      <c r="P22" s="3248"/>
      <c r="Q22" s="3248"/>
      <c r="R22" s="3248"/>
      <c r="S22" s="3248"/>
      <c r="T22" s="3248"/>
      <c r="U22" s="3248"/>
      <c r="V22" s="3248"/>
    </row>
    <row r="23" spans="1:26" ht="13.5" thickBot="1">
      <c r="A23" s="3305"/>
      <c r="B23" s="3305"/>
      <c r="C23" s="3305"/>
      <c r="D23" s="3305"/>
      <c r="E23" s="3305"/>
      <c r="F23" s="3305"/>
      <c r="G23" s="3305"/>
      <c r="H23" s="3305"/>
      <c r="I23" s="3305"/>
      <c r="J23" s="3248"/>
      <c r="K23" s="3248"/>
      <c r="L23" s="3248"/>
      <c r="M23" s="3248"/>
      <c r="N23" s="3248"/>
      <c r="O23" s="3248"/>
      <c r="P23" s="3248"/>
      <c r="Q23" s="3248"/>
      <c r="R23" s="3248"/>
      <c r="S23" s="3248"/>
      <c r="T23" s="3248"/>
      <c r="U23" s="3248"/>
      <c r="V23" s="3248"/>
    </row>
    <row r="24" spans="1:26" ht="15" thickBot="1">
      <c r="A24" s="3916" t="s">
        <v>3216</v>
      </c>
      <c r="B24" s="3535" t="s">
        <v>3215</v>
      </c>
      <c r="C24" s="3534">
        <f>IF(B30=0,0,D30)</f>
        <v>0</v>
      </c>
      <c r="D24" s="3533"/>
      <c r="E24" s="3305"/>
      <c r="F24" s="3305"/>
      <c r="G24" s="3305"/>
      <c r="H24" s="3305"/>
      <c r="I24" s="3305"/>
      <c r="J24" s="3248"/>
      <c r="K24" s="3248"/>
      <c r="L24" s="3248"/>
      <c r="M24" s="3248"/>
      <c r="N24" s="3248"/>
      <c r="O24" s="3248"/>
      <c r="P24" s="3248"/>
      <c r="Q24" s="3248"/>
      <c r="R24" s="3248"/>
      <c r="S24" s="3248"/>
      <c r="T24" s="3248"/>
      <c r="U24" s="3248"/>
      <c r="V24" s="3248"/>
    </row>
    <row r="25" spans="1:26" ht="18">
      <c r="A25" s="3917"/>
      <c r="B25" s="3532" t="s">
        <v>331</v>
      </c>
      <c r="C25" s="3531">
        <f>IF(B30=0,0,C30)</f>
        <v>0</v>
      </c>
      <c r="D25" s="3530"/>
      <c r="E25" s="3305"/>
      <c r="F25" s="3305"/>
      <c r="G25" s="3305"/>
      <c r="H25" s="3305"/>
      <c r="I25" s="3305"/>
      <c r="J25" s="3248"/>
      <c r="K25" s="3529" t="str">
        <f ca="1">[1]项目基本情况!B16&amp;"国有建设用地使用权价格："&amp;O38&amp;"万元"</f>
        <v>出让国有建设用地使用权价格：7203万元</v>
      </c>
      <c r="L25" s="3528"/>
      <c r="M25" s="3528"/>
      <c r="N25" s="3528"/>
      <c r="O25" s="3527"/>
      <c r="P25" s="3248"/>
      <c r="Q25" s="3248"/>
      <c r="R25" s="3248"/>
      <c r="S25" s="3248"/>
      <c r="T25" s="3248"/>
      <c r="U25" s="3248"/>
      <c r="V25" s="3248"/>
    </row>
    <row r="26" spans="1:26" s="3303" customFormat="1" ht="18">
      <c r="A26" s="3526" t="s">
        <v>3214</v>
      </c>
      <c r="B26" s="3478" t="s">
        <v>3213</v>
      </c>
      <c r="C26" s="3478" t="s">
        <v>3212</v>
      </c>
      <c r="D26" s="3477" t="s">
        <v>3192</v>
      </c>
      <c r="E26" s="3305"/>
      <c r="F26" s="3305"/>
      <c r="G26" s="3305"/>
      <c r="H26" s="3305"/>
      <c r="I26" s="3305"/>
      <c r="J26" s="3248"/>
      <c r="K26" s="3506" t="str">
        <f ca="1">"大写金额：人民币"&amp;NUMBERSTRING(INT(O38*10000),2)&amp;"元整"</f>
        <v>大写金额：人民币柒仟贰佰零叁万元整</v>
      </c>
      <c r="L26" s="3505"/>
      <c r="M26" s="3505"/>
      <c r="N26" s="3505"/>
      <c r="O26" s="3504"/>
      <c r="P26" s="3248"/>
      <c r="Q26" s="3248"/>
      <c r="R26" s="3248"/>
      <c r="S26" s="3248"/>
      <c r="T26" s="3248"/>
      <c r="U26" s="3248"/>
      <c r="V26" s="3248"/>
      <c r="W26" s="3304"/>
      <c r="X26" s="3304"/>
      <c r="Y26" s="3304"/>
      <c r="Z26" s="3304"/>
    </row>
    <row r="27" spans="1:26" ht="18">
      <c r="A27" s="3526"/>
      <c r="B27" s="3478"/>
      <c r="C27" s="3478"/>
      <c r="D27" s="3477"/>
      <c r="E27" s="3305"/>
      <c r="F27" s="3305"/>
      <c r="G27" s="3305"/>
      <c r="H27" s="3305"/>
      <c r="I27" s="3305"/>
      <c r="J27" s="3248"/>
      <c r="K27" s="3506" t="str">
        <f ca="1">"单位面积地价："&amp;M38&amp;"元/平方米"</f>
        <v>单位面积地价：394元/平方米</v>
      </c>
      <c r="L27" s="3505"/>
      <c r="M27" s="3505"/>
      <c r="N27" s="3505"/>
      <c r="O27" s="3504"/>
      <c r="P27" s="3248"/>
      <c r="Q27" s="3248"/>
      <c r="R27" s="3248"/>
      <c r="S27" s="3248"/>
      <c r="T27" s="3248"/>
      <c r="U27" s="3248"/>
      <c r="V27" s="3248"/>
    </row>
    <row r="28" spans="1:26" ht="18.75" customHeight="1">
      <c r="A28" s="3526"/>
      <c r="B28" s="3478"/>
      <c r="C28" s="3478"/>
      <c r="D28" s="3477"/>
      <c r="E28" s="3305"/>
      <c r="F28" s="3305"/>
      <c r="G28" s="3305"/>
      <c r="H28" s="3305"/>
      <c r="I28" s="3305"/>
      <c r="J28" s="3248"/>
      <c r="K28" s="3506" t="str">
        <f ca="1">"楼面地价："&amp;N38&amp;"元/平方米"</f>
        <v>楼面地价：101元/平方米</v>
      </c>
      <c r="L28" s="3505"/>
      <c r="M28" s="3505"/>
      <c r="N28" s="3505"/>
      <c r="O28" s="3504"/>
      <c r="P28" s="3248"/>
      <c r="V28" s="3248"/>
    </row>
    <row r="29" spans="1:26" ht="18">
      <c r="A29" s="3526"/>
      <c r="B29" s="3478"/>
      <c r="C29" s="3478"/>
      <c r="D29" s="3477"/>
      <c r="E29" s="3305"/>
      <c r="F29" s="3305"/>
      <c r="G29" s="3305"/>
      <c r="H29" s="3305"/>
      <c r="I29" s="3305"/>
      <c r="J29" s="3248"/>
      <c r="K29" s="3506" t="str">
        <f>IF(OR([1]项目基本情况!E8="抵押价格",[1]项目基本情况!E8="已注销及未注销"),"抵押价格："&amp;O39&amp;"万元","——")</f>
        <v>——</v>
      </c>
      <c r="L29" s="3505"/>
      <c r="M29" s="3505"/>
      <c r="N29" s="3505"/>
      <c r="O29" s="3504"/>
      <c r="P29" s="3248"/>
      <c r="V29" s="3248"/>
    </row>
    <row r="30" spans="1:26" ht="18.75" thickBot="1">
      <c r="A30" s="3525" t="s">
        <v>3211</v>
      </c>
      <c r="B30" s="3471"/>
      <c r="C30" s="3471"/>
      <c r="D30" s="3470"/>
      <c r="E30" s="3524" t="s">
        <v>3210</v>
      </c>
      <c r="F30" s="3305"/>
      <c r="G30" s="3305"/>
      <c r="H30" s="3305"/>
      <c r="I30" s="3305"/>
      <c r="J30" s="3248"/>
      <c r="K30" s="3506" t="str">
        <f>IF(K29="——","——","大写金额：人民币"&amp;NUMBERSTRING(INT(O39*10000),2)&amp;"元整")</f>
        <v>——</v>
      </c>
      <c r="L30" s="3505"/>
      <c r="M30" s="3505"/>
      <c r="N30" s="3505"/>
      <c r="O30" s="3504"/>
      <c r="P30" s="3248"/>
      <c r="V30" s="3248"/>
    </row>
    <row r="31" spans="1:26" ht="24" customHeight="1" thickBot="1">
      <c r="A31" s="3305"/>
      <c r="B31" s="3305"/>
      <c r="C31" s="3305"/>
      <c r="D31" s="3305"/>
      <c r="E31" s="3305"/>
      <c r="F31" s="3305"/>
      <c r="G31" s="3305"/>
      <c r="H31" s="3305"/>
      <c r="I31" s="3305"/>
      <c r="J31" s="3248"/>
      <c r="K31" s="3523" t="str">
        <f>IF([1]项目基本情况!E8="抵押价格","——","抵押担保权已注销时的抵押价格："&amp;O40&amp;"万元")</f>
        <v>抵押担保权已注销时的抵押价格：——万元</v>
      </c>
      <c r="L31" s="3522"/>
      <c r="M31" s="3522"/>
      <c r="N31" s="3522"/>
      <c r="O31" s="3521"/>
      <c r="P31" s="3248"/>
      <c r="V31" s="3248"/>
    </row>
    <row r="32" spans="1:26" ht="18.75" thickBot="1">
      <c r="A32" s="3520" t="s">
        <v>3209</v>
      </c>
      <c r="B32" s="3519" t="s">
        <v>3208</v>
      </c>
      <c r="C32" s="3518">
        <f ca="1">G19-C24</f>
        <v>7203</v>
      </c>
      <c r="D32" s="3517" t="s">
        <v>3207</v>
      </c>
      <c r="E32" s="3305"/>
      <c r="F32" s="3305"/>
      <c r="G32" s="3305"/>
      <c r="H32" s="3305"/>
      <c r="I32" s="3305"/>
      <c r="J32" s="3248"/>
      <c r="K32" s="3516" t="e">
        <f>IF(K31="——","——","大写金额：人民币"&amp;NUMBERSTRING(INT(O40*10000),2)&amp;"元整")</f>
        <v>#VALUE!</v>
      </c>
      <c r="L32" s="3515"/>
      <c r="M32" s="3515"/>
      <c r="N32" s="3515"/>
      <c r="O32" s="3514"/>
      <c r="P32" s="3248"/>
      <c r="V32" s="3248"/>
    </row>
    <row r="33" spans="1:26" ht="18.75" thickBot="1">
      <c r="A33" s="3513" t="s">
        <v>3206</v>
      </c>
      <c r="B33" s="3512" t="s">
        <v>3205</v>
      </c>
      <c r="C33" s="3451">
        <f ca="1">ROUND(C32*10000/'[1]数据-汇总表'!E3,0)</f>
        <v>101</v>
      </c>
      <c r="D33" s="3511" t="s">
        <v>3201</v>
      </c>
      <c r="E33" s="3916" t="s">
        <v>3204</v>
      </c>
      <c r="F33" s="3510" t="s">
        <v>3203</v>
      </c>
      <c r="G33" s="3509"/>
      <c r="H33" s="3508"/>
      <c r="I33" s="3507"/>
      <c r="J33" s="3248"/>
      <c r="K33" s="3506" t="str">
        <f>IF([1]项目基本情况!E9="——","——","抵押净值："&amp;C46&amp;"万元")</f>
        <v>抵押净值：——万元</v>
      </c>
      <c r="L33" s="3505"/>
      <c r="M33" s="3505"/>
      <c r="N33" s="3505"/>
      <c r="O33" s="3504"/>
      <c r="P33" s="3248"/>
      <c r="V33" s="3248"/>
    </row>
    <row r="34" spans="1:26" s="3303" customFormat="1" ht="18.75" thickBot="1">
      <c r="A34" s="3503"/>
      <c r="B34" s="3502" t="s">
        <v>3202</v>
      </c>
      <c r="C34" s="3451">
        <f ca="1">ROUND(C32*10000/'[1]数据-汇总表'!D3,0)</f>
        <v>394</v>
      </c>
      <c r="D34" s="3501" t="s">
        <v>3201</v>
      </c>
      <c r="E34" s="3918"/>
      <c r="F34" s="3500" t="s">
        <v>3200</v>
      </c>
      <c r="G34" s="3499"/>
      <c r="H34" s="3498"/>
      <c r="I34" s="3305"/>
      <c r="J34" s="3248"/>
      <c r="K34" s="3497" t="e">
        <f>IF(K33="——","——","大写金额：人民币"&amp;NUMBERSTRING(INT(O41*10000),2)&amp;"元整")</f>
        <v>#VALUE!</v>
      </c>
      <c r="L34" s="3496"/>
      <c r="M34" s="3496"/>
      <c r="N34" s="3496"/>
      <c r="O34" s="3495"/>
      <c r="P34" s="3248"/>
      <c r="Q34" s="3304"/>
      <c r="R34" s="3304"/>
      <c r="S34" s="3304"/>
      <c r="T34" s="3304"/>
      <c r="U34" s="3304"/>
      <c r="V34" s="3248"/>
      <c r="W34" s="3304"/>
      <c r="X34" s="3304"/>
      <c r="Y34" s="3304"/>
      <c r="Z34" s="3304"/>
    </row>
    <row r="35" spans="1:26" ht="15.75" thickBot="1">
      <c r="A35" s="3494"/>
      <c r="B35" s="3493"/>
      <c r="C35" s="3492">
        <f ca="1">ROUND(C32/('[1]数据-汇总表'!D3/666.67),0)</f>
        <v>26</v>
      </c>
      <c r="D35" s="3491" t="s">
        <v>3199</v>
      </c>
      <c r="E35" s="3919"/>
      <c r="F35" s="3490" t="s">
        <v>3198</v>
      </c>
      <c r="G35" s="3489"/>
      <c r="H35" s="3488" t="s">
        <v>3197</v>
      </c>
      <c r="I35" s="3305"/>
      <c r="J35" s="3248"/>
      <c r="K35" s="3907" t="s">
        <v>350</v>
      </c>
      <c r="L35" s="3907" t="s">
        <v>351</v>
      </c>
      <c r="M35" s="3487" t="s">
        <v>352</v>
      </c>
      <c r="N35" s="3907" t="s">
        <v>353</v>
      </c>
      <c r="O35" s="3907" t="s">
        <v>354</v>
      </c>
      <c r="P35" s="3248"/>
      <c r="V35" s="3248"/>
    </row>
    <row r="36" spans="1:26" ht="16.5" customHeight="1">
      <c r="A36" s="3486" t="s">
        <v>3196</v>
      </c>
      <c r="B36" s="3485" t="s">
        <v>3195</v>
      </c>
      <c r="C36" s="3484" t="s">
        <v>3194</v>
      </c>
      <c r="D36" s="3484" t="s">
        <v>3193</v>
      </c>
      <c r="E36" s="3483" t="s">
        <v>3192</v>
      </c>
      <c r="F36" s="3305"/>
      <c r="G36" s="3305"/>
      <c r="H36" s="3305"/>
      <c r="I36" s="3305"/>
      <c r="J36" s="3434"/>
      <c r="K36" s="3908"/>
      <c r="L36" s="3908"/>
      <c r="M36" s="3482" t="s">
        <v>355</v>
      </c>
      <c r="N36" s="3908"/>
      <c r="O36" s="3908"/>
      <c r="P36" s="3248"/>
      <c r="V36" s="3248"/>
    </row>
    <row r="37" spans="1:26" ht="16.5" customHeight="1" thickBot="1">
      <c r="A37" s="3480" t="s">
        <v>3191</v>
      </c>
      <c r="B37" s="3479"/>
      <c r="C37" s="3478"/>
      <c r="D37" s="3478"/>
      <c r="E37" s="3477"/>
      <c r="F37" s="3305"/>
      <c r="G37" s="3305"/>
      <c r="H37" s="3305"/>
      <c r="I37" s="3305"/>
      <c r="J37" s="3434"/>
      <c r="K37" s="3909"/>
      <c r="L37" s="3909"/>
      <c r="M37" s="3481"/>
      <c r="N37" s="3909"/>
      <c r="O37" s="3909"/>
      <c r="P37" s="3248"/>
      <c r="V37" s="3248"/>
    </row>
    <row r="38" spans="1:26" ht="16.5" customHeight="1" thickBot="1">
      <c r="A38" s="3480" t="s">
        <v>3190</v>
      </c>
      <c r="B38" s="3479"/>
      <c r="C38" s="3478"/>
      <c r="D38" s="3478"/>
      <c r="E38" s="3477"/>
      <c r="F38" s="3305"/>
      <c r="G38" s="3305"/>
      <c r="H38" s="3305"/>
      <c r="I38" s="3305"/>
      <c r="J38" s="3434"/>
      <c r="K38" s="3476">
        <f>'[1]数据-汇总表'!D3</f>
        <v>183040.85</v>
      </c>
      <c r="L38" s="3475">
        <f>'[1]数据-汇总表'!E3</f>
        <v>709912</v>
      </c>
      <c r="M38" s="3475">
        <f ca="1">C34</f>
        <v>394</v>
      </c>
      <c r="N38" s="3475">
        <f ca="1">C33</f>
        <v>101</v>
      </c>
      <c r="O38" s="3474">
        <f ca="1">C32</f>
        <v>7203</v>
      </c>
      <c r="P38" s="3248"/>
      <c r="V38" s="3248"/>
    </row>
    <row r="39" spans="1:26" ht="16.5" customHeight="1" thickBot="1">
      <c r="A39" s="3473"/>
      <c r="B39" s="3472"/>
      <c r="C39" s="3471"/>
      <c r="D39" s="3471"/>
      <c r="E39" s="3470"/>
      <c r="F39" s="3305"/>
      <c r="G39" s="3305"/>
      <c r="H39" s="3305"/>
      <c r="I39" s="3305"/>
      <c r="J39" s="3434"/>
      <c r="K39" s="3900" t="str">
        <f>MID(A44,3,LEN(A44)-2)</f>
        <v/>
      </c>
      <c r="L39" s="3901"/>
      <c r="M39" s="3901"/>
      <c r="N39" s="3902"/>
      <c r="O39" s="3463" t="str">
        <f>C44</f>
        <v>——</v>
      </c>
      <c r="P39" s="3248"/>
      <c r="V39" s="3248"/>
    </row>
    <row r="40" spans="1:26" ht="19.5" thickBot="1">
      <c r="A40" s="3469" t="s">
        <v>3189</v>
      </c>
      <c r="B40" s="3305"/>
      <c r="C40" s="3305"/>
      <c r="D40" s="3305"/>
      <c r="E40" s="3305"/>
      <c r="F40" s="3305"/>
      <c r="G40" s="3305"/>
      <c r="H40" s="3305"/>
      <c r="I40" s="3305"/>
      <c r="J40" s="3434"/>
      <c r="K40" s="3900" t="str">
        <f>MID(A45,3,LEN(A45)-2)</f>
        <v/>
      </c>
      <c r="L40" s="3901"/>
      <c r="M40" s="3901"/>
      <c r="N40" s="3902"/>
      <c r="O40" s="3463" t="str">
        <f>C45</f>
        <v>——</v>
      </c>
      <c r="P40" s="3248"/>
      <c r="V40" s="3248"/>
    </row>
    <row r="41" spans="1:26" ht="16.5" thickBot="1">
      <c r="A41" s="3468" t="s">
        <v>3188</v>
      </c>
      <c r="B41" s="3467"/>
      <c r="C41" s="3466" t="s">
        <v>3187</v>
      </c>
      <c r="D41" s="3465" t="s">
        <v>3186</v>
      </c>
      <c r="E41" s="3465" t="s">
        <v>3185</v>
      </c>
      <c r="F41" s="3464" t="s">
        <v>3184</v>
      </c>
      <c r="G41" s="3305"/>
      <c r="H41" s="3305"/>
      <c r="I41" s="3305"/>
      <c r="J41" s="3434"/>
      <c r="K41" s="3900" t="str">
        <f>MID(A46,3,LEN(A46)-2)</f>
        <v/>
      </c>
      <c r="L41" s="3901"/>
      <c r="M41" s="3901"/>
      <c r="N41" s="3902"/>
      <c r="O41" s="3463" t="str">
        <f>C46</f>
        <v>——</v>
      </c>
      <c r="P41" s="3248"/>
      <c r="V41" s="3248"/>
    </row>
    <row r="42" spans="1:26" ht="29.25">
      <c r="A42" s="3887" t="s">
        <v>3183</v>
      </c>
      <c r="B42" s="3888"/>
      <c r="C42" s="3451">
        <f ca="1">C32</f>
        <v>7203</v>
      </c>
      <c r="D42" s="3443">
        <f ca="1">C33</f>
        <v>101</v>
      </c>
      <c r="E42" s="3443">
        <f ca="1">C34</f>
        <v>394</v>
      </c>
      <c r="F42" s="3442">
        <f ca="1">C35</f>
        <v>26</v>
      </c>
      <c r="G42" s="3305"/>
      <c r="H42" s="3305"/>
      <c r="I42" s="3441"/>
      <c r="J42" s="3434"/>
      <c r="K42" s="3462" t="s">
        <v>361</v>
      </c>
      <c r="L42" s="3461" t="s">
        <v>362</v>
      </c>
      <c r="M42" s="3460" t="s">
        <v>363</v>
      </c>
      <c r="N42" s="3459" t="s">
        <v>364</v>
      </c>
      <c r="O42" s="3458" t="s">
        <v>365</v>
      </c>
      <c r="P42" s="3248"/>
      <c r="V42" s="3248"/>
    </row>
    <row r="43" spans="1:26" ht="30">
      <c r="A43" s="3889" t="s">
        <v>2731</v>
      </c>
      <c r="B43" s="3890"/>
      <c r="C43" s="3451">
        <f>IF(H33="正常操作",G33+G34+G35,G34+G35)</f>
        <v>0</v>
      </c>
      <c r="D43" s="3443" t="s">
        <v>3109</v>
      </c>
      <c r="E43" s="3443" t="s">
        <v>3109</v>
      </c>
      <c r="F43" s="3442" t="s">
        <v>3109</v>
      </c>
      <c r="G43" s="3457" t="s">
        <v>952</v>
      </c>
      <c r="H43" s="3305"/>
      <c r="I43" s="3441"/>
      <c r="J43" s="3434"/>
      <c r="K43" s="3456" t="str">
        <f>C4</f>
        <v>基准地价-商业</v>
      </c>
      <c r="L43" s="3455">
        <f ca="1">IF(L42="估价结果/万元",C19,C20)</f>
        <v>6819</v>
      </c>
      <c r="M43" s="3454">
        <f>C18</f>
        <v>0.5</v>
      </c>
      <c r="N43" s="3453">
        <f ca="1">IF(N42="测算结果/万元",G19,G20)</f>
        <v>7203</v>
      </c>
      <c r="O43" s="3452">
        <f ca="1">IF(O42="最终结果/万元",C32,C33)</f>
        <v>7203</v>
      </c>
      <c r="P43" s="3248"/>
      <c r="V43" s="3248"/>
    </row>
    <row r="44" spans="1:26" ht="18.75" thickBot="1">
      <c r="A44" s="3887" t="str">
        <f>IF(OR([1]项目基本情况!E8="抵押价格",[1]项目基本情况!E8="已注销及未注销"),"3.抵押价格","——")</f>
        <v>——</v>
      </c>
      <c r="B44" s="3888"/>
      <c r="C44" s="3451" t="str">
        <f>IF(A44="——","——",C42-C43)</f>
        <v>——</v>
      </c>
      <c r="D44" s="3443" t="e">
        <f>ROUND(C44*10000/'[1]数据-汇总表'!E3,0)</f>
        <v>#VALUE!</v>
      </c>
      <c r="E44" s="3443" t="e">
        <f>ROUND(C44*10000/'[1]数据-汇总表'!D3,0)</f>
        <v>#VALUE!</v>
      </c>
      <c r="F44" s="3442" t="e">
        <f>ROUND(C44/('[1]数据-汇总表'!D3/666.67),0)</f>
        <v>#VALUE!</v>
      </c>
      <c r="G44" s="3305"/>
      <c r="H44" s="3305"/>
      <c r="I44" s="3441"/>
      <c r="J44" s="3434"/>
      <c r="K44" s="3450" t="str">
        <f>D4</f>
        <v>剩余法-商业</v>
      </c>
      <c r="L44" s="3449">
        <f ca="1">IF(L42="估价结果/万元",D19,D20)</f>
        <v>7587</v>
      </c>
      <c r="M44" s="3448">
        <f>D18</f>
        <v>0.5</v>
      </c>
      <c r="N44" s="3447"/>
      <c r="O44" s="3446"/>
      <c r="P44" s="3248"/>
      <c r="V44" s="3248"/>
    </row>
    <row r="45" spans="1:26" ht="15">
      <c r="A45" s="3891" t="str">
        <f>IF([1]项目基本情况!E8="已注销及未注销","4.抵押担保权已注销时的抵押价格",IF([1]项目基本情况!E8="已注销","3.抵押担保权已注销时的抵押价格","——"))</f>
        <v>——</v>
      </c>
      <c r="B45" s="3892"/>
      <c r="C45" s="3445" t="str">
        <f>IF(A45="——","——",IF([1]项目基本情况!E8="抵押价格","——",C32-G34-G35))</f>
        <v>——</v>
      </c>
      <c r="D45" s="3443" t="e">
        <f>ROUND(C45*10000/'[1]数据-汇总表'!E3,0)</f>
        <v>#VALUE!</v>
      </c>
      <c r="E45" s="3443" t="e">
        <f>ROUND(C45*10000/'[1]数据-汇总表'!D3,0)</f>
        <v>#VALUE!</v>
      </c>
      <c r="F45" s="3442" t="e">
        <f>ROUND(C45/('[1]数据-汇总表'!D3/666.67),0)</f>
        <v>#VALUE!</v>
      </c>
      <c r="G45" s="3305"/>
      <c r="H45" s="3305"/>
      <c r="I45" s="3441"/>
      <c r="J45" s="3434"/>
      <c r="K45" s="3248"/>
      <c r="L45" s="3248"/>
      <c r="M45" s="3248"/>
      <c r="N45" s="3248"/>
      <c r="O45" s="3248"/>
      <c r="P45" s="3248"/>
      <c r="V45" s="3248"/>
    </row>
    <row r="46" spans="1:26" ht="15.75" thickBot="1">
      <c r="A46" s="3893" t="str">
        <f>IF([1]项目基本情况!E9="抵押净值",IF(A45="——","4.抵押净值","5.抵押净值"),"——")</f>
        <v>——</v>
      </c>
      <c r="B46" s="3894"/>
      <c r="C46" s="3444" t="str">
        <f>IF(A46="——","——",O79)</f>
        <v>——</v>
      </c>
      <c r="D46" s="3443" t="e">
        <f>ROUND(C46*10000/'[1]数据-汇总表'!E3,0)</f>
        <v>#VALUE!</v>
      </c>
      <c r="E46" s="3443" t="e">
        <f>ROUND(C46*10000/'[1]数据-汇总表'!D3,0)</f>
        <v>#VALUE!</v>
      </c>
      <c r="F46" s="3442" t="e">
        <f>ROUND(C46/('[1]数据-汇总表'!D3/666.67),0)</f>
        <v>#VALUE!</v>
      </c>
      <c r="G46" s="3305"/>
      <c r="H46" s="3305"/>
      <c r="I46" s="3441"/>
      <c r="J46" s="3434"/>
      <c r="K46" s="3248"/>
      <c r="L46" s="3248"/>
      <c r="M46" s="3248"/>
      <c r="N46" s="3248"/>
      <c r="O46" s="3248"/>
      <c r="P46" s="3248"/>
      <c r="Q46" s="3248"/>
      <c r="R46" s="3248"/>
      <c r="S46" s="3248"/>
      <c r="T46" s="3248"/>
      <c r="U46" s="3248"/>
      <c r="V46" s="3248"/>
    </row>
    <row r="47" spans="1:26" ht="15.75">
      <c r="A47" s="3440" t="s">
        <v>3182</v>
      </c>
      <c r="B47" s="3439"/>
      <c r="C47" s="3438" t="s">
        <v>367</v>
      </c>
      <c r="D47" s="3425"/>
      <c r="E47" s="3425"/>
      <c r="F47" s="3425"/>
      <c r="G47" s="3437"/>
      <c r="H47" s="3436"/>
      <c r="I47" s="3435"/>
      <c r="J47" s="3434"/>
      <c r="K47" s="3305" t="str">
        <f>IF(C43=0,"本次评估"&amp;IF(G43="设定","设定估价对象","")&amp;"不存在"&amp;MID(A43,3,LEN(A43)-2),"本次评估"&amp;IF(G43="设定","设定","")&amp;MID(A43,3,LEN(A43)-2)&amp;"为人民币"&amp;C43&amp;"万元整。")</f>
        <v>本次评估不存在估价师知悉的法定优先受偿款</v>
      </c>
      <c r="L47" s="3248"/>
      <c r="M47" s="3248"/>
      <c r="N47" s="3248"/>
      <c r="O47" s="3248"/>
      <c r="P47" s="3248"/>
      <c r="Q47" s="3248"/>
      <c r="R47" s="3248"/>
      <c r="S47" s="3248"/>
      <c r="T47" s="3248"/>
      <c r="U47" s="3248"/>
      <c r="V47" s="3248"/>
    </row>
    <row r="48" spans="1:26" ht="12.75">
      <c r="A48" s="3433">
        <v>1</v>
      </c>
      <c r="B48" s="3426"/>
      <c r="C48" s="3426"/>
      <c r="D48" s="3425"/>
      <c r="E48" s="3425"/>
      <c r="F48" s="3425"/>
      <c r="G48" s="3425"/>
      <c r="H48" s="3424"/>
      <c r="I48" s="3432"/>
      <c r="J48" s="3434"/>
      <c r="K48" s="3248"/>
      <c r="L48" s="3248"/>
      <c r="M48" s="3248"/>
      <c r="N48" s="3248"/>
      <c r="O48" s="3248"/>
      <c r="P48" s="3248"/>
      <c r="Q48" s="3248"/>
      <c r="R48" s="3248"/>
      <c r="S48" s="3248"/>
      <c r="T48" s="3248"/>
      <c r="U48" s="3248"/>
      <c r="V48" s="3248"/>
    </row>
    <row r="49" spans="1:22" ht="12.75">
      <c r="A49" s="3433">
        <v>2</v>
      </c>
      <c r="B49" s="3426"/>
      <c r="C49" s="3426"/>
      <c r="D49" s="3425"/>
      <c r="E49" s="3425"/>
      <c r="F49" s="3425"/>
      <c r="G49" s="3425"/>
      <c r="H49" s="3424"/>
      <c r="I49" s="3432"/>
      <c r="J49" s="3416"/>
      <c r="K49" s="3248"/>
      <c r="L49" s="3248"/>
      <c r="M49" s="3248"/>
      <c r="N49" s="3248"/>
      <c r="O49" s="3248"/>
      <c r="P49" s="3248"/>
      <c r="Q49" s="3248"/>
      <c r="R49" s="3248"/>
      <c r="S49" s="3248"/>
      <c r="T49" s="3248"/>
      <c r="U49" s="3248"/>
      <c r="V49" s="3248"/>
    </row>
    <row r="50" spans="1:22" ht="12.75">
      <c r="A50" s="3433">
        <v>3</v>
      </c>
      <c r="B50" s="3426"/>
      <c r="C50" s="3426"/>
      <c r="D50" s="3425"/>
      <c r="E50" s="3425"/>
      <c r="F50" s="3425"/>
      <c r="G50" s="3425"/>
      <c r="H50" s="3424"/>
      <c r="I50" s="3432"/>
      <c r="J50" s="3416"/>
      <c r="K50" s="3248"/>
      <c r="L50" s="3248"/>
      <c r="M50" s="3248"/>
      <c r="N50" s="3248"/>
      <c r="O50" s="3248"/>
      <c r="P50" s="3248"/>
      <c r="Q50" s="3248"/>
      <c r="R50" s="3248"/>
      <c r="S50" s="3248"/>
      <c r="T50" s="3248"/>
      <c r="U50" s="3248"/>
      <c r="V50" s="3248"/>
    </row>
    <row r="51" spans="1:22" ht="12.75">
      <c r="A51" s="3431"/>
      <c r="B51" s="3430"/>
      <c r="C51" s="3430"/>
      <c r="D51" s="3429"/>
      <c r="E51" s="3429"/>
      <c r="F51" s="3429"/>
      <c r="G51" s="3429"/>
      <c r="H51" s="3428"/>
      <c r="I51" s="3427"/>
      <c r="J51" s="3416"/>
      <c r="K51" s="3248"/>
      <c r="L51" s="3248"/>
      <c r="M51" s="3248"/>
      <c r="N51" s="3248"/>
      <c r="O51" s="3248"/>
      <c r="P51" s="3248"/>
      <c r="Q51" s="3248"/>
      <c r="R51" s="3248"/>
      <c r="S51" s="3248"/>
      <c r="T51" s="3248"/>
      <c r="U51" s="3248"/>
      <c r="V51" s="3248"/>
    </row>
    <row r="52" spans="1:22" ht="12.75">
      <c r="A52" s="3426"/>
      <c r="B52" s="3426"/>
      <c r="C52" s="3426"/>
      <c r="D52" s="3425"/>
      <c r="E52" s="3425"/>
      <c r="F52" s="3425"/>
      <c r="G52" s="3425"/>
      <c r="H52" s="3424"/>
      <c r="I52" s="3240"/>
      <c r="J52" s="3416"/>
      <c r="K52" s="3248"/>
      <c r="L52" s="3248"/>
      <c r="M52" s="3248"/>
      <c r="N52" s="3248"/>
      <c r="O52" s="3248"/>
      <c r="P52" s="3248"/>
      <c r="Q52" s="3248"/>
      <c r="R52" s="3248"/>
      <c r="S52" s="3248"/>
      <c r="T52" s="3248"/>
      <c r="U52" s="3248"/>
      <c r="V52" s="3248"/>
    </row>
    <row r="53" spans="1:22" ht="12.75">
      <c r="A53" s="3240"/>
      <c r="B53" s="3240"/>
      <c r="C53" s="3240"/>
      <c r="D53" s="3240"/>
      <c r="E53" s="3240"/>
      <c r="F53" s="3423" t="s">
        <v>3181</v>
      </c>
      <c r="G53" s="3422"/>
      <c r="H53" s="3422"/>
      <c r="I53" s="3421" t="s">
        <v>3180</v>
      </c>
      <c r="J53" s="3416"/>
      <c r="K53" s="3248"/>
      <c r="L53" s="3248"/>
      <c r="M53" s="3248"/>
      <c r="N53" s="3248"/>
      <c r="O53" s="3248"/>
      <c r="P53" s="3248"/>
      <c r="Q53" s="3248"/>
      <c r="R53" s="3248"/>
      <c r="S53" s="3248"/>
      <c r="T53" s="3248"/>
      <c r="U53" s="3248"/>
      <c r="V53" s="3248"/>
    </row>
    <row r="54" spans="1:22" ht="12.75">
      <c r="A54" s="3240"/>
      <c r="B54" s="3420" t="s">
        <v>3179</v>
      </c>
      <c r="C54" s="3240"/>
      <c r="D54" s="3240"/>
      <c r="E54" s="3240"/>
      <c r="F54" s="3240"/>
      <c r="G54" s="3240"/>
      <c r="H54" s="3240"/>
      <c r="I54" s="3240"/>
      <c r="J54" s="3416"/>
      <c r="K54" s="3248"/>
      <c r="L54" s="3248"/>
      <c r="M54" s="3248"/>
      <c r="N54" s="3248"/>
      <c r="O54" s="3248"/>
      <c r="P54" s="3248"/>
      <c r="Q54" s="3248"/>
      <c r="R54" s="3248"/>
      <c r="S54" s="3248"/>
      <c r="T54" s="3248"/>
      <c r="U54" s="3248"/>
      <c r="V54" s="3248"/>
    </row>
    <row r="55" spans="1:22" ht="12.75">
      <c r="A55" s="3240"/>
      <c r="B55" s="3240"/>
      <c r="C55" s="3240"/>
      <c r="D55" s="3240"/>
      <c r="E55" s="3240"/>
      <c r="F55" s="3240"/>
      <c r="G55" s="3240"/>
      <c r="H55" s="3240"/>
      <c r="I55" s="3240"/>
      <c r="J55" s="3416"/>
      <c r="K55" s="3248"/>
      <c r="L55" s="3248"/>
      <c r="M55" s="3248"/>
      <c r="N55" s="3248"/>
      <c r="O55" s="3248"/>
      <c r="P55" s="3248"/>
      <c r="Q55" s="3248"/>
      <c r="R55" s="3248"/>
      <c r="S55" s="3248"/>
      <c r="T55" s="3248"/>
      <c r="U55" s="3248"/>
      <c r="V55" s="3248"/>
    </row>
    <row r="56" spans="1:22" ht="12.75">
      <c r="A56" s="3240"/>
      <c r="B56" s="3422"/>
      <c r="C56" s="3422"/>
      <c r="D56" s="3422"/>
      <c r="E56" s="3422"/>
      <c r="F56" s="3422"/>
      <c r="G56" s="3422"/>
      <c r="H56" s="3422"/>
      <c r="I56" s="3421" t="s">
        <v>3177</v>
      </c>
      <c r="J56" s="3416"/>
      <c r="K56" s="3248"/>
      <c r="L56" s="3248"/>
      <c r="M56" s="3248"/>
      <c r="N56" s="3248"/>
      <c r="O56" s="3248"/>
      <c r="P56" s="3248"/>
      <c r="Q56" s="3248"/>
      <c r="R56" s="3248"/>
      <c r="S56" s="3248"/>
      <c r="T56" s="3248"/>
      <c r="U56" s="3248"/>
      <c r="V56" s="3248"/>
    </row>
    <row r="57" spans="1:22" ht="12.75">
      <c r="A57" s="3240"/>
      <c r="B57" s="3420" t="s">
        <v>3178</v>
      </c>
      <c r="C57" s="3240"/>
      <c r="D57" s="3240"/>
      <c r="E57" s="3240"/>
      <c r="F57" s="3240"/>
      <c r="G57" s="3240"/>
      <c r="H57" s="3240"/>
      <c r="I57" s="3240"/>
      <c r="J57" s="3416"/>
      <c r="K57" s="3248"/>
      <c r="L57" s="3248"/>
      <c r="M57" s="3248"/>
      <c r="N57" s="3248"/>
      <c r="O57" s="3248"/>
      <c r="P57" s="3248"/>
      <c r="Q57" s="3248"/>
      <c r="R57" s="3248"/>
      <c r="S57" s="3248"/>
      <c r="T57" s="3248"/>
      <c r="U57" s="3248"/>
      <c r="V57" s="3248"/>
    </row>
    <row r="58" spans="1:22" ht="12.75">
      <c r="A58" s="3240"/>
      <c r="B58" s="3420"/>
      <c r="C58" s="3240"/>
      <c r="D58" s="3240"/>
      <c r="E58" s="3240"/>
      <c r="F58" s="3240"/>
      <c r="G58" s="3240"/>
      <c r="H58" s="3240"/>
      <c r="I58" s="3240"/>
      <c r="J58" s="3416"/>
      <c r="K58" s="3248"/>
      <c r="L58" s="3248"/>
      <c r="M58" s="3248"/>
      <c r="N58" s="3248"/>
      <c r="O58" s="3248"/>
      <c r="P58" s="3248"/>
      <c r="Q58" s="3248"/>
      <c r="R58" s="3248"/>
      <c r="S58" s="3248"/>
      <c r="T58" s="3248"/>
      <c r="U58" s="3248"/>
      <c r="V58" s="3248"/>
    </row>
    <row r="59" spans="1:22" ht="12.75">
      <c r="A59" s="3240"/>
      <c r="B59" s="3422"/>
      <c r="C59" s="3422"/>
      <c r="D59" s="3422"/>
      <c r="E59" s="3422"/>
      <c r="F59" s="3422"/>
      <c r="G59" s="3422"/>
      <c r="H59" s="3422"/>
      <c r="I59" s="3421" t="s">
        <v>3177</v>
      </c>
      <c r="J59" s="3416"/>
      <c r="K59" s="3248"/>
      <c r="L59" s="3248"/>
      <c r="M59" s="3248"/>
      <c r="N59" s="3248"/>
      <c r="O59" s="3248"/>
      <c r="P59" s="3248"/>
      <c r="Q59" s="3248"/>
      <c r="R59" s="3248"/>
      <c r="S59" s="3248"/>
      <c r="T59" s="3248"/>
      <c r="U59" s="3248"/>
      <c r="V59" s="3248"/>
    </row>
    <row r="60" spans="1:22" ht="12.75">
      <c r="A60" s="3240"/>
      <c r="B60" s="3240"/>
      <c r="C60" s="3240"/>
      <c r="D60" s="3240"/>
      <c r="E60" s="3240"/>
      <c r="F60" s="3240"/>
      <c r="G60" s="3240"/>
      <c r="H60" s="3240"/>
      <c r="I60" s="3240"/>
      <c r="J60" s="3416"/>
      <c r="K60" s="3248"/>
      <c r="L60" s="3248"/>
      <c r="M60" s="3248"/>
      <c r="N60" s="3248"/>
      <c r="O60" s="3248"/>
      <c r="P60" s="3248"/>
      <c r="Q60" s="3248"/>
      <c r="R60" s="3248"/>
      <c r="S60" s="3248"/>
      <c r="T60" s="3248"/>
      <c r="U60" s="3248"/>
      <c r="V60" s="3248"/>
    </row>
    <row r="61" spans="1:22" ht="12.75">
      <c r="A61" s="3240"/>
      <c r="B61" s="3420"/>
      <c r="C61" s="3419"/>
      <c r="D61" s="3418"/>
      <c r="E61" s="3418"/>
      <c r="F61" s="3417"/>
      <c r="G61" s="3240"/>
      <c r="H61" s="3240"/>
      <c r="I61" s="3240"/>
      <c r="J61" s="3416"/>
      <c r="K61" s="3248"/>
      <c r="L61" s="3248"/>
      <c r="M61" s="3248"/>
      <c r="N61" s="3248"/>
      <c r="O61" s="3248"/>
      <c r="P61" s="3248"/>
      <c r="Q61" s="3248"/>
      <c r="R61" s="3248"/>
      <c r="S61" s="3248"/>
      <c r="T61" s="3248"/>
      <c r="U61" s="3248"/>
      <c r="V61" s="3248"/>
    </row>
    <row r="62" spans="1:22" ht="18.75">
      <c r="A62" s="3415" t="s">
        <v>3176</v>
      </c>
      <c r="B62" s="3414"/>
      <c r="C62" s="3414"/>
      <c r="D62" s="3413"/>
      <c r="E62" s="3413"/>
      <c r="F62" s="3412"/>
      <c r="G62" s="3412"/>
      <c r="H62" s="3412"/>
      <c r="I62" s="3412"/>
      <c r="J62" s="3411"/>
      <c r="K62" s="3248"/>
      <c r="L62" s="3248"/>
      <c r="M62" s="3248"/>
      <c r="N62" s="3248"/>
      <c r="O62" s="3248"/>
      <c r="P62" s="3248"/>
      <c r="Q62" s="3248"/>
      <c r="R62" s="3248"/>
      <c r="S62" s="3248"/>
      <c r="T62" s="3248"/>
      <c r="U62" s="3248"/>
      <c r="V62" s="3248"/>
    </row>
    <row r="63" spans="1:22" ht="14.25" customHeight="1" thickBot="1">
      <c r="A63" s="3895" t="s">
        <v>3175</v>
      </c>
      <c r="B63" s="3896"/>
      <c r="C63" s="3897"/>
      <c r="D63" s="3410">
        <f ca="1">ROUND(C42*F63,0)</f>
        <v>4322</v>
      </c>
      <c r="E63" s="3409" t="s">
        <v>3174</v>
      </c>
      <c r="F63" s="3408">
        <v>0.6</v>
      </c>
      <c r="G63" s="3407" t="s">
        <v>3173</v>
      </c>
      <c r="H63" s="3305"/>
      <c r="I63" s="3305"/>
      <c r="J63" s="3248"/>
      <c r="K63" s="3248"/>
      <c r="L63" s="3248"/>
      <c r="M63" s="3248"/>
      <c r="N63" s="3248"/>
      <c r="O63" s="3248"/>
      <c r="P63" s="3305"/>
      <c r="Q63" s="3248"/>
      <c r="R63" s="3248"/>
      <c r="S63" s="3248"/>
      <c r="T63" s="3248"/>
      <c r="U63" s="3248"/>
      <c r="V63" s="3248"/>
    </row>
    <row r="64" spans="1:22" ht="14.25" customHeight="1">
      <c r="A64" s="3903" t="s">
        <v>3172</v>
      </c>
      <c r="B64" s="3904"/>
      <c r="C64" s="3904"/>
      <c r="D64" s="3904"/>
      <c r="E64" s="3904"/>
      <c r="F64" s="3904"/>
      <c r="G64" s="3905"/>
      <c r="H64" s="3389"/>
      <c r="I64" s="3400"/>
      <c r="J64" s="3399"/>
      <c r="K64" s="3406" t="s">
        <v>377</v>
      </c>
      <c r="L64" s="3252"/>
      <c r="M64" s="3252"/>
      <c r="N64" s="3252"/>
      <c r="O64" s="3252"/>
      <c r="P64" s="3305"/>
      <c r="Q64" s="3248"/>
      <c r="R64" s="3248"/>
      <c r="S64" s="3248"/>
      <c r="T64" s="3248"/>
      <c r="U64" s="3248"/>
      <c r="V64" s="3248"/>
    </row>
    <row r="65" spans="1:22" ht="12" customHeight="1">
      <c r="A65" s="3405" t="s">
        <v>3171</v>
      </c>
      <c r="B65" s="3404"/>
      <c r="C65" s="3403"/>
      <c r="D65" s="3402" t="s">
        <v>3170</v>
      </c>
      <c r="E65" s="3298" t="s">
        <v>3169</v>
      </c>
      <c r="F65" s="3282" t="s">
        <v>3168</v>
      </c>
      <c r="G65" s="3401" t="s">
        <v>3105</v>
      </c>
      <c r="H65" s="3389"/>
      <c r="I65" s="3400"/>
      <c r="J65" s="3399"/>
      <c r="K65" s="3398"/>
      <c r="L65" s="3397"/>
      <c r="M65" s="3397"/>
      <c r="N65" s="3396" t="s">
        <v>3167</v>
      </c>
      <c r="O65" s="3395"/>
      <c r="P65" s="3394"/>
      <c r="Q65" s="3248"/>
      <c r="R65" s="3248"/>
      <c r="S65" s="3248"/>
      <c r="T65" s="3248"/>
      <c r="U65" s="3248"/>
      <c r="V65" s="3248"/>
    </row>
    <row r="66" spans="1:22" ht="25.5">
      <c r="A66" s="3906" t="s">
        <v>3166</v>
      </c>
      <c r="B66" s="3875"/>
      <c r="C66" s="3875"/>
      <c r="D66" s="3393">
        <f ca="1">IF(H66="情况1",0,IF(H66="情况2",D70,IF(H66="情况3",D71,IF(H66="情况4",D72))))</f>
        <v>231</v>
      </c>
      <c r="E66" s="3392" t="str">
        <f>IF(H66="情况4","(销售额-原购置价)×税（费）率","销售额×税（费）率")</f>
        <v>销售额×税（费）率</v>
      </c>
      <c r="F66" s="3391">
        <f>IF(H66="情况1","免征",'[1]数据-取费表'!B41)</f>
        <v>5.6000000000000001E-2</v>
      </c>
      <c r="G66" s="3390" t="s">
        <v>3139</v>
      </c>
      <c r="H66" s="3362" t="s">
        <v>388</v>
      </c>
      <c r="I66" s="3389"/>
      <c r="J66" s="3388"/>
      <c r="K66" s="3387">
        <v>1</v>
      </c>
      <c r="L66" s="3898" t="s">
        <v>385</v>
      </c>
      <c r="M66" s="3899"/>
      <c r="N66" s="3386"/>
      <c r="O66" s="3385"/>
      <c r="P66" s="3384"/>
      <c r="Q66" s="3248"/>
      <c r="R66" s="3248"/>
      <c r="S66" s="3248"/>
      <c r="T66" s="3248"/>
      <c r="U66" s="3248"/>
      <c r="V66" s="3248"/>
    </row>
    <row r="67" spans="1:22" ht="25.5" customHeight="1">
      <c r="A67" s="3383" t="s">
        <v>3146</v>
      </c>
      <c r="B67" s="3862" t="s">
        <v>3165</v>
      </c>
      <c r="C67" s="3862"/>
      <c r="D67" s="3382">
        <v>0</v>
      </c>
      <c r="E67" s="3355" t="s">
        <v>3144</v>
      </c>
      <c r="F67" s="3381" t="s">
        <v>1765</v>
      </c>
      <c r="G67" s="3881"/>
      <c r="H67" s="3305"/>
      <c r="I67" s="3363"/>
      <c r="J67" s="3337"/>
      <c r="K67" s="3327">
        <v>2</v>
      </c>
      <c r="L67" s="3884" t="s">
        <v>389</v>
      </c>
      <c r="M67" s="3884"/>
      <c r="N67" s="3380">
        <f>'[1]数据-取费表'!B2</f>
        <v>43388</v>
      </c>
      <c r="O67" s="3380"/>
      <c r="P67" s="3380"/>
      <c r="Q67" s="3248"/>
      <c r="R67" s="3248"/>
      <c r="S67" s="3248"/>
      <c r="T67" s="3248"/>
      <c r="U67" s="3248"/>
      <c r="V67" s="3248"/>
    </row>
    <row r="68" spans="1:22" ht="25.5" customHeight="1">
      <c r="A68" s="3379"/>
      <c r="B68" s="3862" t="s">
        <v>3164</v>
      </c>
      <c r="C68" s="3862"/>
      <c r="D68" s="3378"/>
      <c r="E68" s="3377"/>
      <c r="F68" s="3374"/>
      <c r="G68" s="3882"/>
      <c r="H68" s="3305"/>
      <c r="I68" s="3363"/>
      <c r="J68" s="3337"/>
      <c r="K68" s="3327">
        <v>3</v>
      </c>
      <c r="L68" s="3884" t="s">
        <v>3163</v>
      </c>
      <c r="M68" s="3884"/>
      <c r="N68" s="3376">
        <f ca="1">C42</f>
        <v>7203</v>
      </c>
      <c r="O68" s="3376"/>
      <c r="P68" s="3376"/>
      <c r="Q68" s="3248"/>
      <c r="R68" s="3248"/>
      <c r="S68" s="3248"/>
      <c r="T68" s="3248"/>
      <c r="U68" s="3248"/>
      <c r="V68" s="3248"/>
    </row>
    <row r="69" spans="1:22" ht="12" customHeight="1">
      <c r="A69" s="3375"/>
      <c r="B69" s="3862" t="s">
        <v>3162</v>
      </c>
      <c r="C69" s="3862"/>
      <c r="D69" s="3366"/>
      <c r="E69" s="3365"/>
      <c r="F69" s="3374"/>
      <c r="G69" s="3883"/>
      <c r="H69" s="3305"/>
      <c r="I69" s="3363"/>
      <c r="J69" s="3337"/>
      <c r="K69" s="3373">
        <v>4</v>
      </c>
      <c r="L69" s="3885" t="s">
        <v>3161</v>
      </c>
      <c r="M69" s="3886"/>
      <c r="N69" s="3372" t="str">
        <f>C44</f>
        <v>——</v>
      </c>
      <c r="O69" s="3372"/>
      <c r="P69" s="3372"/>
      <c r="Q69" s="3248"/>
      <c r="R69" s="3248"/>
      <c r="S69" s="3248"/>
      <c r="T69" s="3248"/>
      <c r="U69" s="3248"/>
      <c r="V69" s="3248"/>
    </row>
    <row r="70" spans="1:22" ht="24" customHeight="1">
      <c r="A70" s="3350" t="s">
        <v>3143</v>
      </c>
      <c r="B70" s="3862" t="s">
        <v>3160</v>
      </c>
      <c r="C70" s="3862"/>
      <c r="D70" s="3366">
        <f ca="1">ROUND(D63*'[1]数据-取费表'!B41/(1+'[1]数据-取费表'!C42),0)</f>
        <v>231</v>
      </c>
      <c r="E70" s="3348" t="s">
        <v>3156</v>
      </c>
      <c r="F70" s="3360">
        <f>'[1]数据-取费表'!B41</f>
        <v>5.6000000000000001E-2</v>
      </c>
      <c r="G70" s="3347"/>
      <c r="H70" s="3305"/>
      <c r="I70" s="3363"/>
      <c r="J70" s="3337"/>
      <c r="K70" s="3371"/>
      <c r="L70" s="3369"/>
      <c r="M70" s="3369"/>
      <c r="N70" s="3370" t="s">
        <v>3159</v>
      </c>
      <c r="O70" s="3369"/>
      <c r="P70" s="3368"/>
      <c r="Q70" s="3248"/>
      <c r="R70" s="3248"/>
      <c r="S70" s="3248"/>
      <c r="T70" s="3248"/>
      <c r="U70" s="3248"/>
      <c r="V70" s="3248"/>
    </row>
    <row r="71" spans="1:22" ht="12" customHeight="1">
      <c r="A71" s="3350" t="s">
        <v>3158</v>
      </c>
      <c r="B71" s="3861" t="s">
        <v>3157</v>
      </c>
      <c r="C71" s="3872"/>
      <c r="D71" s="3366">
        <f ca="1">ROUND(D63*'[1]数据-取费表'!B41/(1+'[1]数据-取费表'!C42),0)</f>
        <v>231</v>
      </c>
      <c r="E71" s="3348" t="s">
        <v>3156</v>
      </c>
      <c r="F71" s="3360">
        <f>'[1]数据-取费表'!B41</f>
        <v>5.6000000000000001E-2</v>
      </c>
      <c r="G71" s="3347"/>
      <c r="H71" s="3305"/>
      <c r="I71" s="3363"/>
      <c r="J71" s="3337"/>
      <c r="K71" s="3367" t="s">
        <v>399</v>
      </c>
      <c r="L71" s="3873" t="s">
        <v>400</v>
      </c>
      <c r="M71" s="3873"/>
      <c r="N71" s="3367" t="s">
        <v>401</v>
      </c>
      <c r="O71" s="3367" t="s">
        <v>402</v>
      </c>
      <c r="P71" s="3367" t="s">
        <v>403</v>
      </c>
      <c r="Q71" s="3248"/>
      <c r="R71" s="3248"/>
      <c r="S71" s="3248"/>
      <c r="T71" s="3248"/>
      <c r="U71" s="3248"/>
      <c r="V71" s="3248"/>
    </row>
    <row r="72" spans="1:22" ht="12" customHeight="1">
      <c r="A72" s="3350" t="s">
        <v>3155</v>
      </c>
      <c r="B72" s="3861" t="s">
        <v>3154</v>
      </c>
      <c r="C72" s="3872"/>
      <c r="D72" s="3366">
        <f ca="1">C86</f>
        <v>118</v>
      </c>
      <c r="E72" s="3365" t="s">
        <v>3153</v>
      </c>
      <c r="F72" s="3360">
        <f>'[1]数据-取费表'!B41</f>
        <v>5.6000000000000001E-2</v>
      </c>
      <c r="G72" s="3347"/>
      <c r="H72" s="3364"/>
      <c r="I72" s="3363"/>
      <c r="J72" s="3337"/>
      <c r="K72" s="3327">
        <v>1</v>
      </c>
      <c r="L72" s="3868" t="s">
        <v>3152</v>
      </c>
      <c r="M72" s="3868"/>
      <c r="N72" s="3346">
        <f ca="1">D66</f>
        <v>231</v>
      </c>
      <c r="O72" s="3358" t="str">
        <f>E66</f>
        <v>销售额×税（费）率</v>
      </c>
      <c r="P72" s="3361">
        <f>F66</f>
        <v>5.6000000000000001E-2</v>
      </c>
      <c r="Q72" s="3248"/>
      <c r="R72" s="3248"/>
      <c r="S72" s="3248"/>
      <c r="T72" s="3248"/>
      <c r="U72" s="3248"/>
      <c r="V72" s="3248"/>
    </row>
    <row r="73" spans="1:22" ht="24" customHeight="1">
      <c r="A73" s="3874" t="s">
        <v>3151</v>
      </c>
      <c r="B73" s="3875"/>
      <c r="C73" s="3875"/>
      <c r="D73" s="3349">
        <f>IF(H73="个人住宅",0,ROUND(D63*I73,0))</f>
        <v>0</v>
      </c>
      <c r="E73" s="3348" t="s">
        <v>3150</v>
      </c>
      <c r="F73" s="3360" t="str">
        <f>IF(H73="正常",I73,"免征")</f>
        <v>免征</v>
      </c>
      <c r="G73" s="3347"/>
      <c r="H73" s="3362" t="s">
        <v>2456</v>
      </c>
      <c r="I73" s="3360">
        <f>'[1]数据-取费表'!B49</f>
        <v>5.0000000000000001E-4</v>
      </c>
      <c r="J73" s="3337"/>
      <c r="K73" s="3327">
        <v>2</v>
      </c>
      <c r="L73" s="3868" t="s">
        <v>3149</v>
      </c>
      <c r="M73" s="3868"/>
      <c r="N73" s="3346">
        <f t="shared" ref="N73:P74" si="0">D73</f>
        <v>0</v>
      </c>
      <c r="O73" s="3358" t="str">
        <f t="shared" si="0"/>
        <v>销售额×税（费）率</v>
      </c>
      <c r="P73" s="3361" t="str">
        <f t="shared" si="0"/>
        <v>免征</v>
      </c>
      <c r="Q73" s="3248"/>
      <c r="R73" s="3248"/>
      <c r="S73" s="3248"/>
      <c r="T73" s="3248"/>
      <c r="U73" s="3248"/>
      <c r="V73" s="3248"/>
    </row>
    <row r="74" spans="1:22" ht="24.75">
      <c r="A74" s="3874" t="s">
        <v>3148</v>
      </c>
      <c r="B74" s="3875"/>
      <c r="C74" s="3875"/>
      <c r="D74" s="3349">
        <f ca="1">IF(H74="个人住宅",D75,D76)</f>
        <v>1790</v>
      </c>
      <c r="E74" s="3348" t="s">
        <v>3141</v>
      </c>
      <c r="F74" s="3360" t="str">
        <f>IF(H74="正常",F76,"免征")</f>
        <v>——</v>
      </c>
      <c r="G74" s="3359" t="s">
        <v>3139</v>
      </c>
      <c r="H74" s="3341" t="s">
        <v>413</v>
      </c>
      <c r="I74" s="3307"/>
      <c r="J74" s="3337"/>
      <c r="K74" s="3327">
        <v>3</v>
      </c>
      <c r="L74" s="3868" t="s">
        <v>3147</v>
      </c>
      <c r="M74" s="3868"/>
      <c r="N74" s="3346">
        <f t="shared" ca="1" si="0"/>
        <v>1790</v>
      </c>
      <c r="O74" s="3358" t="str">
        <f t="shared" si="0"/>
        <v>增值额×税（费）率</v>
      </c>
      <c r="P74" s="3357" t="str">
        <f t="shared" si="0"/>
        <v>——</v>
      </c>
      <c r="Q74" s="3248"/>
      <c r="R74" s="3248"/>
      <c r="S74" s="3248"/>
      <c r="T74" s="3248"/>
      <c r="U74" s="3248"/>
      <c r="V74" s="3248"/>
    </row>
    <row r="75" spans="1:22" ht="24">
      <c r="A75" s="3350" t="s">
        <v>3146</v>
      </c>
      <c r="B75" s="3876" t="s">
        <v>3145</v>
      </c>
      <c r="C75" s="3877"/>
      <c r="D75" s="3356">
        <v>0</v>
      </c>
      <c r="E75" s="3355" t="s">
        <v>3144</v>
      </c>
      <c r="F75" s="3354"/>
      <c r="G75" s="3347"/>
      <c r="H75" s="3307"/>
      <c r="I75" s="3307"/>
      <c r="J75" s="3337"/>
      <c r="K75" s="3327">
        <f>IF(H77="非个人房产","",4)</f>
        <v>4</v>
      </c>
      <c r="L75" s="3868" t="str">
        <f>IF(H77="非个人房产","——","个人所得税")</f>
        <v>个人所得税</v>
      </c>
      <c r="M75" s="3868"/>
      <c r="N75" s="3353">
        <f ca="1">D77</f>
        <v>43</v>
      </c>
      <c r="O75" s="3352" t="str">
        <f>E77</f>
        <v>销售额×税（费）率</v>
      </c>
      <c r="P75" s="3351">
        <f>F77</f>
        <v>0.01</v>
      </c>
      <c r="Q75" s="3248"/>
      <c r="R75" s="3248"/>
      <c r="S75" s="3248"/>
      <c r="T75" s="3248"/>
      <c r="U75" s="3248"/>
      <c r="V75" s="3248"/>
    </row>
    <row r="76" spans="1:22" ht="24.75">
      <c r="A76" s="3350" t="s">
        <v>3143</v>
      </c>
      <c r="B76" s="3876" t="s">
        <v>3142</v>
      </c>
      <c r="C76" s="3878"/>
      <c r="D76" s="3349">
        <f ca="1">IF(H76="转让取得",C99,C115)</f>
        <v>1790</v>
      </c>
      <c r="E76" s="3348" t="s">
        <v>3141</v>
      </c>
      <c r="F76" s="3298" t="s">
        <v>1765</v>
      </c>
      <c r="G76" s="3347"/>
      <c r="H76" s="3341" t="s">
        <v>424</v>
      </c>
      <c r="I76" s="3307"/>
      <c r="J76" s="3337"/>
      <c r="K76" s="3327" t="str">
        <f>IF([1]项目基本情况!K6="上海银行",IF(K75="",4,K75+1),"")</f>
        <v/>
      </c>
      <c r="L76" s="3879" t="str">
        <f>IF([1]项目基本情况!K6="上海银行","其他处置费用","")</f>
        <v/>
      </c>
      <c r="M76" s="3880"/>
      <c r="N76" s="3346" t="str">
        <f>IF([1]项目基本情况!K6="上海银行",N89,"")</f>
        <v/>
      </c>
      <c r="O76" s="3852" t="str">
        <f>IF([1]项目基本情况!K6="上海银行","包含处置中涉及的律师、诉讼、拍卖、评估等费用","")</f>
        <v/>
      </c>
      <c r="P76" s="3853"/>
      <c r="Q76" s="3248"/>
      <c r="R76" s="3248"/>
      <c r="S76" s="3248"/>
      <c r="T76" s="3248"/>
      <c r="U76" s="3248"/>
      <c r="V76" s="3248"/>
    </row>
    <row r="77" spans="1:22" ht="26.25" thickBot="1">
      <c r="A77" s="3869" t="s">
        <v>3140</v>
      </c>
      <c r="B77" s="3870"/>
      <c r="C77" s="3870"/>
      <c r="D77" s="3345">
        <f ca="1">IF(H77="非个人房产","——",IF(H77="个人住宅",0,ROUND(D63*I77,0)))</f>
        <v>43</v>
      </c>
      <c r="E77" s="3344" t="str">
        <f>IF(H77="非个人房产","——","销售额×税（费）率")</f>
        <v>销售额×税（费）率</v>
      </c>
      <c r="F77" s="3343">
        <f>IF(H77="非个人房产","——",IF(H77="个人住宅","免征",I77))</f>
        <v>0.01</v>
      </c>
      <c r="G77" s="3342" t="s">
        <v>3139</v>
      </c>
      <c r="H77" s="3341" t="s">
        <v>2884</v>
      </c>
      <c r="I77" s="3340">
        <v>0.01</v>
      </c>
      <c r="J77" s="3337"/>
      <c r="K77" s="3871">
        <f>IF(AND(K75="",K76=""),4,IF([1]项目基本情况!K6="上海银行",K76+1,K75+1))</f>
        <v>5</v>
      </c>
      <c r="L77" s="3868" t="s">
        <v>182</v>
      </c>
      <c r="M77" s="3335" t="s">
        <v>421</v>
      </c>
      <c r="N77" s="3334"/>
      <c r="O77" s="3333">
        <f ca="1">SUMIF(N72:N76,"&lt;9e307")</f>
        <v>2064</v>
      </c>
      <c r="P77" s="3332"/>
      <c r="Q77" s="3339" t="e">
        <f ca="1">O77/N69</f>
        <v>#VALUE!</v>
      </c>
      <c r="R77" s="3248"/>
      <c r="S77" s="3248"/>
      <c r="T77" s="3248"/>
      <c r="U77" s="3248"/>
      <c r="V77" s="3248"/>
    </row>
    <row r="78" spans="1:22" ht="12" customHeight="1">
      <c r="A78" s="3338"/>
      <c r="B78" s="3305"/>
      <c r="C78" s="3305"/>
      <c r="D78" s="3305"/>
      <c r="E78" s="3307"/>
      <c r="F78" s="3307"/>
      <c r="G78" s="3307"/>
      <c r="H78" s="3306"/>
      <c r="I78" s="3305"/>
      <c r="J78" s="3337"/>
      <c r="K78" s="3871"/>
      <c r="L78" s="3868"/>
      <c r="M78" s="3335" t="s">
        <v>425</v>
      </c>
      <c r="N78" s="3334"/>
      <c r="O78" s="3333" t="str">
        <f ca="1">NUMBERSTRING(INT(O77*10000),2)&amp;"元整"</f>
        <v>贰仟零陆拾肆万元整</v>
      </c>
      <c r="P78" s="3332"/>
      <c r="Q78" s="3248"/>
      <c r="R78" s="3248"/>
      <c r="S78" s="3248"/>
      <c r="T78" s="3248"/>
      <c r="U78" s="3248"/>
      <c r="V78" s="3248"/>
    </row>
    <row r="79" spans="1:22" ht="13.5" thickBot="1">
      <c r="A79" s="3865" t="s">
        <v>3138</v>
      </c>
      <c r="B79" s="3865"/>
      <c r="C79" s="3865"/>
      <c r="D79" s="3865"/>
      <c r="E79" s="3865"/>
      <c r="F79" s="3307"/>
      <c r="G79" s="3307"/>
      <c r="H79" s="3306"/>
      <c r="I79" s="3305"/>
      <c r="J79" s="3337"/>
      <c r="K79" s="3866">
        <f>K77+1</f>
        <v>6</v>
      </c>
      <c r="L79" s="3868" t="s">
        <v>3137</v>
      </c>
      <c r="M79" s="3335" t="s">
        <v>421</v>
      </c>
      <c r="N79" s="3334"/>
      <c r="O79" s="3333" t="e">
        <f ca="1">N69-O77</f>
        <v>#VALUE!</v>
      </c>
      <c r="P79" s="3332"/>
      <c r="Q79" s="3248"/>
      <c r="R79" s="3248"/>
      <c r="S79" s="3248"/>
      <c r="T79" s="3248"/>
      <c r="U79" s="3248"/>
      <c r="V79" s="3248"/>
    </row>
    <row r="80" spans="1:22" ht="12.75">
      <c r="A80" s="3859" t="s">
        <v>3128</v>
      </c>
      <c r="B80" s="3860"/>
      <c r="C80" s="3286"/>
      <c r="D80" s="3286" t="s">
        <v>3127</v>
      </c>
      <c r="E80" s="3336" t="s">
        <v>3105</v>
      </c>
      <c r="F80" s="3307"/>
      <c r="G80" s="3307"/>
      <c r="H80" s="3306"/>
      <c r="I80" s="3305"/>
      <c r="J80" s="3248"/>
      <c r="K80" s="3867"/>
      <c r="L80" s="3868"/>
      <c r="M80" s="3335" t="s">
        <v>425</v>
      </c>
      <c r="N80" s="3334"/>
      <c r="O80" s="3333" t="e">
        <f ca="1">NUMBERSTRING(INT(O79*10000),2)&amp;"元整"</f>
        <v>#VALUE!</v>
      </c>
      <c r="P80" s="3332"/>
      <c r="Q80" s="3248"/>
      <c r="R80" s="3248"/>
      <c r="S80" s="3248"/>
      <c r="T80" s="3248"/>
      <c r="U80" s="3248"/>
      <c r="V80" s="3248"/>
    </row>
    <row r="81" spans="1:26" ht="13.5" thickBot="1">
      <c r="A81" s="3283" t="s">
        <v>1824</v>
      </c>
      <c r="B81" s="3331" t="s">
        <v>3136</v>
      </c>
      <c r="C81" s="3330">
        <f ca="1">ROUND((C82+C83)/(1+'[1]数据-取费表'!C42),0)</f>
        <v>4116</v>
      </c>
      <c r="D81" s="3329"/>
      <c r="E81" s="3328"/>
      <c r="F81" s="3307"/>
      <c r="G81" s="3307"/>
      <c r="H81" s="3306"/>
      <c r="I81" s="3305"/>
      <c r="J81" s="3248"/>
      <c r="K81" s="3327">
        <f>K79+1</f>
        <v>7</v>
      </c>
      <c r="L81" s="3854" t="s">
        <v>3135</v>
      </c>
      <c r="M81" s="3855"/>
      <c r="N81" s="3326"/>
      <c r="O81" s="3325" t="e">
        <f ca="1">ROUND(O79*10000/'[1]数据-汇总表'!E3,0)</f>
        <v>#VALUE!</v>
      </c>
      <c r="P81" s="3324"/>
      <c r="Q81" s="3248"/>
      <c r="R81" s="3248"/>
      <c r="S81" s="3248"/>
      <c r="T81" s="3248"/>
      <c r="U81" s="3248"/>
      <c r="V81" s="3248"/>
    </row>
    <row r="82" spans="1:26" ht="13.5" thickTop="1">
      <c r="A82" s="3322" t="s">
        <v>1825</v>
      </c>
      <c r="B82" s="3269" t="s">
        <v>3134</v>
      </c>
      <c r="C82" s="3323">
        <f ca="1">D63</f>
        <v>4322</v>
      </c>
      <c r="D82" s="3261" t="s">
        <v>1765</v>
      </c>
      <c r="E82" s="3317"/>
      <c r="F82" s="3307"/>
      <c r="G82" s="3307"/>
      <c r="H82" s="3306"/>
      <c r="I82" s="3305"/>
      <c r="J82" s="3248"/>
      <c r="K82" s="3248"/>
      <c r="L82" s="3248"/>
      <c r="M82" s="3248"/>
      <c r="N82" s="3248"/>
      <c r="O82" s="3248"/>
      <c r="P82" s="3248"/>
      <c r="Q82" s="3248"/>
      <c r="R82" s="3248"/>
      <c r="S82" s="3248"/>
      <c r="T82" s="3248"/>
      <c r="U82" s="3248"/>
      <c r="V82" s="3248"/>
    </row>
    <row r="83" spans="1:26" ht="12.75">
      <c r="A83" s="3322" t="s">
        <v>1826</v>
      </c>
      <c r="B83" s="3269" t="s">
        <v>3133</v>
      </c>
      <c r="C83" s="3321">
        <v>0</v>
      </c>
      <c r="D83" s="3261"/>
      <c r="E83" s="3317"/>
      <c r="F83" s="3307"/>
      <c r="G83" s="3307"/>
      <c r="H83" s="3306"/>
      <c r="I83" s="3305"/>
      <c r="J83" s="3248"/>
      <c r="K83" s="3856" t="s">
        <v>2874</v>
      </c>
      <c r="L83" s="3300" t="s">
        <v>2875</v>
      </c>
      <c r="M83" s="3302" t="e">
        <f>IF(N69&gt;10000,N69*0.5%,IF(AND(N69&gt;1000,N69&lt;=10000),N69*1%,IF(AND(N69&gt;100,N69&lt;=1000),N69*3%,IF(AND(N69&gt;10,N69&lt;=100),N69*5%,N69*8%))))</f>
        <v>#VALUE!</v>
      </c>
      <c r="N83" s="3298" t="e">
        <f>ROUND(M83,1)</f>
        <v>#VALUE!</v>
      </c>
      <c r="O83" s="3301"/>
      <c r="P83" s="3248"/>
      <c r="Q83" s="3248"/>
      <c r="R83" s="3248"/>
      <c r="S83" s="3248"/>
      <c r="T83" s="3248"/>
      <c r="U83" s="3248"/>
      <c r="V83" s="3248"/>
    </row>
    <row r="84" spans="1:26" ht="12.75">
      <c r="A84" s="3283" t="s">
        <v>1827</v>
      </c>
      <c r="B84" s="3263" t="s">
        <v>3132</v>
      </c>
      <c r="C84" s="3320">
        <v>2000</v>
      </c>
      <c r="D84" s="3319" t="s">
        <v>1765</v>
      </c>
      <c r="E84" s="3318" t="s">
        <v>2942</v>
      </c>
      <c r="F84" s="3307"/>
      <c r="G84" s="3307"/>
      <c r="H84" s="3306"/>
      <c r="I84" s="3305"/>
      <c r="J84" s="3248"/>
      <c r="K84" s="3856"/>
      <c r="L84" s="3300" t="s">
        <v>2876</v>
      </c>
      <c r="M84" s="3302" t="e">
        <f>IF(N69&gt;2000,N69*0.5%,IF(AND(N69&gt;1000,N69&lt;=2000),N69*0.6%,IF(AND(N69&gt;500,N69&lt;=1000),N69*0.7%,IF(AND(N69&gt;200,N69&lt;=500),N69*0.8%,IF(AND(N69&gt;100,N69&lt;=200),N69*0.9%,IF(AND(N69&gt;50,N69&lt;=100),N69*1%,IF(AND(N69&gt;20,N69&lt;=50),N69*1.5%,IF(AND(N69&gt;10,N69&lt;=20),N69*2%,IF(AND(N69&gt;1,N69&lt;=10),N69*2.5%)))))))))</f>
        <v>#VALUE!</v>
      </c>
      <c r="N84" s="3298" t="e">
        <f>ROUND(M84,1)</f>
        <v>#VALUE!</v>
      </c>
      <c r="O84" s="3248" t="s">
        <v>2877</v>
      </c>
      <c r="P84" s="3248"/>
      <c r="Q84" s="3248"/>
      <c r="R84" s="3248"/>
      <c r="S84" s="3248"/>
      <c r="T84" s="3248"/>
      <c r="U84" s="3248"/>
      <c r="V84" s="3248"/>
    </row>
    <row r="85" spans="1:26" ht="12.75">
      <c r="A85" s="3283" t="s">
        <v>1828</v>
      </c>
      <c r="B85" s="3263" t="s">
        <v>3131</v>
      </c>
      <c r="C85" s="3266">
        <f ca="1">C81-C84</f>
        <v>2116</v>
      </c>
      <c r="D85" s="3261" t="s">
        <v>1765</v>
      </c>
      <c r="E85" s="3317"/>
      <c r="F85" s="3307"/>
      <c r="G85" s="3307"/>
      <c r="H85" s="3306"/>
      <c r="I85" s="3305"/>
      <c r="J85" s="3248"/>
      <c r="K85" s="3856"/>
      <c r="L85" s="3300" t="s">
        <v>2878</v>
      </c>
      <c r="M85" s="3302" t="e">
        <f>IF(N69&gt;1000,N69*0.1%,IF(AND(N69&gt;500,N69&lt;=1000),N69*0.5%,IF(AND(N69&gt;50,N69&lt;=500),N69*1%,IF(AND(N69&gt;1,N69&lt;=50),N69*1.5%))))</f>
        <v>#VALUE!</v>
      </c>
      <c r="N85" s="3298" t="e">
        <f>ROUND(M85,1)</f>
        <v>#VALUE!</v>
      </c>
      <c r="O85" s="3248" t="s">
        <v>2877</v>
      </c>
      <c r="P85" s="3248"/>
      <c r="Q85" s="3248"/>
      <c r="R85" s="3248"/>
      <c r="S85" s="3248"/>
      <c r="T85" s="3248"/>
      <c r="U85" s="3248"/>
      <c r="V85" s="3248"/>
    </row>
    <row r="86" spans="1:26" ht="13.5" thickBot="1">
      <c r="A86" s="3316" t="s">
        <v>1829</v>
      </c>
      <c r="B86" s="3257" t="s">
        <v>3130</v>
      </c>
      <c r="C86" s="3315">
        <f ca="1">IF(C85&lt;=0,0,ROUND(C85*D86,0))</f>
        <v>118</v>
      </c>
      <c r="D86" s="3314">
        <f>'[1]数据-取费表'!B41</f>
        <v>5.6000000000000001E-2</v>
      </c>
      <c r="E86" s="3313"/>
      <c r="F86" s="3307"/>
      <c r="G86" s="3307"/>
      <c r="H86" s="3306"/>
      <c r="I86" s="3305"/>
      <c r="J86" s="3248"/>
      <c r="K86" s="3856"/>
      <c r="L86" s="3300" t="s">
        <v>2879</v>
      </c>
      <c r="M86" s="3302" t="e">
        <f>N69*0.5%</f>
        <v>#VALUE!</v>
      </c>
      <c r="N86" s="3298" t="e">
        <f>IF(M86&gt;0.5,0.5,ROUND(M86,0))</f>
        <v>#VALUE!</v>
      </c>
      <c r="O86" s="3248" t="s">
        <v>2880</v>
      </c>
      <c r="P86" s="3248"/>
      <c r="Q86" s="3248"/>
      <c r="R86" s="3248"/>
      <c r="S86" s="3248"/>
      <c r="T86" s="3248"/>
      <c r="U86" s="3248"/>
      <c r="V86" s="3248"/>
    </row>
    <row r="87" spans="1:26" s="3303" customFormat="1" ht="14.25" customHeight="1">
      <c r="A87" s="3312"/>
      <c r="B87" s="3311"/>
      <c r="C87" s="3310"/>
      <c r="D87" s="3309"/>
      <c r="E87" s="3308"/>
      <c r="F87" s="3307"/>
      <c r="G87" s="3307"/>
      <c r="H87" s="3306"/>
      <c r="I87" s="3305"/>
      <c r="J87" s="3248"/>
      <c r="K87" s="3856"/>
      <c r="L87" s="3300" t="s">
        <v>2881</v>
      </c>
      <c r="M87" s="3302" t="e">
        <f>IF(N69&gt;=10000,(8.25+(N69-10000)*0.01%),IF(AND(N69&gt;=8000,N69&lt;10000),(7.85+(N69-8000)*0.02%),IF(AND(N69&gt;=5000,N69&lt;8000),(6.65+(N69-5000)*0.04%),IF(AND(N69&gt;=2000,N69&lt;5000),(4.25+(PN69-2000)*0.08%),IF(AND(N69&gt;=1000,N69&lt;2000),(2.75+(N69-1000)*0.15%),IF(AND(N69&gt;=100,N69&lt;1000),(0.5+(N69-100)*0.25%),IF(AND(N69&gt;0,N69&lt;100),N69*0.5%)))))))</f>
        <v>#VALUE!</v>
      </c>
      <c r="N87" s="3298" t="e">
        <f>ROUND(M87*0.9,1)</f>
        <v>#VALUE!</v>
      </c>
      <c r="O87" s="3301"/>
      <c r="P87" s="3305"/>
      <c r="Q87" s="3248"/>
      <c r="R87" s="3248"/>
      <c r="S87" s="3248"/>
      <c r="T87" s="3248"/>
      <c r="U87" s="3248"/>
      <c r="V87" s="3248"/>
      <c r="W87" s="3304"/>
      <c r="X87" s="3304"/>
      <c r="Y87" s="3304"/>
      <c r="Z87" s="3304"/>
    </row>
    <row r="88" spans="1:26" s="3249" customFormat="1" ht="15" thickBot="1">
      <c r="A88" s="3857" t="s">
        <v>3129</v>
      </c>
      <c r="B88" s="3858"/>
      <c r="C88" s="3858"/>
      <c r="D88" s="3858"/>
      <c r="E88" s="3858"/>
      <c r="F88" s="3858"/>
      <c r="G88" s="3858"/>
      <c r="H88" s="3858"/>
      <c r="I88" s="1315"/>
      <c r="J88" s="2036"/>
      <c r="K88" s="3856"/>
      <c r="L88" s="3300" t="s">
        <v>2882</v>
      </c>
      <c r="M88" s="3302" t="e">
        <f>IF(N69&gt;10000,N69*0.5%,IF(AND(N69&gt;5000,N69&lt;=10000),N69*1%,IF(AND(N69&gt;1000,N69&lt;=5000),N69*2%,IF(AND(N69&gt;200,N69&lt;=1000),N69*3%,N69*5%))))</f>
        <v>#VALUE!</v>
      </c>
      <c r="N88" s="3298" t="e">
        <f>ROUND(M88,1)</f>
        <v>#VALUE!</v>
      </c>
      <c r="O88" s="3301"/>
      <c r="P88" s="3252"/>
      <c r="Q88" s="3251"/>
      <c r="R88" s="3251"/>
      <c r="S88" s="3251"/>
      <c r="T88" s="3251"/>
      <c r="U88" s="3251"/>
      <c r="V88" s="3251"/>
      <c r="W88" s="3250"/>
      <c r="X88" s="3250"/>
      <c r="Y88" s="3250"/>
      <c r="Z88" s="3250"/>
    </row>
    <row r="89" spans="1:26" s="3249" customFormat="1" ht="14.25">
      <c r="A89" s="3859" t="s">
        <v>3128</v>
      </c>
      <c r="B89" s="3860"/>
      <c r="C89" s="3286"/>
      <c r="D89" s="3286" t="s">
        <v>3127</v>
      </c>
      <c r="E89" s="3285" t="s">
        <v>3105</v>
      </c>
      <c r="F89" s="3284"/>
      <c r="G89" s="3284"/>
      <c r="H89" s="393"/>
      <c r="I89" s="1316"/>
      <c r="J89" s="2038"/>
      <c r="K89" s="3856"/>
      <c r="L89" s="3300" t="s">
        <v>27</v>
      </c>
      <c r="M89" s="3299"/>
      <c r="N89" s="3298" t="e">
        <f>ROUND(SUM(N83:N88),0)</f>
        <v>#VALUE!</v>
      </c>
      <c r="O89" s="3297" t="e">
        <f>N89/N69</f>
        <v>#VALUE!</v>
      </c>
      <c r="P89" s="3251"/>
      <c r="Q89" s="3251"/>
      <c r="R89" s="3251"/>
      <c r="S89" s="3251"/>
      <c r="T89" s="3251"/>
      <c r="U89" s="3251"/>
      <c r="V89" s="3251"/>
      <c r="W89" s="3250"/>
      <c r="X89" s="3250"/>
      <c r="Y89" s="3250"/>
      <c r="Z89" s="3250"/>
    </row>
    <row r="90" spans="1:26" s="3249" customFormat="1" ht="14.25">
      <c r="A90" s="3283" t="s">
        <v>1824</v>
      </c>
      <c r="B90" s="3263" t="s">
        <v>3104</v>
      </c>
      <c r="C90" s="3266">
        <f ca="1">ROUND(D63/(1+'[1]数据-取费表'!C42),0)</f>
        <v>4116</v>
      </c>
      <c r="D90" s="3261" t="s">
        <v>1765</v>
      </c>
      <c r="E90" s="3265"/>
      <c r="F90" s="3259"/>
      <c r="G90" s="3259"/>
      <c r="H90" s="394"/>
      <c r="I90" s="1316"/>
      <c r="J90" s="2038"/>
      <c r="K90" s="3251"/>
      <c r="L90" s="3251"/>
      <c r="M90" s="3251"/>
      <c r="N90" s="3251"/>
      <c r="O90" s="3251"/>
      <c r="P90" s="3251"/>
      <c r="Q90" s="3251"/>
      <c r="R90" s="3251"/>
      <c r="S90" s="3251"/>
      <c r="T90" s="3251"/>
      <c r="U90" s="3251"/>
      <c r="V90" s="3251"/>
      <c r="W90" s="3250"/>
      <c r="X90" s="3250"/>
      <c r="Y90" s="3250"/>
      <c r="Z90" s="3250"/>
    </row>
    <row r="91" spans="1:26" s="3249" customFormat="1" ht="14.25">
      <c r="A91" s="3283" t="s">
        <v>1827</v>
      </c>
      <c r="B91" s="3282" t="s">
        <v>3103</v>
      </c>
      <c r="C91" s="3266">
        <f ca="1">C92+C96</f>
        <v>2586</v>
      </c>
      <c r="D91" s="3261" t="s">
        <v>1765</v>
      </c>
      <c r="E91" s="3265"/>
      <c r="F91" s="3259"/>
      <c r="G91" s="3259"/>
      <c r="H91" s="394"/>
      <c r="I91" s="1316"/>
      <c r="J91" s="2038"/>
      <c r="K91" s="3251"/>
      <c r="L91" s="3251"/>
      <c r="M91" s="3251"/>
      <c r="N91" s="3251"/>
      <c r="O91" s="3251"/>
      <c r="P91" s="3251"/>
      <c r="Q91" s="3251"/>
      <c r="R91" s="3251"/>
      <c r="S91" s="3251"/>
      <c r="T91" s="3251"/>
      <c r="U91" s="3251"/>
      <c r="V91" s="3251"/>
      <c r="W91" s="3250"/>
      <c r="X91" s="3250"/>
      <c r="Y91" s="3250"/>
      <c r="Z91" s="3250"/>
    </row>
    <row r="92" spans="1:26" s="3249" customFormat="1" ht="24">
      <c r="A92" s="3277" t="s">
        <v>1825</v>
      </c>
      <c r="B92" s="3269" t="s">
        <v>3126</v>
      </c>
      <c r="C92" s="3261">
        <f>ROUND(IF(G95="2016年5月1日后购买",C93/(1+'[1]数据-取费表'!C30)+C94+C95,C93+C94+C95),0)</f>
        <v>2561</v>
      </c>
      <c r="D92" s="3261" t="s">
        <v>1765</v>
      </c>
      <c r="E92" s="3265"/>
      <c r="F92" s="3259"/>
      <c r="G92" s="3259"/>
      <c r="H92" s="394"/>
      <c r="I92" s="1316"/>
      <c r="J92" s="2038"/>
      <c r="K92" s="3251"/>
      <c r="L92" s="3251"/>
      <c r="M92" s="3251"/>
      <c r="N92" s="3251"/>
      <c r="O92" s="3251"/>
      <c r="P92" s="3251"/>
      <c r="Q92" s="3251"/>
      <c r="R92" s="3251"/>
      <c r="S92" s="3251"/>
      <c r="T92" s="3251"/>
      <c r="U92" s="3251"/>
      <c r="V92" s="3251"/>
      <c r="W92" s="3250"/>
      <c r="X92" s="3250"/>
      <c r="Y92" s="3250"/>
      <c r="Z92" s="3250"/>
    </row>
    <row r="93" spans="1:26" s="3249" customFormat="1" ht="14.25">
      <c r="A93" s="3277" t="s">
        <v>1832</v>
      </c>
      <c r="B93" s="3269" t="s">
        <v>3125</v>
      </c>
      <c r="C93" s="3296">
        <v>2000</v>
      </c>
      <c r="D93" s="3261" t="s">
        <v>1765</v>
      </c>
      <c r="E93" s="397" t="s">
        <v>3124</v>
      </c>
      <c r="F93" s="398" t="s">
        <v>444</v>
      </c>
      <c r="G93" s="397" t="s">
        <v>3123</v>
      </c>
      <c r="H93" s="3295">
        <v>5</v>
      </c>
      <c r="I93" s="3252"/>
      <c r="J93" s="3251"/>
      <c r="K93" s="3251"/>
      <c r="L93" s="3251"/>
      <c r="M93" s="3251"/>
      <c r="N93" s="3251"/>
      <c r="O93" s="3251"/>
      <c r="P93" s="3251"/>
      <c r="Q93" s="3251"/>
      <c r="R93" s="3251"/>
      <c r="S93" s="3251"/>
      <c r="T93" s="3251"/>
      <c r="U93" s="3251"/>
      <c r="V93" s="3251"/>
      <c r="W93" s="3250"/>
      <c r="X93" s="3250"/>
      <c r="Y93" s="3250"/>
      <c r="Z93" s="3250"/>
    </row>
    <row r="94" spans="1:26" s="3249" customFormat="1" ht="24.75" customHeight="1">
      <c r="A94" s="3277" t="s">
        <v>1833</v>
      </c>
      <c r="B94" s="3294" t="s">
        <v>3122</v>
      </c>
      <c r="C94" s="3261">
        <f>IF(F93="购房发票",ROUND(C93*H93*5%,0),0)</f>
        <v>500</v>
      </c>
      <c r="D94" s="3293">
        <v>0.05</v>
      </c>
      <c r="E94" s="3861" t="s">
        <v>3121</v>
      </c>
      <c r="F94" s="3862"/>
      <c r="G94" s="3862"/>
      <c r="H94" s="3863"/>
      <c r="I94" s="1316"/>
      <c r="J94" s="2038"/>
      <c r="K94" s="3251"/>
      <c r="L94" s="3251"/>
      <c r="M94" s="3251"/>
      <c r="N94" s="3251"/>
      <c r="O94" s="3251"/>
      <c r="P94" s="3251"/>
      <c r="Q94" s="3251"/>
      <c r="R94" s="3251"/>
      <c r="S94" s="3251"/>
      <c r="T94" s="3251"/>
      <c r="U94" s="3251"/>
      <c r="V94" s="3251"/>
      <c r="W94" s="3250"/>
      <c r="X94" s="3250"/>
      <c r="Y94" s="3250"/>
      <c r="Z94" s="3250"/>
    </row>
    <row r="95" spans="1:26" s="3249" customFormat="1" ht="24.75" customHeight="1">
      <c r="A95" s="3277" t="s">
        <v>1834</v>
      </c>
      <c r="B95" s="3269" t="s">
        <v>3120</v>
      </c>
      <c r="C95" s="3261">
        <f>ROUND(IF(G95="个人买卖住房",0,IF(G95="2016年5月1日前购买",C93*D95,C93*D95/(1+'[1]数据-取费表'!C42))),0)</f>
        <v>61</v>
      </c>
      <c r="D95" s="3292">
        <f>'[1]数据-取费表'!B48+'[1]数据-取费表'!B49</f>
        <v>3.0499999999999999E-2</v>
      </c>
      <c r="E95" s="3260" t="s">
        <v>3119</v>
      </c>
      <c r="F95" s="3291"/>
      <c r="G95" s="3290" t="s">
        <v>2430</v>
      </c>
      <c r="H95" s="3289" t="str">
        <f>IF(G95="个人买卖住房","免征印花税"," ")</f>
        <v xml:space="preserve"> </v>
      </c>
      <c r="I95" s="1316"/>
      <c r="J95" s="2038"/>
      <c r="K95" s="3251"/>
      <c r="L95" s="3251"/>
      <c r="M95" s="3251"/>
      <c r="N95" s="3251"/>
      <c r="O95" s="3251"/>
      <c r="P95" s="3251"/>
      <c r="Q95" s="3251"/>
      <c r="R95" s="3251"/>
      <c r="S95" s="3251"/>
      <c r="T95" s="3251"/>
      <c r="U95" s="3251"/>
      <c r="V95" s="3251"/>
      <c r="W95" s="3250"/>
      <c r="X95" s="3250"/>
      <c r="Y95" s="3250"/>
      <c r="Z95" s="3250"/>
    </row>
    <row r="96" spans="1:26" s="3249" customFormat="1" ht="24.75" customHeight="1">
      <c r="A96" s="3277" t="s">
        <v>3118</v>
      </c>
      <c r="B96" s="3269" t="s">
        <v>3117</v>
      </c>
      <c r="C96" s="3268">
        <f ca="1">ROUND(D63*D96/(1+'[1]数据-取费表'!C42),0)</f>
        <v>25</v>
      </c>
      <c r="D96" s="3267">
        <f>'[1]数据-取费表'!B43</f>
        <v>6.000000000000001E-3</v>
      </c>
      <c r="E96" s="3864" t="s">
        <v>3116</v>
      </c>
      <c r="F96" s="3850"/>
      <c r="G96" s="3850"/>
      <c r="H96" s="3851"/>
      <c r="I96" s="1317"/>
      <c r="J96" s="2039"/>
      <c r="K96" s="3251"/>
      <c r="L96" s="3251"/>
      <c r="M96" s="3251"/>
      <c r="N96" s="3251"/>
      <c r="O96" s="3251"/>
      <c r="P96" s="3251"/>
      <c r="Q96" s="3251"/>
      <c r="R96" s="3251"/>
      <c r="S96" s="3251"/>
      <c r="T96" s="3251"/>
      <c r="U96" s="3251"/>
      <c r="V96" s="3251"/>
      <c r="W96" s="3250"/>
      <c r="X96" s="3250"/>
      <c r="Y96" s="3250"/>
      <c r="Z96" s="3250"/>
    </row>
    <row r="97" spans="1:26" s="3249" customFormat="1" ht="14.25">
      <c r="A97" s="3264" t="s">
        <v>3115</v>
      </c>
      <c r="B97" s="3263" t="s">
        <v>3114</v>
      </c>
      <c r="C97" s="3266">
        <f ca="1">C90-C91</f>
        <v>1530</v>
      </c>
      <c r="D97" s="3261" t="s">
        <v>3109</v>
      </c>
      <c r="E97" s="3265"/>
      <c r="F97" s="3259"/>
      <c r="G97" s="3259"/>
      <c r="H97" s="394"/>
      <c r="I97" s="1316"/>
      <c r="J97" s="2038"/>
      <c r="K97" s="3251"/>
      <c r="L97" s="3251"/>
      <c r="M97" s="3251"/>
      <c r="N97" s="3251"/>
      <c r="O97" s="3251"/>
      <c r="P97" s="3251"/>
      <c r="Q97" s="3251"/>
      <c r="R97" s="3251"/>
      <c r="S97" s="3251"/>
      <c r="T97" s="3251"/>
      <c r="U97" s="3251"/>
      <c r="V97" s="3251"/>
      <c r="W97" s="3250"/>
      <c r="X97" s="3250"/>
      <c r="Y97" s="3250"/>
      <c r="Z97" s="3250"/>
    </row>
    <row r="98" spans="1:26" s="3249" customFormat="1" ht="24">
      <c r="A98" s="3264" t="s">
        <v>3113</v>
      </c>
      <c r="B98" s="3263" t="s">
        <v>3112</v>
      </c>
      <c r="C98" s="3262">
        <f ca="1">IF(C97&lt;=0,0,C97/C91)</f>
        <v>0.59164733178654294</v>
      </c>
      <c r="D98" s="3261" t="s">
        <v>3109</v>
      </c>
      <c r="E98" s="3260"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3259"/>
      <c r="G98" s="3259"/>
      <c r="H98" s="394"/>
      <c r="I98" s="1316"/>
      <c r="J98" s="2038"/>
      <c r="K98" s="3251"/>
      <c r="L98" s="3251"/>
      <c r="M98" s="3251"/>
      <c r="N98" s="3251"/>
      <c r="O98" s="3251"/>
      <c r="P98" s="3251"/>
      <c r="Q98" s="3251"/>
      <c r="R98" s="3251"/>
      <c r="S98" s="3251"/>
      <c r="T98" s="3251"/>
      <c r="U98" s="3251"/>
      <c r="V98" s="3251"/>
      <c r="W98" s="3250"/>
      <c r="X98" s="3250"/>
      <c r="Y98" s="3250"/>
      <c r="Z98" s="3250"/>
    </row>
    <row r="99" spans="1:26" s="3249" customFormat="1" ht="24.75" thickBot="1">
      <c r="A99" s="3258" t="s">
        <v>3111</v>
      </c>
      <c r="B99" s="3257" t="s">
        <v>3110</v>
      </c>
      <c r="C99" s="3256">
        <f ca="1">ROUND(IF(C97&lt;=0,0,IF(C98&gt;=200%,C97*60%-C91*35%,IF(C98&gt;=100%,C97*50%-C91*15%,IF(C98&gt;=50%,C97*40%-C91*5%,IF(C98&lt;50%,C97*30%,0))))),0)</f>
        <v>483</v>
      </c>
      <c r="D99" s="3255" t="s">
        <v>3109</v>
      </c>
      <c r="E99" s="32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3253"/>
      <c r="G99" s="3253"/>
      <c r="H99" s="412"/>
      <c r="I99" s="1316"/>
      <c r="J99" s="2038"/>
      <c r="K99" s="3251"/>
      <c r="L99" s="3251"/>
      <c r="M99" s="3251"/>
      <c r="N99" s="3251"/>
      <c r="O99" s="3251"/>
      <c r="P99" s="3251"/>
      <c r="Q99" s="3251"/>
      <c r="R99" s="3251"/>
      <c r="S99" s="3251"/>
      <c r="T99" s="3251"/>
      <c r="U99" s="3251"/>
      <c r="V99" s="3251"/>
      <c r="W99" s="3250"/>
      <c r="X99" s="3250"/>
      <c r="Y99" s="3250"/>
      <c r="Z99" s="3250"/>
    </row>
    <row r="100" spans="1:26" s="3249" customFormat="1" ht="7.5" customHeight="1">
      <c r="A100" s="3288"/>
      <c r="B100" s="3287"/>
      <c r="C100" s="3252"/>
      <c r="D100" s="3252"/>
      <c r="E100" s="3287"/>
      <c r="F100" s="3287"/>
      <c r="G100" s="3287"/>
      <c r="H100" s="1320"/>
      <c r="I100" s="1317"/>
      <c r="J100" s="2039"/>
      <c r="K100" s="3251"/>
      <c r="L100" s="3251"/>
      <c r="M100" s="3251"/>
      <c r="N100" s="3251"/>
      <c r="O100" s="3251"/>
      <c r="P100" s="3251"/>
      <c r="Q100" s="3251"/>
      <c r="R100" s="3251"/>
      <c r="S100" s="3251"/>
      <c r="T100" s="3251"/>
      <c r="U100" s="3251"/>
      <c r="V100" s="3251"/>
      <c r="W100" s="3250"/>
      <c r="X100" s="3250"/>
      <c r="Y100" s="3250"/>
      <c r="Z100" s="3250"/>
    </row>
    <row r="101" spans="1:26" s="3249" customFormat="1" ht="15" thickBot="1">
      <c r="A101" s="3857" t="s">
        <v>3108</v>
      </c>
      <c r="B101" s="3858"/>
      <c r="C101" s="3858"/>
      <c r="D101" s="3858"/>
      <c r="E101" s="3858"/>
      <c r="F101" s="3858"/>
      <c r="G101" s="3858"/>
      <c r="H101" s="3858"/>
      <c r="I101" s="3252"/>
      <c r="J101" s="3251"/>
      <c r="K101" s="3251"/>
      <c r="L101" s="3251"/>
      <c r="M101" s="3251"/>
      <c r="N101" s="3251"/>
      <c r="O101" s="3251"/>
      <c r="P101" s="3251"/>
      <c r="Q101" s="3251"/>
      <c r="R101" s="3251"/>
      <c r="S101" s="3251"/>
      <c r="T101" s="3251"/>
      <c r="U101" s="3251"/>
      <c r="V101" s="3251"/>
      <c r="W101" s="3250"/>
      <c r="X101" s="3250"/>
      <c r="Y101" s="3250"/>
      <c r="Z101" s="3250"/>
    </row>
    <row r="102" spans="1:26" s="3249" customFormat="1" ht="14.25">
      <c r="A102" s="3859" t="s">
        <v>3107</v>
      </c>
      <c r="B102" s="3860"/>
      <c r="C102" s="3286"/>
      <c r="D102" s="3286" t="s">
        <v>3106</v>
      </c>
      <c r="E102" s="3285" t="s">
        <v>3105</v>
      </c>
      <c r="F102" s="3284"/>
      <c r="G102" s="3284"/>
      <c r="H102" s="413"/>
      <c r="I102" s="3252"/>
      <c r="J102" s="3251"/>
      <c r="K102" s="3251"/>
      <c r="L102" s="3251"/>
      <c r="M102" s="3251"/>
      <c r="N102" s="3251"/>
      <c r="O102" s="3251"/>
      <c r="P102" s="3251"/>
      <c r="Q102" s="3251"/>
      <c r="R102" s="3251"/>
      <c r="S102" s="3251"/>
      <c r="T102" s="3251"/>
      <c r="U102" s="3251"/>
      <c r="V102" s="3251"/>
      <c r="W102" s="3250"/>
      <c r="X102" s="3250"/>
      <c r="Y102" s="3250"/>
      <c r="Z102" s="3250"/>
    </row>
    <row r="103" spans="1:26" s="3249" customFormat="1" ht="14.25">
      <c r="A103" s="3283" t="s">
        <v>1824</v>
      </c>
      <c r="B103" s="3263" t="s">
        <v>3104</v>
      </c>
      <c r="C103" s="3266">
        <f ca="1">ROUND(D63/(1+'[1]数据-取费表'!C42),0)</f>
        <v>4116</v>
      </c>
      <c r="D103" s="3261" t="s">
        <v>1765</v>
      </c>
      <c r="E103" s="3265"/>
      <c r="F103" s="3259"/>
      <c r="G103" s="3259"/>
      <c r="H103" s="414"/>
      <c r="I103" s="3252"/>
      <c r="J103" s="3251"/>
      <c r="K103" s="3251"/>
      <c r="L103" s="3251"/>
      <c r="M103" s="3251"/>
      <c r="N103" s="3251"/>
      <c r="O103" s="3251"/>
      <c r="P103" s="3251"/>
      <c r="Q103" s="3251"/>
      <c r="R103" s="3251"/>
      <c r="S103" s="3251"/>
      <c r="T103" s="3251"/>
      <c r="U103" s="3251"/>
      <c r="V103" s="3251"/>
      <c r="W103" s="3250"/>
      <c r="X103" s="3250"/>
      <c r="Y103" s="3250"/>
      <c r="Z103" s="3250"/>
    </row>
    <row r="104" spans="1:26" s="3249" customFormat="1" ht="14.25">
      <c r="A104" s="3283" t="s">
        <v>1827</v>
      </c>
      <c r="B104" s="3282" t="s">
        <v>3103</v>
      </c>
      <c r="C104" s="3266">
        <f ca="1">IF(H106="仅含出让金",C105+C108+C109+C110+C111+C112,C105+C109+C110+C111+C112)</f>
        <v>715</v>
      </c>
      <c r="D104" s="3281"/>
      <c r="E104" s="3265"/>
      <c r="F104" s="3259"/>
      <c r="G104" s="3259"/>
      <c r="H104" s="414"/>
      <c r="I104" s="3252"/>
      <c r="J104" s="3251"/>
      <c r="K104" s="3251"/>
      <c r="L104" s="3251"/>
      <c r="M104" s="3251"/>
      <c r="N104" s="3251"/>
      <c r="O104" s="3251"/>
      <c r="P104" s="3251"/>
      <c r="Q104" s="3251"/>
      <c r="R104" s="3251"/>
      <c r="S104" s="3251"/>
      <c r="T104" s="3251"/>
      <c r="U104" s="3251"/>
      <c r="V104" s="3251"/>
      <c r="W104" s="3250"/>
      <c r="X104" s="3250"/>
      <c r="Y104" s="3250"/>
      <c r="Z104" s="3250"/>
    </row>
    <row r="105" spans="1:26" s="3249" customFormat="1" ht="14.25">
      <c r="A105" s="3277" t="s">
        <v>1825</v>
      </c>
      <c r="B105" s="3269" t="s">
        <v>3102</v>
      </c>
      <c r="C105" s="3268">
        <f>C106+C107</f>
        <v>572</v>
      </c>
      <c r="D105" s="3267"/>
      <c r="E105" s="3280"/>
      <c r="F105" s="3274"/>
      <c r="G105" s="3274"/>
      <c r="H105" s="3273"/>
      <c r="I105" s="3252"/>
      <c r="J105" s="3251"/>
      <c r="K105" s="3251"/>
      <c r="L105" s="3251"/>
      <c r="M105" s="3251"/>
      <c r="N105" s="3251"/>
      <c r="O105" s="3251"/>
      <c r="P105" s="3251"/>
      <c r="Q105" s="3251"/>
      <c r="R105" s="3251"/>
      <c r="S105" s="3251"/>
      <c r="T105" s="3251"/>
      <c r="U105" s="3251"/>
      <c r="V105" s="3251"/>
      <c r="W105" s="3250"/>
      <c r="X105" s="3250"/>
      <c r="Y105" s="3250"/>
      <c r="Z105" s="3250"/>
    </row>
    <row r="106" spans="1:26" s="3249" customFormat="1" ht="14.25">
      <c r="A106" s="3277" t="s">
        <v>1832</v>
      </c>
      <c r="B106" s="3269" t="s">
        <v>3101</v>
      </c>
      <c r="C106" s="3276">
        <v>555</v>
      </c>
      <c r="D106" s="3267"/>
      <c r="E106" s="3275" t="s">
        <v>3100</v>
      </c>
      <c r="F106" s="3274"/>
      <c r="G106" s="3279" t="s">
        <v>3099</v>
      </c>
      <c r="H106" s="3278" t="s">
        <v>2440</v>
      </c>
      <c r="I106" s="3252"/>
      <c r="J106" s="3251"/>
      <c r="K106" s="3251"/>
      <c r="L106" s="3251"/>
      <c r="M106" s="3251"/>
      <c r="N106" s="3251"/>
      <c r="O106" s="3251"/>
      <c r="P106" s="3251"/>
      <c r="Q106" s="3251"/>
      <c r="R106" s="3251"/>
      <c r="S106" s="3251"/>
      <c r="T106" s="3251"/>
      <c r="U106" s="3251"/>
      <c r="V106" s="3251"/>
      <c r="W106" s="3250"/>
      <c r="X106" s="3250"/>
      <c r="Y106" s="3250"/>
      <c r="Z106" s="3250"/>
    </row>
    <row r="107" spans="1:26" s="3249" customFormat="1" ht="14.25">
      <c r="A107" s="3277" t="s">
        <v>1833</v>
      </c>
      <c r="B107" s="3269" t="s">
        <v>3098</v>
      </c>
      <c r="C107" s="3268">
        <f>ROUND(C106*D107,0)</f>
        <v>17</v>
      </c>
      <c r="D107" s="3267">
        <f>'[1]数据-取费表'!B48+'[1]数据-取费表'!B49</f>
        <v>3.0499999999999999E-2</v>
      </c>
      <c r="E107" s="3275" t="s">
        <v>3097</v>
      </c>
      <c r="F107" s="3274"/>
      <c r="G107" s="3274"/>
      <c r="H107" s="3273"/>
      <c r="I107" s="3252"/>
      <c r="J107" s="3251"/>
      <c r="K107" s="3251"/>
      <c r="L107" s="3251"/>
      <c r="M107" s="3251"/>
      <c r="N107" s="3251"/>
      <c r="O107" s="3251"/>
      <c r="P107" s="3251"/>
      <c r="Q107" s="3251"/>
      <c r="R107" s="3251"/>
      <c r="S107" s="3251"/>
      <c r="T107" s="3251"/>
      <c r="U107" s="3251"/>
      <c r="V107" s="3251"/>
      <c r="W107" s="3250"/>
      <c r="X107" s="3250"/>
      <c r="Y107" s="3250"/>
      <c r="Z107" s="3250"/>
    </row>
    <row r="108" spans="1:26" s="3249" customFormat="1" ht="14.25">
      <c r="A108" s="3277" t="s">
        <v>1826</v>
      </c>
      <c r="B108" s="3269" t="s">
        <v>3096</v>
      </c>
      <c r="C108" s="3276"/>
      <c r="D108" s="3267"/>
      <c r="E108" s="3275" t="str">
        <f>IF(H106="-","土地取得成本中已包含该笔费用"," ")</f>
        <v xml:space="preserve"> </v>
      </c>
      <c r="F108" s="3274"/>
      <c r="G108" s="3274"/>
      <c r="H108" s="3273"/>
      <c r="I108" s="3252"/>
      <c r="J108" s="3251"/>
      <c r="K108" s="3251"/>
      <c r="L108" s="3251"/>
      <c r="M108" s="3251"/>
      <c r="N108" s="3251"/>
      <c r="O108" s="3251"/>
      <c r="P108" s="3251"/>
      <c r="Q108" s="3251"/>
      <c r="R108" s="3251"/>
      <c r="S108" s="3251"/>
      <c r="T108" s="3251"/>
      <c r="U108" s="3251"/>
      <c r="V108" s="3251"/>
      <c r="W108" s="3250"/>
      <c r="X108" s="3250"/>
      <c r="Y108" s="3250"/>
      <c r="Z108" s="3250"/>
    </row>
    <row r="109" spans="1:26" s="3249" customFormat="1" ht="24" customHeight="1">
      <c r="A109" s="3270" t="s">
        <v>3095</v>
      </c>
      <c r="B109" s="3269" t="s">
        <v>3094</v>
      </c>
      <c r="C109" s="3268">
        <f>IF(H109="——",IF(F1="现房",'[1]剩余法-现房'!C18,'[1]剩余法-待开发'!C18),I109)</f>
        <v>55</v>
      </c>
      <c r="D109" s="3267"/>
      <c r="E109" s="3849" t="s">
        <v>3093</v>
      </c>
      <c r="F109" s="3850"/>
      <c r="G109" s="3850"/>
      <c r="H109" s="3272" t="s">
        <v>2280</v>
      </c>
      <c r="I109" s="3271">
        <v>55</v>
      </c>
      <c r="J109" s="3251"/>
      <c r="K109" s="3251"/>
      <c r="L109" s="3251"/>
      <c r="M109" s="3251"/>
      <c r="N109" s="3251"/>
      <c r="O109" s="3251"/>
      <c r="P109" s="3251"/>
      <c r="Q109" s="3251"/>
      <c r="R109" s="3251"/>
      <c r="S109" s="3251"/>
      <c r="T109" s="3251"/>
      <c r="U109" s="3251"/>
      <c r="V109" s="3251"/>
      <c r="W109" s="3250"/>
      <c r="X109" s="3250"/>
      <c r="Y109" s="3250"/>
      <c r="Z109" s="3250"/>
    </row>
    <row r="110" spans="1:26" s="3249" customFormat="1" ht="25.5" customHeight="1">
      <c r="A110" s="3270" t="s">
        <v>3092</v>
      </c>
      <c r="B110" s="3269" t="s">
        <v>3091</v>
      </c>
      <c r="C110" s="3268">
        <f>ROUND((C105+C108+C109)*D110,0)</f>
        <v>63</v>
      </c>
      <c r="D110" s="3267">
        <v>0.1</v>
      </c>
      <c r="E110" s="3849" t="s">
        <v>3090</v>
      </c>
      <c r="F110" s="3850"/>
      <c r="G110" s="3850"/>
      <c r="H110" s="3851"/>
      <c r="I110" s="3252"/>
      <c r="J110" s="3251"/>
      <c r="K110" s="3251"/>
      <c r="L110" s="3251"/>
      <c r="M110" s="3251"/>
      <c r="N110" s="3251"/>
      <c r="O110" s="3251"/>
      <c r="P110" s="3251"/>
      <c r="Q110" s="3251"/>
      <c r="R110" s="3251"/>
      <c r="S110" s="3251"/>
      <c r="T110" s="3251"/>
      <c r="U110" s="3251"/>
      <c r="V110" s="3251"/>
      <c r="W110" s="3250"/>
      <c r="X110" s="3250"/>
      <c r="Y110" s="3250"/>
      <c r="Z110" s="3250"/>
    </row>
    <row r="111" spans="1:26" s="3249" customFormat="1" ht="25.5" customHeight="1">
      <c r="A111" s="3270" t="s">
        <v>3089</v>
      </c>
      <c r="B111" s="3269" t="s">
        <v>3088</v>
      </c>
      <c r="C111" s="3268">
        <f ca="1">ROUND(D63*D111/(1+'[1]数据-取费表'!C42),0)</f>
        <v>25</v>
      </c>
      <c r="D111" s="3267">
        <f>'[1]数据-取费表'!B43</f>
        <v>6.000000000000001E-3</v>
      </c>
      <c r="E111" s="3864" t="s">
        <v>3087</v>
      </c>
      <c r="F111" s="3850"/>
      <c r="G111" s="3850"/>
      <c r="H111" s="3851"/>
      <c r="I111" s="3252"/>
      <c r="J111" s="3251"/>
      <c r="K111" s="3251"/>
      <c r="L111" s="3251"/>
      <c r="M111" s="3251"/>
      <c r="N111" s="3251"/>
      <c r="O111" s="3251"/>
      <c r="P111" s="3251"/>
      <c r="Q111" s="3251"/>
      <c r="R111" s="3251"/>
      <c r="S111" s="3251"/>
      <c r="T111" s="3251"/>
      <c r="U111" s="3251"/>
      <c r="V111" s="3251"/>
      <c r="W111" s="3250"/>
      <c r="X111" s="3250"/>
      <c r="Y111" s="3250"/>
      <c r="Z111" s="3250"/>
    </row>
    <row r="112" spans="1:26" s="3249" customFormat="1" ht="25.5" customHeight="1">
      <c r="A112" s="3270" t="s">
        <v>1842</v>
      </c>
      <c r="B112" s="3269" t="s">
        <v>3086</v>
      </c>
      <c r="C112" s="3268">
        <f>ROUND(C108*D112,0)</f>
        <v>0</v>
      </c>
      <c r="D112" s="3267">
        <v>0.2</v>
      </c>
      <c r="E112" s="3849" t="s">
        <v>3085</v>
      </c>
      <c r="F112" s="3850"/>
      <c r="G112" s="3850"/>
      <c r="H112" s="3851"/>
      <c r="I112" s="3252"/>
      <c r="J112" s="3251"/>
      <c r="K112" s="3251"/>
      <c r="L112" s="3251"/>
      <c r="M112" s="3251"/>
      <c r="N112" s="3251"/>
      <c r="O112" s="3251"/>
      <c r="P112" s="3251"/>
      <c r="Q112" s="3251"/>
      <c r="R112" s="3251"/>
      <c r="S112" s="3251"/>
      <c r="T112" s="3251"/>
      <c r="U112" s="3251"/>
      <c r="V112" s="3251"/>
      <c r="W112" s="3250"/>
      <c r="X112" s="3250"/>
      <c r="Y112" s="3250"/>
      <c r="Z112" s="3250"/>
    </row>
    <row r="113" spans="1:26" s="3249" customFormat="1" ht="14.25">
      <c r="A113" s="3264" t="s">
        <v>1828</v>
      </c>
      <c r="B113" s="3263" t="s">
        <v>3084</v>
      </c>
      <c r="C113" s="3266">
        <f ca="1">ROUND(C103-C104,0)</f>
        <v>3401</v>
      </c>
      <c r="D113" s="3261" t="s">
        <v>3079</v>
      </c>
      <c r="E113" s="3265"/>
      <c r="F113" s="3259"/>
      <c r="G113" s="3259"/>
      <c r="H113" s="414"/>
      <c r="I113" s="3252"/>
      <c r="J113" s="3251"/>
      <c r="K113" s="3251"/>
      <c r="L113" s="3251"/>
      <c r="M113" s="3251"/>
      <c r="N113" s="3251"/>
      <c r="O113" s="3251"/>
      <c r="P113" s="3251"/>
      <c r="Q113" s="3251"/>
      <c r="R113" s="3251"/>
      <c r="S113" s="3251"/>
      <c r="T113" s="3251"/>
      <c r="U113" s="3251"/>
      <c r="V113" s="3251"/>
      <c r="W113" s="3250"/>
      <c r="X113" s="3250"/>
      <c r="Y113" s="3250"/>
      <c r="Z113" s="3250"/>
    </row>
    <row r="114" spans="1:26" s="3249" customFormat="1" ht="24">
      <c r="A114" s="3264" t="s">
        <v>3083</v>
      </c>
      <c r="B114" s="3263" t="s">
        <v>3082</v>
      </c>
      <c r="C114" s="3262">
        <f ca="1">IF(C113&lt;=0,0,C113/C104)</f>
        <v>4.756643356643357</v>
      </c>
      <c r="D114" s="3261" t="s">
        <v>3079</v>
      </c>
      <c r="E114" s="3260" t="str">
        <f ca="1">IF(C114&gt;=200%,"增值额超过扣除项目金额200%",IF(C114&gt;=100%,"增值额超过扣除项目金额100%，未超过200%",IF(C114&gt;=50%,"增值额超过扣除项目金额50%，未超过100%",IF(C114&lt;50%,"增值额未超过扣除项目金额50%"))))</f>
        <v>增值额超过扣除项目金额200%</v>
      </c>
      <c r="F114" s="3259"/>
      <c r="G114" s="3259"/>
      <c r="H114" s="414"/>
      <c r="I114" s="3252"/>
      <c r="J114" s="3251"/>
      <c r="K114" s="3251"/>
      <c r="L114" s="3251"/>
      <c r="M114" s="3251"/>
      <c r="N114" s="3251"/>
      <c r="O114" s="3251"/>
      <c r="P114" s="3251"/>
      <c r="Q114" s="3251"/>
      <c r="R114" s="3251"/>
      <c r="S114" s="3251"/>
      <c r="T114" s="3251"/>
      <c r="U114" s="3251"/>
      <c r="V114" s="3251"/>
      <c r="W114" s="3250"/>
      <c r="X114" s="3250"/>
      <c r="Y114" s="3250"/>
      <c r="Z114" s="3250"/>
    </row>
    <row r="115" spans="1:26" s="3249" customFormat="1" ht="24.75" thickBot="1">
      <c r="A115" s="3258" t="s">
        <v>3081</v>
      </c>
      <c r="B115" s="3257" t="s">
        <v>3080</v>
      </c>
      <c r="C115" s="3256">
        <f ca="1">ROUND(IF(C113&lt;=0,0,IF(C114&gt;=200%,C113*60%-C104*35%,IF(C114&gt;=100%,C113*50%-C104*15%,IF(C114&gt;=50%,C113*40%-C104*5%,IF(C114&lt;50%,C113*30%,0))))),0)</f>
        <v>1790</v>
      </c>
      <c r="D115" s="3255" t="s">
        <v>3079</v>
      </c>
      <c r="E115" s="325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253"/>
      <c r="G115" s="3253"/>
      <c r="H115" s="420"/>
      <c r="I115" s="3252"/>
      <c r="J115" s="3251"/>
      <c r="K115" s="3251"/>
      <c r="L115" s="3251"/>
      <c r="M115" s="3251"/>
      <c r="N115" s="3251"/>
      <c r="O115" s="3251"/>
      <c r="P115" s="3251"/>
      <c r="Q115" s="3251"/>
      <c r="R115" s="3251"/>
      <c r="S115" s="3251"/>
      <c r="T115" s="3251"/>
      <c r="U115" s="3251"/>
      <c r="V115" s="3251"/>
      <c r="W115" s="3250"/>
      <c r="X115" s="3250"/>
      <c r="Y115" s="3250"/>
      <c r="Z115" s="3250"/>
    </row>
    <row r="116" spans="1:26" s="3241" customFormat="1" ht="21.75" customHeight="1">
      <c r="J116" s="3247"/>
      <c r="K116" s="3248"/>
      <c r="L116" s="3248"/>
      <c r="M116" s="3248"/>
      <c r="N116" s="3248"/>
      <c r="O116" s="3248"/>
    </row>
    <row r="117" spans="1:26" s="3241" customFormat="1" ht="21.75" customHeight="1">
      <c r="J117" s="3247"/>
    </row>
    <row r="118" spans="1:26" s="3241" customFormat="1" ht="21.75" customHeight="1">
      <c r="J118" s="3247"/>
    </row>
    <row r="119" spans="1:26" s="3241" customFormat="1" ht="21.75" customHeight="1">
      <c r="J119" s="3247"/>
    </row>
    <row r="120" spans="1:26" s="3241" customFormat="1" ht="21.75" customHeight="1">
      <c r="J120" s="3247"/>
    </row>
    <row r="121" spans="1:26" s="3241" customFormat="1" ht="21.75" customHeight="1"/>
    <row r="122" spans="1:26" s="3241" customFormat="1" ht="21.75" customHeight="1">
      <c r="J122" s="3246"/>
    </row>
    <row r="123" spans="1:26" s="3241" customFormat="1" ht="21.75" customHeight="1"/>
    <row r="124" spans="1:26" s="3241" customFormat="1" ht="21.75" customHeight="1"/>
    <row r="125" spans="1:26" s="3241" customFormat="1" ht="21.75" customHeight="1">
      <c r="J125" s="3246"/>
    </row>
    <row r="126" spans="1:26" s="3241" customFormat="1" ht="21.75" customHeight="1"/>
    <row r="127" spans="1:26" s="3241" customFormat="1" ht="21.75" customHeight="1"/>
    <row r="128" spans="1:26" s="3241" customFormat="1" ht="21.75" customHeight="1">
      <c r="J128" s="3246"/>
    </row>
    <row r="129" spans="2:6" s="3241" customFormat="1" ht="21.75" customHeight="1"/>
    <row r="130" spans="2:6" s="3241" customFormat="1" ht="21.75" customHeight="1">
      <c r="B130" s="3245"/>
      <c r="C130" s="3244"/>
      <c r="D130" s="3243"/>
      <c r="E130" s="3243"/>
      <c r="F130" s="3242"/>
    </row>
    <row r="131" spans="2:6" s="3241" customFormat="1" ht="21.75" customHeight="1"/>
    <row r="132" spans="2:6" s="3241" customFormat="1" ht="21.75" customHeight="1"/>
    <row r="133" spans="2:6" s="3241" customFormat="1" ht="21.75" customHeight="1"/>
    <row r="134" spans="2:6" s="3241" customFormat="1" ht="21.75" customHeight="1"/>
    <row r="135" spans="2:6" s="3241" customFormat="1" ht="21.75" customHeight="1"/>
    <row r="136" spans="2:6" s="3241" customFormat="1" ht="21.75" customHeight="1"/>
    <row r="137" spans="2:6" s="3241" customFormat="1" ht="21.75" customHeight="1"/>
    <row r="138" spans="2:6" s="3241" customFormat="1" ht="21.75" customHeight="1"/>
    <row r="139" spans="2:6" s="3241" customFormat="1" ht="21.75" customHeight="1"/>
    <row r="140" spans="2:6" s="3241" customFormat="1" ht="21.75" customHeight="1"/>
    <row r="141" spans="2:6" s="3241" customFormat="1" ht="21.75" customHeight="1"/>
    <row r="142" spans="2:6" s="3241" customFormat="1" ht="21.75" customHeight="1"/>
    <row r="143" spans="2:6" s="3241" customFormat="1" ht="21.75" customHeight="1"/>
    <row r="144" spans="2:6" s="3241" customFormat="1" ht="21.75" customHeight="1"/>
    <row r="145" s="3241" customFormat="1" ht="21.75" customHeight="1"/>
    <row r="146" s="3241" customFormat="1" ht="21.75" customHeight="1"/>
    <row r="147" s="3241" customFormat="1" ht="21.75" customHeight="1"/>
    <row r="148" s="3241" customFormat="1" ht="21.75" customHeight="1"/>
    <row r="149" s="3241" customFormat="1" ht="21.75" customHeight="1"/>
    <row r="150" s="3241" customFormat="1" ht="21.75" customHeight="1"/>
    <row r="151" s="3241" customFormat="1" ht="21.75" customHeight="1"/>
    <row r="152" s="3241" customFormat="1" ht="21.75" customHeight="1"/>
    <row r="153" s="3241" customFormat="1" ht="21.75" customHeight="1"/>
    <row r="154" s="3241" customFormat="1" ht="21.75" customHeight="1"/>
    <row r="155" s="3241" customFormat="1" ht="21.75" customHeight="1"/>
    <row r="156" s="3241" customFormat="1" ht="21.75" customHeight="1"/>
    <row r="157" s="3241" customFormat="1" ht="21.75" customHeight="1"/>
    <row r="158" s="3241" customFormat="1" ht="21.75" customHeight="1"/>
    <row r="159" s="3241" customFormat="1" ht="21.75" customHeight="1"/>
    <row r="160" s="3241" customFormat="1" ht="21.75" customHeight="1"/>
    <row r="161" s="3241" customFormat="1" ht="21.75" customHeight="1"/>
    <row r="162" s="3241" customFormat="1" ht="21.75" customHeight="1"/>
    <row r="163" s="3241" customFormat="1" ht="21.75" customHeight="1"/>
    <row r="164" s="3241" customFormat="1" ht="21.75" customHeight="1"/>
    <row r="165" s="3241" customFormat="1" ht="21.75" customHeight="1"/>
    <row r="166" s="3241" customFormat="1" ht="21.75" customHeight="1"/>
    <row r="167" s="3241" customFormat="1" ht="21.75" customHeight="1"/>
    <row r="168" s="3241" customFormat="1" ht="21.75" customHeight="1"/>
    <row r="169" s="3241" customFormat="1" ht="21.75" customHeight="1"/>
    <row r="170" s="3241" customFormat="1" ht="21.75" customHeight="1"/>
    <row r="171" s="3241" customFormat="1" ht="21.75" customHeight="1"/>
    <row r="172" s="3241" customFormat="1" ht="21.75" customHeight="1"/>
    <row r="173" s="3241" customFormat="1" ht="21.75" customHeight="1"/>
    <row r="174" s="3241" customFormat="1" ht="21.75" customHeight="1"/>
    <row r="175" s="3241" customFormat="1" ht="21.75" customHeight="1"/>
    <row r="176" s="3241" customFormat="1" ht="21.75" customHeight="1"/>
    <row r="177" spans="11:15" s="3241" customFormat="1" ht="21.75" customHeight="1"/>
    <row r="178" spans="11:15" s="3241" customFormat="1" ht="21.75" customHeight="1"/>
    <row r="179" spans="11:15" s="3241" customFormat="1" ht="21.75" customHeight="1"/>
    <row r="180" spans="11:15" s="3241" customFormat="1" ht="21.75" customHeight="1"/>
    <row r="181" spans="11:15" s="3241" customFormat="1" ht="21.75" customHeight="1"/>
    <row r="182" spans="11:15" s="3241" customFormat="1" ht="21.75" customHeight="1"/>
    <row r="183" spans="11:15" s="3241" customFormat="1" ht="21.75" customHeight="1"/>
    <row r="184" spans="11:15" s="3241" customFormat="1" ht="21.75" customHeight="1"/>
    <row r="185" spans="11:15" s="3240" customFormat="1" ht="21.75" customHeight="1">
      <c r="K185" s="3241"/>
      <c r="L185" s="3241"/>
      <c r="M185" s="3241"/>
      <c r="N185" s="3241"/>
      <c r="O185" s="3241"/>
    </row>
    <row r="186" spans="11:15" s="3240" customFormat="1" ht="21.75" customHeight="1"/>
    <row r="187" spans="11:15" s="3240" customFormat="1" ht="21.75" customHeight="1"/>
    <row r="188" spans="11:15" s="3240" customFormat="1" ht="21.75" customHeight="1"/>
    <row r="189" spans="11:15" s="3240" customFormat="1" ht="21.75" customHeight="1"/>
    <row r="190" spans="11:15" s="3240" customFormat="1" ht="21.75" customHeight="1"/>
    <row r="191" spans="11:15" s="3240" customFormat="1" ht="21.75" customHeight="1"/>
    <row r="192" spans="11:15" s="3240" customFormat="1" ht="21.75" customHeight="1"/>
    <row r="193" s="3240" customFormat="1" ht="21.75" customHeight="1"/>
    <row r="194" s="3240" customFormat="1" ht="21.75" customHeight="1"/>
    <row r="195" s="3240" customFormat="1" ht="21.75" customHeight="1"/>
    <row r="196" s="3240" customFormat="1" ht="21.75" customHeight="1"/>
    <row r="197" s="3240" customFormat="1" ht="21.75" customHeight="1"/>
    <row r="198" s="3240" customFormat="1" ht="21.75" customHeight="1"/>
    <row r="199" s="3240" customFormat="1" ht="21.75" customHeight="1"/>
    <row r="200" s="3240" customFormat="1" ht="21.75" customHeight="1"/>
    <row r="201" s="3240" customFormat="1" ht="21.75" customHeight="1"/>
    <row r="202" s="3240" customFormat="1" ht="21.75" customHeight="1"/>
    <row r="203" s="3240" customFormat="1" ht="21.75" customHeight="1"/>
    <row r="204" s="3240" customFormat="1" ht="21.75" customHeight="1"/>
    <row r="205" s="3240" customFormat="1" ht="21.75" customHeight="1"/>
    <row r="206" s="3240"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64:G64"/>
    <mergeCell ref="A66:C66"/>
    <mergeCell ref="B70:C70"/>
    <mergeCell ref="A42:B42"/>
    <mergeCell ref="A43:B43"/>
    <mergeCell ref="A44:B44"/>
    <mergeCell ref="A45:B45"/>
    <mergeCell ref="A46:B46"/>
    <mergeCell ref="A63:C63"/>
    <mergeCell ref="B67:C67"/>
    <mergeCell ref="G67:G69"/>
    <mergeCell ref="L67:M67"/>
    <mergeCell ref="B68:C68"/>
    <mergeCell ref="L68:M68"/>
    <mergeCell ref="B69:C69"/>
    <mergeCell ref="L69:M69"/>
    <mergeCell ref="E109:G109"/>
    <mergeCell ref="A77:C77"/>
    <mergeCell ref="K77:K78"/>
    <mergeCell ref="L77:L78"/>
    <mergeCell ref="B71:C71"/>
    <mergeCell ref="L71:M71"/>
    <mergeCell ref="B72:C72"/>
    <mergeCell ref="L72:M72"/>
    <mergeCell ref="A74:C74"/>
    <mergeCell ref="L74:M74"/>
    <mergeCell ref="A73:C73"/>
    <mergeCell ref="L73:M73"/>
    <mergeCell ref="B75:C75"/>
    <mergeCell ref="L75:M75"/>
    <mergeCell ref="B76:C76"/>
    <mergeCell ref="L76:M76"/>
    <mergeCell ref="E110:H110"/>
    <mergeCell ref="O76:P76"/>
    <mergeCell ref="E112:H112"/>
    <mergeCell ref="L81:M81"/>
    <mergeCell ref="K83:K89"/>
    <mergeCell ref="A88:H88"/>
    <mergeCell ref="A89:B89"/>
    <mergeCell ref="E94:H94"/>
    <mergeCell ref="E111:H111"/>
    <mergeCell ref="A79:E79"/>
    <mergeCell ref="K79:K80"/>
    <mergeCell ref="L79:L80"/>
    <mergeCell ref="A80:B80"/>
    <mergeCell ref="E96:H96"/>
    <mergeCell ref="A101:H101"/>
    <mergeCell ref="A102:B102"/>
  </mergeCells>
  <phoneticPr fontId="228"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108">
    <cfRule type="expression" dxfId="160" priority="3" stopIfTrue="1">
      <formula>$H$106&lt;&gt;"仅含出让金"</formula>
    </cfRule>
  </conditionalFormatting>
  <conditionalFormatting sqref="C109">
    <cfRule type="expression" dxfId="159" priority="2" stopIfTrue="1">
      <formula>$H$109="由企业提供"</formula>
    </cfRule>
  </conditionalFormatting>
  <conditionalFormatting sqref="I33">
    <cfRule type="expression" dxfId="15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C54" sqref="C5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1779.8</v>
      </c>
      <c r="E1" s="1406" t="s">
        <v>2428</v>
      </c>
      <c r="F1" s="2431">
        <f>'数据-汇总表'!D20</f>
        <v>182.98</v>
      </c>
      <c r="G1" s="1401"/>
      <c r="H1" s="1401"/>
      <c r="I1" s="1401"/>
      <c r="J1" s="1401"/>
      <c r="K1" s="1401"/>
      <c r="L1" s="1882" t="s">
        <v>2239</v>
      </c>
      <c r="M1" s="1883">
        <f>SUMPRODUCT((区片价!B5:B9=I2)*(区片价!C3:F3=E2)*(区片价!C5:F9))</f>
        <v>30290</v>
      </c>
      <c r="N1" s="1884">
        <f>SUMPRODUCT((因素修正幅度!B5:B9=I2)*(因素修正幅度!C3:F3=E2)*(因素修正幅度!C5:F9))</f>
        <v>0.1</v>
      </c>
      <c r="O1" s="2189"/>
      <c r="P1" s="2189"/>
      <c r="Q1" s="2189"/>
      <c r="R1" s="2914" t="s">
        <v>2762</v>
      </c>
      <c r="S1" s="2914" t="s">
        <v>2763</v>
      </c>
      <c r="T1" s="2914" t="s">
        <v>2784</v>
      </c>
      <c r="U1" s="2914" t="s">
        <v>2785</v>
      </c>
      <c r="V1" s="2914" t="s">
        <v>2786</v>
      </c>
      <c r="W1" s="2189"/>
      <c r="X1" s="2189"/>
      <c r="Y1" s="2189"/>
      <c r="Z1" s="2189"/>
      <c r="AA1" s="2189"/>
      <c r="AB1" s="2189"/>
      <c r="AC1" s="2190"/>
    </row>
    <row r="2" spans="1:39" ht="15.75">
      <c r="A2" s="1406" t="s">
        <v>920</v>
      </c>
      <c r="B2" s="1038">
        <f ca="1">C26</f>
        <v>6819</v>
      </c>
      <c r="C2" s="1407" t="s">
        <v>921</v>
      </c>
      <c r="D2" s="1408" t="s">
        <v>922</v>
      </c>
      <c r="E2" s="1409" t="s">
        <v>2996</v>
      </c>
      <c r="F2" s="1408" t="s">
        <v>924</v>
      </c>
      <c r="G2" s="1652" t="str">
        <f>IF(E2="商业",项目基本情况!B43,IF(E2="办公",项目基本情况!C43,IF(E2="住宅",项目基本情况!D43,项目基本情况!E43)))</f>
        <v>一级</v>
      </c>
      <c r="H2" s="1408" t="s">
        <v>926</v>
      </c>
      <c r="I2" s="1653" t="str">
        <f>IF(E2="商业",项目基本情况!B44,IF(E2="办公",项目基本情况!C44,IF(E2="住宅",项目基本情况!D44,项目基本情况!E44)))</f>
        <v>Ⅰ—02</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1.9361999999999999</v>
      </c>
      <c r="T2" s="2915">
        <f ca="1">ROUND($C$5*$C$18*$C$19*$C$20*S2*$C$24,0)</f>
        <v>84118</v>
      </c>
      <c r="U2" s="2904"/>
      <c r="V2" s="2915">
        <f ca="1">ROUND(T2*U2/10000,0)</f>
        <v>0</v>
      </c>
      <c r="W2" s="2189"/>
      <c r="X2" s="2189"/>
      <c r="Y2" s="2189"/>
      <c r="Z2" s="2189"/>
      <c r="AA2" s="2189"/>
      <c r="AB2" s="2189"/>
      <c r="AC2" s="2190"/>
    </row>
    <row r="3" spans="1:39" ht="15.75">
      <c r="A3" s="1411" t="s">
        <v>1688</v>
      </c>
      <c r="B3" s="1038">
        <f ca="1">ROUND(B2*10000/D1,0)</f>
        <v>38313</v>
      </c>
      <c r="C3" s="1407" t="s">
        <v>927</v>
      </c>
      <c r="D3" s="1408" t="s">
        <v>928</v>
      </c>
      <c r="E3" s="1412" t="s">
        <v>3026</v>
      </c>
      <c r="F3" s="1413" t="s">
        <v>3005</v>
      </c>
      <c r="G3" s="1039">
        <f>IF(F3="宗地容积率",'数据-汇总表'!I4,IF(F3="估价对象容积率",'数据-汇总表'!I6,'数据-汇总表'!I7))</f>
        <v>6.8</v>
      </c>
      <c r="H3" s="1414" t="s">
        <v>929</v>
      </c>
      <c r="I3" s="1040">
        <v>1</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1.4198</v>
      </c>
      <c r="T3" s="2915">
        <f t="shared" ref="T3:T16" ca="1" si="0">ROUND($C$5*$C$18*$C$19*$C$20*S3*$C$24,0)</f>
        <v>61683</v>
      </c>
      <c r="U3" s="2904"/>
      <c r="V3" s="2915">
        <f t="shared" ref="V3:V16" ca="1" si="1">ROUND(T3*U3/10000,0)</f>
        <v>0</v>
      </c>
      <c r="W3" s="2189"/>
      <c r="X3" s="2189"/>
      <c r="Y3" s="2189"/>
      <c r="Z3" s="2189"/>
      <c r="AA3" s="2189"/>
      <c r="AB3" s="2189"/>
      <c r="AC3" s="2190"/>
    </row>
    <row r="4" spans="1:39" ht="28.5">
      <c r="A4" s="1891" t="s">
        <v>2281</v>
      </c>
      <c r="B4" s="2432">
        <f ca="1">ROUND(B2*10000/F1,0)</f>
        <v>372664</v>
      </c>
      <c r="C4" s="1894" t="s">
        <v>2255</v>
      </c>
      <c r="D4" s="1894">
        <f ca="1">ROUND(B2/(F1/666.67),0)</f>
        <v>24844</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1.1594</v>
      </c>
      <c r="T4" s="2915">
        <f t="shared" ca="1" si="0"/>
        <v>50370</v>
      </c>
      <c r="U4" s="2904"/>
      <c r="V4" s="2915">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30290</v>
      </c>
      <c r="D5" s="3096">
        <f>ROUND(IF(F16="增加",C6+C16,C6-C16),0)</f>
        <v>30290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0.96220000000000006</v>
      </c>
      <c r="T5" s="2915">
        <f t="shared" ca="1" si="0"/>
        <v>41803</v>
      </c>
      <c r="U5" s="2904"/>
      <c r="V5" s="2915">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SUMIF(L1:L12,'基准地价-商业'!G2,M1:M12)</f>
        <v>30290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0.8417</v>
      </c>
      <c r="T6" s="2915">
        <f t="shared" ca="1" si="0"/>
        <v>36567</v>
      </c>
      <c r="U6" s="2904"/>
      <c r="V6" s="2915">
        <f t="shared" ca="1" si="1"/>
        <v>0</v>
      </c>
      <c r="W6" s="2189"/>
      <c r="X6" s="2189"/>
      <c r="Y6" s="2189"/>
      <c r="Z6" s="2189"/>
      <c r="AA6" s="2189"/>
      <c r="AB6" s="2189"/>
      <c r="AC6" s="2191"/>
      <c r="AD6" s="1419"/>
      <c r="AE6" s="1419"/>
      <c r="AF6" s="1419"/>
      <c r="AG6" s="1419"/>
      <c r="AH6" s="1419"/>
      <c r="AI6" s="1419"/>
      <c r="AJ6" s="1420"/>
    </row>
    <row r="7" spans="1:39" ht="24">
      <c r="A7" s="3935" t="str">
        <f>IF(E2="商业",IF(C8="不临58条商业街","",2),"")</f>
        <v/>
      </c>
      <c r="B7" s="1427" t="s">
        <v>932</v>
      </c>
      <c r="C7" s="1043">
        <f>IF(C8="不临58条商业街",1,ROUND(1+(1.6*E8+1.2*E9+0.8*E10+0.4*E11)*C9,4))</f>
        <v>1</v>
      </c>
      <c r="D7" s="1428" t="s">
        <v>933</v>
      </c>
      <c r="E7" s="1044">
        <v>60</v>
      </c>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0.76080000000000003</v>
      </c>
      <c r="T7" s="2915">
        <f t="shared" ca="1" si="0"/>
        <v>33053</v>
      </c>
      <c r="U7" s="2904"/>
      <c r="V7" s="2915">
        <f t="shared" ca="1" si="1"/>
        <v>0</v>
      </c>
      <c r="W7" s="2913" t="s">
        <v>2765</v>
      </c>
      <c r="X7" s="2905" t="str">
        <f>G2</f>
        <v>一级</v>
      </c>
      <c r="Y7" s="2905" t="s">
        <v>2766</v>
      </c>
      <c r="Z7" s="2906">
        <f>G3</f>
        <v>6.8</v>
      </c>
      <c r="AA7" s="2192"/>
      <c r="AB7" s="2192"/>
      <c r="AC7" s="2193"/>
      <c r="AD7" s="2907"/>
      <c r="AE7" s="2907"/>
      <c r="AF7" s="2907"/>
      <c r="AG7" s="2907"/>
      <c r="AH7" s="2907"/>
      <c r="AI7" s="2907"/>
      <c r="AJ7" s="2908"/>
    </row>
    <row r="8" spans="1:39" ht="25.5">
      <c r="A8" s="3936"/>
      <c r="B8" s="1414" t="s">
        <v>934</v>
      </c>
      <c r="C8" s="1529" t="s">
        <v>3006</v>
      </c>
      <c r="D8" s="1045" t="s">
        <v>935</v>
      </c>
      <c r="E8" s="1046">
        <f>ROUND(C11/E7,4)</f>
        <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f t="shared" ca="1" si="0"/>
        <v>0</v>
      </c>
      <c r="U8" s="2904"/>
      <c r="V8" s="2915">
        <f t="shared" ca="1" si="1"/>
        <v>0</v>
      </c>
      <c r="W8" s="3927" t="s">
        <v>2783</v>
      </c>
      <c r="X8" s="3928"/>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936"/>
      <c r="B9" s="1414" t="s">
        <v>937</v>
      </c>
      <c r="C9" s="1047">
        <f>SUMIF(修正!C59:C119,C8,修正!E59:E119)</f>
        <v>0</v>
      </c>
      <c r="D9" s="1048" t="s">
        <v>938</v>
      </c>
      <c r="E9" s="1048">
        <f>ROUND(C11/E7,4)</f>
        <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f t="shared" ca="1" si="0"/>
        <v>0</v>
      </c>
      <c r="U9" s="2904"/>
      <c r="V9" s="2915">
        <f t="shared" ca="1" si="1"/>
        <v>0</v>
      </c>
      <c r="W9" s="3926" t="s">
        <v>2779</v>
      </c>
      <c r="X9" s="2909" t="s">
        <v>2780</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936"/>
      <c r="B10" s="1414" t="s">
        <v>940</v>
      </c>
      <c r="C10" s="1048">
        <f>SUMIF(修正!C59:C119,C8,修正!F59:F119)</f>
        <v>0</v>
      </c>
      <c r="D10" s="1048" t="s">
        <v>941</v>
      </c>
      <c r="E10" s="1048">
        <f>ROUND(C11/E7,4)</f>
        <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f t="shared" ca="1" si="0"/>
        <v>0</v>
      </c>
      <c r="U10" s="2904"/>
      <c r="V10" s="2915">
        <f t="shared" ca="1" si="1"/>
        <v>0</v>
      </c>
      <c r="W10" s="3926"/>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936"/>
      <c r="B11" s="1435" t="s">
        <v>943</v>
      </c>
      <c r="C11" s="1049">
        <f>C10/4</f>
        <v>0</v>
      </c>
      <c r="D11" s="1049" t="s">
        <v>944</v>
      </c>
      <c r="E11" s="1049">
        <f>ROUND(C11/E7,4)</f>
        <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f t="shared" ca="1" si="0"/>
        <v>0</v>
      </c>
      <c r="U11" s="2904"/>
      <c r="V11" s="2915">
        <f t="shared" ca="1" si="1"/>
        <v>0</v>
      </c>
      <c r="W11" s="3926" t="s">
        <v>2781</v>
      </c>
      <c r="X11" s="1048" t="s">
        <v>2766</v>
      </c>
      <c r="Y11" s="1653">
        <f>$G$3</f>
        <v>6.8</v>
      </c>
      <c r="Z11" s="1653">
        <f t="shared" ref="Z11:AJ11" si="3">$G$3</f>
        <v>6.8</v>
      </c>
      <c r="AA11" s="1653">
        <f t="shared" si="3"/>
        <v>6.8</v>
      </c>
      <c r="AB11" s="1653">
        <f t="shared" si="3"/>
        <v>6.8</v>
      </c>
      <c r="AC11" s="1653">
        <f t="shared" si="3"/>
        <v>6.8</v>
      </c>
      <c r="AD11" s="1653">
        <f t="shared" si="3"/>
        <v>6.8</v>
      </c>
      <c r="AE11" s="1653">
        <f t="shared" si="3"/>
        <v>6.8</v>
      </c>
      <c r="AF11" s="1653">
        <f t="shared" si="3"/>
        <v>6.8</v>
      </c>
      <c r="AG11" s="1653">
        <f t="shared" si="3"/>
        <v>6.8</v>
      </c>
      <c r="AH11" s="1653">
        <f t="shared" si="3"/>
        <v>6.8</v>
      </c>
      <c r="AI11" s="1653">
        <f t="shared" si="3"/>
        <v>6.8</v>
      </c>
      <c r="AJ11" s="1653">
        <f t="shared" si="3"/>
        <v>6.8</v>
      </c>
    </row>
    <row r="12" spans="1:39" ht="25.5" thickBot="1">
      <c r="A12" s="3935" t="s">
        <v>1872</v>
      </c>
      <c r="B12" s="1439" t="s">
        <v>946</v>
      </c>
      <c r="C12" s="1043">
        <f>ROUND(C15*D15*E15*F15*G15*H15*I15*J15,4)</f>
        <v>1.21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f t="shared" ca="1" si="0"/>
        <v>0</v>
      </c>
      <c r="U12" s="2904"/>
      <c r="V12" s="2915">
        <f t="shared" ca="1" si="1"/>
        <v>0</v>
      </c>
      <c r="W12" s="3926"/>
      <c r="X12" s="2912" t="s">
        <v>2782</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937"/>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5">
        <v>12</v>
      </c>
      <c r="S13" s="2904"/>
      <c r="T13" s="2915">
        <f t="shared" ca="1" si="0"/>
        <v>0</v>
      </c>
      <c r="U13" s="2904"/>
      <c r="V13" s="2915">
        <f t="shared" ca="1" si="1"/>
        <v>0</v>
      </c>
      <c r="W13" s="3926"/>
      <c r="X13" s="2912"/>
      <c r="Y13" s="2911">
        <f>(-0.163*(Y12^2)-0.59*Y12+7617)*(10^(-4))/Y11</f>
        <v>0.11201470588235295</v>
      </c>
      <c r="Z13" s="2911">
        <f t="shared" ref="Z13:AJ13" si="5">(-0.163*(Z12^2)-0.59*Z12+7617)*(10^(-4))/Z11</f>
        <v>0.11201470588235295</v>
      </c>
      <c r="AA13" s="2911">
        <f t="shared" si="5"/>
        <v>0.11201470588235295</v>
      </c>
      <c r="AB13" s="2911">
        <f t="shared" si="5"/>
        <v>0.11201470588235295</v>
      </c>
      <c r="AC13" s="2911">
        <f t="shared" si="5"/>
        <v>0.11201470588235295</v>
      </c>
      <c r="AD13" s="2911">
        <f t="shared" si="5"/>
        <v>0.11201470588235295</v>
      </c>
      <c r="AE13" s="2911">
        <f t="shared" si="5"/>
        <v>0.11201470588235295</v>
      </c>
      <c r="AF13" s="2911">
        <f t="shared" si="5"/>
        <v>0.11201470588235295</v>
      </c>
      <c r="AG13" s="2911">
        <f t="shared" si="5"/>
        <v>0.11201470588235295</v>
      </c>
      <c r="AH13" s="2911">
        <f t="shared" si="5"/>
        <v>0.11201470588235295</v>
      </c>
      <c r="AI13" s="2911">
        <f t="shared" si="5"/>
        <v>0.11201470588235295</v>
      </c>
      <c r="AJ13" s="2911">
        <f t="shared" si="5"/>
        <v>0.11201470588235295</v>
      </c>
    </row>
    <row r="14" spans="1:39" ht="12.75" customHeight="1" thickBot="1">
      <c r="A14" s="3937"/>
      <c r="B14" s="1451"/>
      <c r="C14" s="1452" t="s">
        <v>3008</v>
      </c>
      <c r="D14" s="1453" t="s">
        <v>3008</v>
      </c>
      <c r="E14" s="1453" t="s">
        <v>3007</v>
      </c>
      <c r="F14" s="1454" t="s">
        <v>3288</v>
      </c>
      <c r="G14" s="1455" t="s">
        <v>949</v>
      </c>
      <c r="H14" s="1456"/>
      <c r="I14" s="1457"/>
      <c r="J14" s="1458"/>
      <c r="K14" s="1401"/>
      <c r="L14" s="2189"/>
      <c r="M14" s="2189"/>
      <c r="N14" s="2189"/>
      <c r="O14" s="2189"/>
      <c r="P14" s="2189"/>
      <c r="Q14" s="2189"/>
      <c r="R14" s="2915">
        <v>13</v>
      </c>
      <c r="S14" s="2904"/>
      <c r="T14" s="2915">
        <f t="shared" ca="1" si="0"/>
        <v>0</v>
      </c>
      <c r="U14" s="2904"/>
      <c r="V14" s="2915">
        <f t="shared" ca="1" si="1"/>
        <v>0</v>
      </c>
      <c r="W14" s="2189"/>
      <c r="X14" s="2189"/>
      <c r="Y14" s="2189"/>
      <c r="Z14" s="2189"/>
      <c r="AA14" s="2189"/>
      <c r="AB14" s="2189"/>
      <c r="AC14" s="2190"/>
    </row>
    <row r="15" spans="1:39" ht="13.5" customHeight="1" thickBot="1">
      <c r="A15" s="3938"/>
      <c r="B15" s="1459" t="s">
        <v>1701</v>
      </c>
      <c r="C15" s="1051">
        <f>IF(C14="有",1.1,1)</f>
        <v>1</v>
      </c>
      <c r="D15" s="1051">
        <f>IF(D14="有",1.1,1)</f>
        <v>1</v>
      </c>
      <c r="E15" s="1051">
        <f>IF(E14="有",1.1,1)</f>
        <v>1.1000000000000001</v>
      </c>
      <c r="F15" s="1051">
        <f>IF(F14="500米范围内",1.2,IF(F14="500-1000米",1.1,1))</f>
        <v>1.1000000000000001</v>
      </c>
      <c r="G15" s="1052">
        <v>1</v>
      </c>
      <c r="H15" s="1052">
        <v>1</v>
      </c>
      <c r="I15" s="1052">
        <v>1</v>
      </c>
      <c r="J15" s="1053">
        <v>1</v>
      </c>
      <c r="K15" s="1401"/>
      <c r="L15" s="1598" t="s">
        <v>898</v>
      </c>
      <c r="M15" s="1428" t="s">
        <v>984</v>
      </c>
      <c r="N15" s="1428" t="s">
        <v>985</v>
      </c>
      <c r="O15" s="1428" t="s">
        <v>902</v>
      </c>
      <c r="P15" s="1476" t="s">
        <v>986</v>
      </c>
      <c r="Q15" s="2189"/>
      <c r="R15" s="2915">
        <v>14</v>
      </c>
      <c r="S15" s="2904"/>
      <c r="T15" s="2915">
        <f t="shared" ca="1" si="0"/>
        <v>0</v>
      </c>
      <c r="U15" s="2904"/>
      <c r="V15" s="2915">
        <f t="shared" ca="1" si="1"/>
        <v>0</v>
      </c>
      <c r="W15" s="2189"/>
      <c r="X15" s="2189"/>
      <c r="Y15" s="2189"/>
      <c r="Z15" s="2189"/>
      <c r="AA15" s="2189"/>
      <c r="AB15" s="2189"/>
      <c r="AC15" s="2190"/>
    </row>
    <row r="16" spans="1:39" ht="24">
      <c r="A16" s="3935" t="s">
        <v>1839</v>
      </c>
      <c r="B16" s="1427" t="s">
        <v>950</v>
      </c>
      <c r="C16" s="1054">
        <f>ROUND(SUM(G17:J17)/C17,0)</f>
        <v>0</v>
      </c>
      <c r="D16" s="1460" t="s">
        <v>951</v>
      </c>
      <c r="E16" s="1461" t="s">
        <v>3336</v>
      </c>
      <c r="F16" s="1462" t="s">
        <v>3337</v>
      </c>
      <c r="G16" s="1463" t="s">
        <v>952</v>
      </c>
      <c r="H16" s="1463"/>
      <c r="I16" s="1463"/>
      <c r="J16" s="1463"/>
      <c r="K16" s="1401"/>
      <c r="L16" s="1464" t="s">
        <v>988</v>
      </c>
      <c r="M16" s="1047">
        <v>0.25</v>
      </c>
      <c r="N16" s="1047">
        <v>0.2</v>
      </c>
      <c r="O16" s="1047">
        <v>0.15</v>
      </c>
      <c r="P16" s="1539">
        <v>0.1</v>
      </c>
      <c r="Q16" s="2192"/>
      <c r="R16" s="2915">
        <v>15</v>
      </c>
      <c r="S16" s="2904"/>
      <c r="T16" s="2915">
        <f t="shared" ca="1" si="0"/>
        <v>0</v>
      </c>
      <c r="U16" s="2904"/>
      <c r="V16" s="2915">
        <f t="shared" ca="1" si="1"/>
        <v>0</v>
      </c>
      <c r="W16" s="2192"/>
      <c r="X16" s="2192"/>
      <c r="Y16" s="2192"/>
      <c r="Z16" s="2192"/>
      <c r="AA16" s="2192"/>
      <c r="AB16" s="2192"/>
      <c r="AC16" s="2193"/>
    </row>
    <row r="17" spans="1:40" ht="13.5" thickBot="1">
      <c r="A17" s="3936"/>
      <c r="B17" s="1465" t="s">
        <v>953</v>
      </c>
      <c r="C17" s="1055">
        <f>SUMPRODUCT((修正!A2:A5=E2)*(修正!B1:M1=G2)*(修正!B2:M5))</f>
        <v>3.5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1</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ROUND(IF(H19="按公示增长率计算",SUMPRODUCT((地价!A3:A25=YEAR(G19)&amp;"-"&amp;ROUNDUP(MONTH(G19)/3,0))*(地价!X2:AB2=E2)*(地价!X3:AB25)),IF(H19="地价指数",M20/M19,(1+I19)^O19)),4)</f>
        <v>1.3686</v>
      </c>
      <c r="D19" s="1474" t="s">
        <v>958</v>
      </c>
      <c r="E19" s="1058">
        <v>41640</v>
      </c>
      <c r="F19" s="1474" t="s">
        <v>959</v>
      </c>
      <c r="G19" s="1059">
        <f>'数据-取费表'!B2</f>
        <v>43552</v>
      </c>
      <c r="H19" s="1475" t="s">
        <v>3009</v>
      </c>
      <c r="I19" s="2762" t="str">
        <f>IF(H19="季度增幅（自定义）",SUMIF(N21:N24,E2,O21:O24),"")</f>
        <v/>
      </c>
      <c r="J19" s="1471"/>
      <c r="K19" s="1481"/>
      <c r="L19" s="3015" t="s">
        <v>2841</v>
      </c>
      <c r="M19" s="3016">
        <f>ROUND(SUMIF(地价!B2:F2,E2,地价!B25:F25),0)</f>
        <v>258</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f ca="1">ROUND(POWER(1+G20,J20-I20)*(POWER(1+G20,I20)-1)/(POWER(1+G20,J20)-1),4)</f>
        <v>1</v>
      </c>
      <c r="D20" s="2759" t="s">
        <v>973</v>
      </c>
      <c r="E20" s="3071">
        <f ca="1">存贷款利率!I4/100</f>
        <v>4.3499999999999997E-2</v>
      </c>
      <c r="F20" s="2759" t="s">
        <v>974</v>
      </c>
      <c r="G20" s="2760">
        <f ca="1">SUMIF(M15:P15,E2,M17:P17)</f>
        <v>5.3999999999999999E-2</v>
      </c>
      <c r="H20" s="2759" t="s">
        <v>975</v>
      </c>
      <c r="I20" s="2749">
        <f>SUMIF('数据-取费表'!C6:C15,E2,'数据-取费表'!F6:F15)/COUNTIF('数据-取费表'!C6:C15,E2)</f>
        <v>40</v>
      </c>
      <c r="J20" s="2761">
        <f>IF(E2="住宅",70,IF(E2="商业",40,50))</f>
        <v>40</v>
      </c>
      <c r="K20" s="1481"/>
      <c r="L20" s="3017" t="s">
        <v>2842</v>
      </c>
      <c r="M20" s="3018">
        <f>ROUND(SUMPRODUCT((地价!A4:A25=YEAR(G19)&amp;"-"&amp;ROUNDUP(MONTH(G19)/3,0))*(地价!B2:F2=E2)*(地价!B4:F25)),0)</f>
        <v>345</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3010</v>
      </c>
      <c r="C21" s="1158">
        <f>IF(B21="容积率修正",IF(G3&lt;=10,D22,J22),C23)</f>
        <v>0.88190000000000002</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0.88190000000000002</v>
      </c>
      <c r="E22" s="1039">
        <f>ROUNDDOWN(G3,1)</f>
        <v>6.8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1039">
        <f>ROUNDUP(G3,1)</f>
        <v>6.8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0.88190000000000002</v>
      </c>
      <c r="I22" s="1060" t="s">
        <v>978</v>
      </c>
      <c r="J22" s="1060" t="str">
        <f>IF(G3&gt;10,D113,"——")</f>
        <v>——</v>
      </c>
      <c r="K22" s="1481"/>
      <c r="L22" s="1481"/>
      <c r="M22" s="1481"/>
      <c r="N22" s="1478" t="s">
        <v>979</v>
      </c>
      <c r="O22" s="1542"/>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1.9361999999999999</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2">
        <f>SUMIF(A44:A87,E2,B44:B87)</f>
        <v>1.048</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89"/>
      <c r="B26" s="1483" t="s">
        <v>987</v>
      </c>
      <c r="C26" s="1063">
        <f ca="1">E29+SUM(E33:E39)</f>
        <v>6819</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3">
        <f ca="1">ROUND(C5*C18*C19*C20*C21*C24,0)</f>
        <v>38314</v>
      </c>
      <c r="D29" s="1504">
        <f>'数据-汇总表'!E20</f>
        <v>1779.8</v>
      </c>
      <c r="E29" s="1849">
        <f ca="1">ROUND(C29*D29/10000,0)</f>
        <v>6819</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9579</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941" t="s">
        <v>2963</v>
      </c>
      <c r="B33" s="1524" t="s">
        <v>1000</v>
      </c>
      <c r="C33" s="1063">
        <f ca="1">ROUND(D5*C19*C20*C24*F33,0)</f>
        <v>34756</v>
      </c>
      <c r="D33" s="1537"/>
      <c r="E33" s="1048">
        <f ca="1">ROUND(C33*D33/10000,0)</f>
        <v>0</v>
      </c>
      <c r="F33" s="1048">
        <f>SUMIF(修正!A45:A56,G2,修正!B45:B56)</f>
        <v>0.8</v>
      </c>
      <c r="G33" s="1048">
        <f t="shared" ref="G33" ca="1" si="6">ROUND(IF(E2="工业",C33*$M$39,C33*$M$38),0)</f>
        <v>8689</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942"/>
      <c r="B34" s="1445" t="s">
        <v>1001</v>
      </c>
      <c r="C34" s="1063">
        <f ca="1">ROUND(D5*C19*C20*C24*F34,0)</f>
        <v>21722</v>
      </c>
      <c r="D34" s="1537"/>
      <c r="E34" s="1048">
        <f t="shared" ref="E34:E39" ca="1" si="7">ROUND(C34*D34/10000,0)</f>
        <v>0</v>
      </c>
      <c r="F34" s="1048">
        <f>SUMIF(修正!A45:A56,G2,修正!C45:C56)</f>
        <v>0.5</v>
      </c>
      <c r="G34" s="1048">
        <f ca="1">ROUND(IF(E2="工业",C34*$M$39,C34*$M$38),0)</f>
        <v>5431</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942"/>
      <c r="B35" s="1445" t="s">
        <v>1002</v>
      </c>
      <c r="C35" s="1063">
        <f ca="1">ROUND(D5*C19*C20*C24*F35,0)</f>
        <v>15640</v>
      </c>
      <c r="D35" s="1537"/>
      <c r="E35" s="1048">
        <f t="shared" ca="1" si="7"/>
        <v>0</v>
      </c>
      <c r="F35" s="1048">
        <f>SUMIF(修正!A45:A56,G2,修正!D45:D56)</f>
        <v>0.36</v>
      </c>
      <c r="G35" s="1048">
        <f ca="1">ROUND(IF(E2="工业",C35*$M$39,C35*$M$38),0)</f>
        <v>3910</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943"/>
      <c r="B36" s="1445" t="s">
        <v>1003</v>
      </c>
      <c r="C36" s="1063">
        <f ca="1">ROUND(D5*C19*C20*C24*F36,0)</f>
        <v>13033</v>
      </c>
      <c r="D36" s="1537"/>
      <c r="E36" s="1048">
        <f t="shared" ca="1" si="7"/>
        <v>0</v>
      </c>
      <c r="F36" s="1048">
        <f>SUMIF(修正!A45:A56,G2,修正!E45:E56)</f>
        <v>0.3</v>
      </c>
      <c r="G36" s="1048">
        <f ca="1">ROUND(IF(E2="工业",C36*$M$39,C36*$M$38),0)</f>
        <v>3258</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13033</v>
      </c>
      <c r="D37" s="1537"/>
      <c r="E37" s="1048">
        <f t="shared" ca="1" si="7"/>
        <v>0</v>
      </c>
      <c r="F37" s="1063">
        <f>SUMIF(修正!A45:A56,G2,修正!F45:F56)</f>
        <v>0.3</v>
      </c>
      <c r="G37" s="1048">
        <f ca="1">ROUND(IF(E2="工业",C37*$M$39,C37*$M$38),0)</f>
        <v>3258</v>
      </c>
      <c r="H37" s="1048">
        <f t="shared" si="8"/>
        <v>0</v>
      </c>
      <c r="I37" s="1048">
        <f t="shared" ca="1" si="9"/>
        <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0</v>
      </c>
      <c r="D38" s="1537"/>
      <c r="E38" s="1048">
        <f t="shared" ca="1" si="7"/>
        <v>0</v>
      </c>
      <c r="F38" s="1063">
        <f>SUMIF(修正!A45:A56,G2,修正!G45:G56)</f>
        <v>0.3</v>
      </c>
      <c r="G38" s="1048">
        <f ca="1">ROUND(IF(E2="工业",C38*$M$39,C38*$M$38),0)</f>
        <v>0</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0</v>
      </c>
      <c r="D39" s="1538"/>
      <c r="E39" s="1051">
        <f t="shared" ca="1" si="7"/>
        <v>0</v>
      </c>
      <c r="F39" s="1065">
        <f>SUMIF(修正!A45:A56,G2,修正!H45:H56)</f>
        <v>0.25</v>
      </c>
      <c r="G39" s="1051">
        <f ca="1">ROUND(IF(E2="工业",C39*$M$39,C39*$M$38),0)</f>
        <v>0</v>
      </c>
      <c r="H39" s="1051">
        <f t="shared" si="8"/>
        <v>0</v>
      </c>
      <c r="I39" s="1051">
        <f t="shared" ca="1" si="9"/>
        <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4" t="s">
        <v>2990</v>
      </c>
      <c r="C41" s="839">
        <f ca="1">ROUND(POWER(1+E41,H41-G41)*(POWER(1+E41,G41)-1)/(POWER(1+E41,H41)-1),4)</f>
        <v>0</v>
      </c>
      <c r="D41" s="378" t="s">
        <v>2988</v>
      </c>
      <c r="E41" s="3173">
        <f ca="1">G20</f>
        <v>5.3999999999999999E-2</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1.048</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390" t="str">
        <f>估价对象房地状况!C16</f>
        <v>估价对象位于XX商圈，周边商业氛围成熟，人流量大，商业繁华度好</v>
      </c>
      <c r="C47" s="1050" t="s">
        <v>3011</v>
      </c>
      <c r="D47" s="2396">
        <f t="shared" ref="D47:D55" si="10">SUMIF($J$46:$N$46,C47,J47:N47)</f>
        <v>1.6500000000000001E-2</v>
      </c>
      <c r="E47" s="2415">
        <f>ROUND(SUM(D47:D55),4)</f>
        <v>4.8000000000000001E-2</v>
      </c>
      <c r="F47" s="2416">
        <f>IF(E2="商业",SUMIF(L1:L12,G2,N1:N12),"——")</f>
        <v>0.1</v>
      </c>
      <c r="G47" s="2394">
        <f>H47</f>
        <v>1.6500000000000001E-2</v>
      </c>
      <c r="H47" s="2440">
        <f t="shared" ref="H47:H55" si="11">IFERROR(ROUNDDOWN(($F$47*I47/2),4),"——")</f>
        <v>1.6500000000000001E-2</v>
      </c>
      <c r="I47" s="2414">
        <v>0.33</v>
      </c>
      <c r="J47" s="2417">
        <f t="shared" ref="J47:J55" si="12">K47+$G47</f>
        <v>3.3000000000000002E-2</v>
      </c>
      <c r="K47" s="2417">
        <f t="shared" ref="K47:K55" si="13">$L47+$G47</f>
        <v>1.6500000000000001E-2</v>
      </c>
      <c r="L47" s="2417">
        <v>0</v>
      </c>
      <c r="M47" s="2417">
        <f t="shared" ref="M47:N55" si="14">L47-$G47</f>
        <v>-1.6500000000000001E-2</v>
      </c>
      <c r="N47" s="2417">
        <f t="shared" si="14"/>
        <v>-3.3000000000000002E-2</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387" t="str">
        <f>估价对象房地状况!C18</f>
        <v>估价对象周边道路状况、公共交通通达情况、停车便捷程度，综合评价交通便捷度较好</v>
      </c>
      <c r="C48" s="1050" t="s">
        <v>3011</v>
      </c>
      <c r="D48" s="2396">
        <f t="shared" si="10"/>
        <v>1.2500000000000001E-2</v>
      </c>
      <c r="E48" s="2418"/>
      <c r="F48" s="2416"/>
      <c r="G48" s="2394">
        <f t="shared" ref="G48:G55" si="15">H48</f>
        <v>1.2500000000000001E-2</v>
      </c>
      <c r="H48" s="2440">
        <f t="shared" si="11"/>
        <v>1.2500000000000001E-2</v>
      </c>
      <c r="I48" s="2414">
        <v>0.25</v>
      </c>
      <c r="J48" s="2417">
        <f t="shared" si="12"/>
        <v>2.5000000000000001E-2</v>
      </c>
      <c r="K48" s="2417">
        <f t="shared" si="13"/>
        <v>1.2500000000000001E-2</v>
      </c>
      <c r="L48" s="2417">
        <v>0</v>
      </c>
      <c r="M48" s="2417">
        <f t="shared" si="14"/>
        <v>-1.2500000000000001E-2</v>
      </c>
      <c r="N48" s="2417">
        <f t="shared" si="14"/>
        <v>-2.5000000000000001E-2</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t="s">
        <v>3011</v>
      </c>
      <c r="D49" s="2396">
        <f t="shared" si="10"/>
        <v>2.5000000000000001E-3</v>
      </c>
      <c r="E49" s="2418"/>
      <c r="F49" s="2416"/>
      <c r="G49" s="2394">
        <f t="shared" si="15"/>
        <v>2.5000000000000001E-3</v>
      </c>
      <c r="H49" s="2440">
        <f t="shared" si="11"/>
        <v>2.5000000000000001E-3</v>
      </c>
      <c r="I49" s="2414">
        <v>0.05</v>
      </c>
      <c r="J49" s="2417">
        <f t="shared" si="12"/>
        <v>5.0000000000000001E-3</v>
      </c>
      <c r="K49" s="2417">
        <f t="shared" si="13"/>
        <v>2.5000000000000001E-3</v>
      </c>
      <c r="L49" s="2417">
        <v>0</v>
      </c>
      <c r="M49" s="2417">
        <f t="shared" si="14"/>
        <v>-2.5000000000000001E-3</v>
      </c>
      <c r="N49" s="2417">
        <f t="shared" si="14"/>
        <v>-5.0000000000000001E-3</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3" t="s">
        <v>2939</v>
      </c>
      <c r="C50" s="1050" t="s">
        <v>3011</v>
      </c>
      <c r="D50" s="2396">
        <f t="shared" si="10"/>
        <v>2.5000000000000001E-3</v>
      </c>
      <c r="E50" s="2418"/>
      <c r="F50" s="2416"/>
      <c r="G50" s="2394">
        <f t="shared" si="15"/>
        <v>2.5000000000000001E-3</v>
      </c>
      <c r="H50" s="2440">
        <f t="shared" si="11"/>
        <v>2.5000000000000001E-3</v>
      </c>
      <c r="I50" s="2414">
        <v>0.05</v>
      </c>
      <c r="J50" s="2417">
        <f t="shared" si="12"/>
        <v>5.0000000000000001E-3</v>
      </c>
      <c r="K50" s="2417">
        <f t="shared" si="13"/>
        <v>2.5000000000000001E-3</v>
      </c>
      <c r="L50" s="2417">
        <v>0</v>
      </c>
      <c r="M50" s="2417">
        <f t="shared" si="14"/>
        <v>-2.5000000000000001E-3</v>
      </c>
      <c r="N50" s="2417">
        <f t="shared" si="14"/>
        <v>-5.0000000000000001E-3</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t="s">
        <v>3013</v>
      </c>
      <c r="D51" s="2396">
        <f t="shared" si="10"/>
        <v>0</v>
      </c>
      <c r="E51" s="2418"/>
      <c r="F51" s="2416"/>
      <c r="G51" s="2394">
        <f t="shared" si="15"/>
        <v>4.0000000000000001E-3</v>
      </c>
      <c r="H51" s="2440">
        <f t="shared" si="11"/>
        <v>4.0000000000000001E-3</v>
      </c>
      <c r="I51" s="2414">
        <v>0.08</v>
      </c>
      <c r="J51" s="2417">
        <f t="shared" si="12"/>
        <v>8.0000000000000002E-3</v>
      </c>
      <c r="K51" s="2417">
        <f t="shared" si="13"/>
        <v>4.0000000000000001E-3</v>
      </c>
      <c r="L51" s="2417">
        <v>0</v>
      </c>
      <c r="M51" s="2417">
        <f t="shared" si="14"/>
        <v>-4.0000000000000001E-3</v>
      </c>
      <c r="N51" s="2417">
        <f t="shared" si="14"/>
        <v>-8.0000000000000002E-3</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2" t="s">
        <v>2938</v>
      </c>
      <c r="C52" s="1050" t="s">
        <v>3011</v>
      </c>
      <c r="D52" s="2396">
        <f t="shared" si="10"/>
        <v>1.5E-3</v>
      </c>
      <c r="E52" s="2418"/>
      <c r="F52" s="2416"/>
      <c r="G52" s="2394">
        <f t="shared" si="15"/>
        <v>1.5E-3</v>
      </c>
      <c r="H52" s="2440">
        <f t="shared" si="11"/>
        <v>1.5E-3</v>
      </c>
      <c r="I52" s="2414">
        <v>0.03</v>
      </c>
      <c r="J52" s="2417">
        <f t="shared" si="12"/>
        <v>3.0000000000000001E-3</v>
      </c>
      <c r="K52" s="2417">
        <f t="shared" si="13"/>
        <v>1.5E-3</v>
      </c>
      <c r="L52" s="2417">
        <v>0</v>
      </c>
      <c r="M52" s="2417">
        <f t="shared" si="14"/>
        <v>-1.5E-3</v>
      </c>
      <c r="N52" s="2417">
        <f t="shared" si="14"/>
        <v>-3.0000000000000001E-3</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50" t="s">
        <v>3011</v>
      </c>
      <c r="D53" s="2396">
        <f t="shared" si="10"/>
        <v>2.5000000000000001E-3</v>
      </c>
      <c r="E53" s="2418"/>
      <c r="F53" s="2416"/>
      <c r="G53" s="2394">
        <f t="shared" si="15"/>
        <v>2.5000000000000001E-3</v>
      </c>
      <c r="H53" s="2440">
        <f t="shared" si="11"/>
        <v>2.5000000000000001E-3</v>
      </c>
      <c r="I53" s="2414">
        <v>0.05</v>
      </c>
      <c r="J53" s="2417">
        <f t="shared" si="12"/>
        <v>5.0000000000000001E-3</v>
      </c>
      <c r="K53" s="2417">
        <f t="shared" si="13"/>
        <v>2.5000000000000001E-3</v>
      </c>
      <c r="L53" s="2417">
        <v>0</v>
      </c>
      <c r="M53" s="2417">
        <f t="shared" si="14"/>
        <v>-2.5000000000000001E-3</v>
      </c>
      <c r="N53" s="2417">
        <f t="shared" si="14"/>
        <v>-5.0000000000000001E-3</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50" t="s">
        <v>3012</v>
      </c>
      <c r="D54" s="2396">
        <f t="shared" si="10"/>
        <v>0.01</v>
      </c>
      <c r="E54" s="2418"/>
      <c r="F54" s="2416"/>
      <c r="G54" s="2394">
        <f t="shared" si="15"/>
        <v>5.0000000000000001E-3</v>
      </c>
      <c r="H54" s="2440">
        <f t="shared" si="11"/>
        <v>5.0000000000000001E-3</v>
      </c>
      <c r="I54" s="2414">
        <v>0.1</v>
      </c>
      <c r="J54" s="2417">
        <f t="shared" si="12"/>
        <v>0.01</v>
      </c>
      <c r="K54" s="2417">
        <f t="shared" si="13"/>
        <v>5.0000000000000001E-3</v>
      </c>
      <c r="L54" s="2417">
        <v>0</v>
      </c>
      <c r="M54" s="2417">
        <f t="shared" si="14"/>
        <v>-5.0000000000000001E-3</v>
      </c>
      <c r="N54" s="2417">
        <f t="shared" si="14"/>
        <v>-0.01</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50" t="s">
        <v>3013</v>
      </c>
      <c r="D55" s="2396">
        <f t="shared" si="10"/>
        <v>0</v>
      </c>
      <c r="E55" s="2422"/>
      <c r="F55" s="2416"/>
      <c r="G55" s="2394">
        <f t="shared" si="15"/>
        <v>3.0000000000000001E-3</v>
      </c>
      <c r="H55" s="2440">
        <f t="shared" si="11"/>
        <v>3.0000000000000001E-3</v>
      </c>
      <c r="I55" s="2421">
        <v>0.06</v>
      </c>
      <c r="J55" s="2417">
        <f t="shared" si="12"/>
        <v>6.0000000000000001E-3</v>
      </c>
      <c r="K55" s="2417">
        <f t="shared" si="13"/>
        <v>3.0000000000000001E-3</v>
      </c>
      <c r="L55" s="2417">
        <v>0</v>
      </c>
      <c r="M55" s="2417">
        <f t="shared" si="14"/>
        <v>-3.0000000000000001E-3</v>
      </c>
      <c r="N55" s="2417">
        <f t="shared" si="14"/>
        <v>-6.0000000000000001E-3</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390" t="str">
        <f>估价对象房地状况!C17</f>
        <v>估价对象位于XX商圈，周边办公楼项目较多，入驻率高，办公集聚程度较好</v>
      </c>
      <c r="C58" s="1050"/>
      <c r="D58" s="2396">
        <f t="shared" ref="D58:D66" si="16">SUMIF($J$57:$N$57,C58,J58:N58)</f>
        <v>0</v>
      </c>
      <c r="E58" s="2415">
        <f>ROUND(SUM(D58:D66),4)</f>
        <v>0</v>
      </c>
      <c r="F58" s="2416" t="str">
        <f>IF(E2="办公",SUMIF(L1:L12,G2,N1:N12),"——")</f>
        <v>——</v>
      </c>
      <c r="G58" s="2394"/>
      <c r="H58" s="2440" t="str">
        <f>IFERROR(ROUNDDOWN($F$58*I58/2,4),"——")</f>
        <v>——</v>
      </c>
      <c r="I58" s="2414">
        <v>0.24</v>
      </c>
      <c r="J58" s="2417">
        <f t="shared" ref="J58:J66" si="17">K58+$G58</f>
        <v>0</v>
      </c>
      <c r="K58" s="2417">
        <f t="shared" ref="K58:K66" si="18">$L58+$G58</f>
        <v>0</v>
      </c>
      <c r="L58" s="2417">
        <v>0</v>
      </c>
      <c r="M58" s="2417">
        <f t="shared" ref="M58:N66" si="19">L58-$G58</f>
        <v>0</v>
      </c>
      <c r="N58" s="2417">
        <f t="shared" si="19"/>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387" t="str">
        <f>估价对象房地状况!C18</f>
        <v>估价对象周边道路状况、公共交通通达情况、停车便捷程度，综合评价交通便捷度较好</v>
      </c>
      <c r="C59" s="1050"/>
      <c r="D59" s="2396">
        <f t="shared" si="16"/>
        <v>0</v>
      </c>
      <c r="E59" s="2418"/>
      <c r="F59" s="2416"/>
      <c r="G59" s="2394"/>
      <c r="H59" s="2395" t="str">
        <f t="shared" ref="H59:H66" si="20">IFERROR($F$58*I59/2,"——")</f>
        <v>——</v>
      </c>
      <c r="I59" s="2414">
        <v>0.3</v>
      </c>
      <c r="J59" s="2417">
        <f t="shared" si="17"/>
        <v>0</v>
      </c>
      <c r="K59" s="2417">
        <f t="shared" si="18"/>
        <v>0</v>
      </c>
      <c r="L59" s="2417">
        <v>0</v>
      </c>
      <c r="M59" s="2417">
        <f t="shared" si="19"/>
        <v>0</v>
      </c>
      <c r="N59" s="2417">
        <f t="shared" si="19"/>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c r="D60" s="2396">
        <f t="shared" si="16"/>
        <v>0</v>
      </c>
      <c r="E60" s="2418"/>
      <c r="F60" s="2416"/>
      <c r="G60" s="2394"/>
      <c r="H60" s="2395" t="str">
        <f t="shared" si="20"/>
        <v>——</v>
      </c>
      <c r="I60" s="2414">
        <v>0.08</v>
      </c>
      <c r="J60" s="2417">
        <f t="shared" si="17"/>
        <v>0</v>
      </c>
      <c r="K60" s="2417">
        <f t="shared" si="18"/>
        <v>0</v>
      </c>
      <c r="L60" s="2417">
        <v>0</v>
      </c>
      <c r="M60" s="2417">
        <f t="shared" si="19"/>
        <v>0</v>
      </c>
      <c r="N60" s="2417">
        <f t="shared" si="19"/>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3" t="s">
        <v>2940</v>
      </c>
      <c r="C61" s="1050"/>
      <c r="D61" s="2396">
        <f t="shared" si="16"/>
        <v>0</v>
      </c>
      <c r="E61" s="2418"/>
      <c r="F61" s="2416"/>
      <c r="G61" s="2394"/>
      <c r="H61" s="2395" t="str">
        <f t="shared" si="20"/>
        <v>——</v>
      </c>
      <c r="I61" s="2414">
        <v>0.04</v>
      </c>
      <c r="J61" s="2417">
        <f t="shared" si="17"/>
        <v>0</v>
      </c>
      <c r="K61" s="2417">
        <f t="shared" si="18"/>
        <v>0</v>
      </c>
      <c r="L61" s="2417">
        <v>0</v>
      </c>
      <c r="M61" s="2417">
        <f t="shared" si="19"/>
        <v>0</v>
      </c>
      <c r="N61" s="2417">
        <f t="shared" si="19"/>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c r="D62" s="2396">
        <f t="shared" si="16"/>
        <v>0</v>
      </c>
      <c r="E62" s="2418"/>
      <c r="F62" s="2416"/>
      <c r="G62" s="2394"/>
      <c r="H62" s="2395" t="str">
        <f t="shared" si="20"/>
        <v>——</v>
      </c>
      <c r="I62" s="2414">
        <v>0.05</v>
      </c>
      <c r="J62" s="2417">
        <f t="shared" si="17"/>
        <v>0</v>
      </c>
      <c r="K62" s="2417">
        <f t="shared" si="18"/>
        <v>0</v>
      </c>
      <c r="L62" s="2417">
        <v>0</v>
      </c>
      <c r="M62" s="2417">
        <f t="shared" si="19"/>
        <v>0</v>
      </c>
      <c r="N62" s="2417">
        <f t="shared" si="19"/>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2" t="s">
        <v>2938</v>
      </c>
      <c r="C63" s="1050"/>
      <c r="D63" s="2396">
        <f t="shared" si="16"/>
        <v>0</v>
      </c>
      <c r="E63" s="2418"/>
      <c r="F63" s="2416"/>
      <c r="G63" s="2394"/>
      <c r="H63" s="2395" t="str">
        <f t="shared" si="20"/>
        <v>——</v>
      </c>
      <c r="I63" s="2414">
        <v>0.05</v>
      </c>
      <c r="J63" s="2417">
        <f t="shared" si="17"/>
        <v>0</v>
      </c>
      <c r="K63" s="2417">
        <f t="shared" si="18"/>
        <v>0</v>
      </c>
      <c r="L63" s="2417">
        <v>0</v>
      </c>
      <c r="M63" s="2417">
        <f t="shared" si="19"/>
        <v>0</v>
      </c>
      <c r="N63" s="2417">
        <f t="shared" si="19"/>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t="str">
        <f>估价对象房地状况!C21</f>
        <v>估价对象所在区域公共配套设施齐备情况</v>
      </c>
      <c r="C64" s="1050"/>
      <c r="D64" s="2396">
        <f t="shared" si="16"/>
        <v>0</v>
      </c>
      <c r="E64" s="2418"/>
      <c r="F64" s="2416"/>
      <c r="G64" s="2394"/>
      <c r="H64" s="2395" t="str">
        <f t="shared" si="20"/>
        <v>——</v>
      </c>
      <c r="I64" s="2414">
        <v>0.06</v>
      </c>
      <c r="J64" s="2417">
        <f t="shared" si="17"/>
        <v>0</v>
      </c>
      <c r="K64" s="2417">
        <f t="shared" si="18"/>
        <v>0</v>
      </c>
      <c r="L64" s="2417">
        <v>0</v>
      </c>
      <c r="M64" s="2417">
        <f t="shared" si="19"/>
        <v>0</v>
      </c>
      <c r="N64" s="2417">
        <f t="shared" si="19"/>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t="str">
        <f>估价对象房地状况!C22</f>
        <v>估价对象所在区域基础设施水平</v>
      </c>
      <c r="C65" s="1050"/>
      <c r="D65" s="2396">
        <f t="shared" si="16"/>
        <v>0</v>
      </c>
      <c r="E65" s="2418"/>
      <c r="F65" s="2416"/>
      <c r="G65" s="2394"/>
      <c r="H65" s="2395" t="str">
        <f t="shared" si="20"/>
        <v>——</v>
      </c>
      <c r="I65" s="2414">
        <v>0.12</v>
      </c>
      <c r="J65" s="2417">
        <f t="shared" si="17"/>
        <v>0</v>
      </c>
      <c r="K65" s="2417">
        <f t="shared" si="18"/>
        <v>0</v>
      </c>
      <c r="L65" s="2417">
        <v>0</v>
      </c>
      <c r="M65" s="2417">
        <f t="shared" si="19"/>
        <v>0</v>
      </c>
      <c r="N65" s="2417">
        <f t="shared" si="19"/>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50"/>
      <c r="D66" s="2396">
        <f t="shared" si="16"/>
        <v>0</v>
      </c>
      <c r="E66" s="2422"/>
      <c r="F66" s="2416"/>
      <c r="G66" s="2394"/>
      <c r="H66" s="2395" t="str">
        <f t="shared" si="20"/>
        <v>——</v>
      </c>
      <c r="I66" s="2421">
        <v>0.06</v>
      </c>
      <c r="J66" s="2417">
        <f t="shared" si="17"/>
        <v>0</v>
      </c>
      <c r="K66" s="2417">
        <f t="shared" si="18"/>
        <v>0</v>
      </c>
      <c r="L66" s="2417">
        <v>0</v>
      </c>
      <c r="M66" s="2417">
        <f t="shared" si="19"/>
        <v>0</v>
      </c>
      <c r="N66" s="2417">
        <f t="shared" si="19"/>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390" t="str">
        <f>估价对象房地状况!C15</f>
        <v>估价对象周边居住用地比例、居住小区规模和社区发展完善程度，综合评价居住社区成熟度一般</v>
      </c>
      <c r="C69" s="1159"/>
      <c r="D69" s="2396">
        <f t="shared" ref="D69:D77" si="21">SUMIF($J$68:$N$68,C69,J69:N69)</f>
        <v>0</v>
      </c>
      <c r="E69" s="2415">
        <f>ROUND(SUM(D69:D77),4)</f>
        <v>0</v>
      </c>
      <c r="F69" s="2416" t="str">
        <f>IF(E2="住宅",SUMIF(L1:L12,G2,N1:N12),"——")</f>
        <v>——</v>
      </c>
      <c r="G69" s="2397"/>
      <c r="H69" s="2441" t="str">
        <f t="shared" ref="H69:H77" si="22">IFERROR(ROUNDDOWN($F$69*I69/2,4),"——")</f>
        <v>——</v>
      </c>
      <c r="I69" s="2414">
        <v>0.14000000000000001</v>
      </c>
      <c r="J69" s="2417">
        <f t="shared" ref="J69:J77" si="23">K69+$G69</f>
        <v>0</v>
      </c>
      <c r="K69" s="2417">
        <f t="shared" ref="K69:K77" si="24">$L69+$G69</f>
        <v>0</v>
      </c>
      <c r="L69" s="2417">
        <v>0</v>
      </c>
      <c r="M69" s="2417">
        <f t="shared" ref="M69:N77" si="25">L69-$G69</f>
        <v>0</v>
      </c>
      <c r="N69" s="2417">
        <f t="shared" si="25"/>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387" t="str">
        <f>估价对象房地状况!C18</f>
        <v>估价对象周边道路状况、公共交通通达情况、停车便捷程度，综合评价交通便捷度较好</v>
      </c>
      <c r="C70" s="1159"/>
      <c r="D70" s="2396">
        <f t="shared" si="21"/>
        <v>0</v>
      </c>
      <c r="E70" s="2424"/>
      <c r="F70" s="2425"/>
      <c r="G70" s="2397"/>
      <c r="H70" s="2441" t="str">
        <f t="shared" si="22"/>
        <v>——</v>
      </c>
      <c r="I70" s="2414">
        <v>0.3</v>
      </c>
      <c r="J70" s="2417">
        <f t="shared" si="23"/>
        <v>0</v>
      </c>
      <c r="K70" s="2417">
        <f t="shared" si="24"/>
        <v>0</v>
      </c>
      <c r="L70" s="2417">
        <v>0</v>
      </c>
      <c r="M70" s="2417">
        <f t="shared" si="25"/>
        <v>0</v>
      </c>
      <c r="N70" s="2417">
        <f t="shared" si="25"/>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387">
        <f>估价对象房地状况!C19</f>
        <v>0</v>
      </c>
      <c r="C71" s="1159"/>
      <c r="D71" s="2396">
        <f t="shared" si="21"/>
        <v>0</v>
      </c>
      <c r="E71" s="2424"/>
      <c r="F71" s="2425"/>
      <c r="G71" s="2397"/>
      <c r="H71" s="2441" t="str">
        <f t="shared" si="22"/>
        <v>——</v>
      </c>
      <c r="I71" s="2414">
        <v>0.08</v>
      </c>
      <c r="J71" s="2417">
        <f t="shared" si="23"/>
        <v>0</v>
      </c>
      <c r="K71" s="2417">
        <f t="shared" si="24"/>
        <v>0</v>
      </c>
      <c r="L71" s="2417">
        <v>0</v>
      </c>
      <c r="M71" s="2417">
        <f t="shared" si="25"/>
        <v>0</v>
      </c>
      <c r="N71" s="2417">
        <f t="shared" si="25"/>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387">
        <f>估价对象房地状况!C24</f>
        <v>0</v>
      </c>
      <c r="C72" s="1159"/>
      <c r="D72" s="2396">
        <f t="shared" si="21"/>
        <v>0</v>
      </c>
      <c r="E72" s="2424"/>
      <c r="F72" s="2425"/>
      <c r="G72" s="2397"/>
      <c r="H72" s="2441" t="str">
        <f t="shared" si="22"/>
        <v>——</v>
      </c>
      <c r="I72" s="2414">
        <v>0.04</v>
      </c>
      <c r="J72" s="2417">
        <f t="shared" si="23"/>
        <v>0</v>
      </c>
      <c r="K72" s="2417">
        <f t="shared" si="24"/>
        <v>0</v>
      </c>
      <c r="L72" s="2417">
        <v>0</v>
      </c>
      <c r="M72" s="2417">
        <f t="shared" si="25"/>
        <v>0</v>
      </c>
      <c r="N72" s="2417">
        <f t="shared" si="25"/>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388" t="str">
        <f>估价对象房地状况!C21</f>
        <v>估价对象所在区域公共配套设施齐备情况</v>
      </c>
      <c r="C73" s="1159"/>
      <c r="D73" s="2396">
        <f t="shared" si="21"/>
        <v>0</v>
      </c>
      <c r="E73" s="2424"/>
      <c r="F73" s="2425"/>
      <c r="G73" s="2397"/>
      <c r="H73" s="2441" t="str">
        <f t="shared" si="22"/>
        <v>——</v>
      </c>
      <c r="I73" s="2414">
        <v>0.08</v>
      </c>
      <c r="J73" s="2417">
        <f t="shared" si="23"/>
        <v>0</v>
      </c>
      <c r="K73" s="2417">
        <f t="shared" si="24"/>
        <v>0</v>
      </c>
      <c r="L73" s="2417">
        <v>0</v>
      </c>
      <c r="M73" s="2417">
        <f t="shared" si="25"/>
        <v>0</v>
      </c>
      <c r="N73" s="2417">
        <f t="shared" si="25"/>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388" t="str">
        <f>估价对象房地状况!C22</f>
        <v>估价对象所在区域基础设施水平</v>
      </c>
      <c r="C74" s="1159"/>
      <c r="D74" s="2396">
        <f t="shared" si="21"/>
        <v>0</v>
      </c>
      <c r="E74" s="2424"/>
      <c r="F74" s="2425"/>
      <c r="G74" s="2397"/>
      <c r="H74" s="2441" t="str">
        <f t="shared" si="22"/>
        <v>——</v>
      </c>
      <c r="I74" s="2414">
        <v>0.12</v>
      </c>
      <c r="J74" s="2417">
        <f t="shared" si="23"/>
        <v>0</v>
      </c>
      <c r="K74" s="2417">
        <f t="shared" si="24"/>
        <v>0</v>
      </c>
      <c r="L74" s="2417">
        <v>0</v>
      </c>
      <c r="M74" s="2417">
        <f t="shared" si="25"/>
        <v>0</v>
      </c>
      <c r="N74" s="2417">
        <f t="shared" si="25"/>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72" t="s">
        <v>2938</v>
      </c>
      <c r="C75" s="1159"/>
      <c r="D75" s="2396">
        <f t="shared" si="21"/>
        <v>0</v>
      </c>
      <c r="E75" s="2424"/>
      <c r="F75" s="2425"/>
      <c r="G75" s="2397"/>
      <c r="H75" s="2441" t="str">
        <f t="shared" si="22"/>
        <v>——</v>
      </c>
      <c r="I75" s="2414">
        <v>0.05</v>
      </c>
      <c r="J75" s="2417">
        <f t="shared" si="23"/>
        <v>0</v>
      </c>
      <c r="K75" s="2417">
        <f t="shared" si="24"/>
        <v>0</v>
      </c>
      <c r="L75" s="2417">
        <v>0</v>
      </c>
      <c r="M75" s="2417">
        <f t="shared" si="25"/>
        <v>0</v>
      </c>
      <c r="N75" s="2417">
        <f t="shared" si="25"/>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390" t="str">
        <f>估价对象房地状况!C20</f>
        <v>区域自然环境：；人文环境；综合评价环境状况一般</v>
      </c>
      <c r="C76" s="1159"/>
      <c r="D76" s="2396">
        <f t="shared" si="21"/>
        <v>0</v>
      </c>
      <c r="E76" s="2424"/>
      <c r="F76" s="2425"/>
      <c r="G76" s="2397"/>
      <c r="H76" s="2441" t="str">
        <f t="shared" si="22"/>
        <v>——</v>
      </c>
      <c r="I76" s="2414">
        <v>0.15</v>
      </c>
      <c r="J76" s="2417">
        <f t="shared" si="23"/>
        <v>0</v>
      </c>
      <c r="K76" s="2417">
        <f t="shared" si="24"/>
        <v>0</v>
      </c>
      <c r="L76" s="2417">
        <v>0</v>
      </c>
      <c r="M76" s="2417">
        <f t="shared" si="25"/>
        <v>0</v>
      </c>
      <c r="N76" s="2417">
        <f t="shared" si="25"/>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9"/>
      <c r="D77" s="2396">
        <f t="shared" si="21"/>
        <v>0</v>
      </c>
      <c r="E77" s="2426"/>
      <c r="F77" s="2425"/>
      <c r="G77" s="2397"/>
      <c r="H77" s="2441" t="str">
        <f t="shared" si="22"/>
        <v>——</v>
      </c>
      <c r="I77" s="2421">
        <v>0.04</v>
      </c>
      <c r="J77" s="2417">
        <f t="shared" si="23"/>
        <v>0</v>
      </c>
      <c r="K77" s="2417">
        <f t="shared" si="24"/>
        <v>0</v>
      </c>
      <c r="L77" s="2417">
        <v>0</v>
      </c>
      <c r="M77" s="2417">
        <f t="shared" si="25"/>
        <v>0</v>
      </c>
      <c r="N77" s="2417">
        <f t="shared" si="25"/>
        <v>0</v>
      </c>
      <c r="AC77" s="1405"/>
      <c r="AD77" s="1404"/>
      <c r="AJ77" s="1403"/>
      <c r="AN77" s="1404"/>
    </row>
    <row r="78" spans="1:40" ht="15">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7" t="s">
        <v>1038</v>
      </c>
      <c r="B80" s="2387" t="str">
        <f>估价对象房地状况!G15</f>
        <v>估价对象位于XX开发区，园区建设成熟度XX，产业集聚程度XX</v>
      </c>
      <c r="C80" s="1050"/>
      <c r="D80" s="2396">
        <f t="shared" ref="D80:D87" si="26">SUMIF($J$79:$N$79,C80,J80:N80)</f>
        <v>0</v>
      </c>
      <c r="E80" s="2415">
        <f>ROUND(SUM(D80:D87),4)</f>
        <v>0</v>
      </c>
      <c r="F80" s="2416" t="str">
        <f>IF(E2="工业",SUMIF(L1:L12,G2,N1:N12),"——")</f>
        <v>——</v>
      </c>
      <c r="G80" s="2394"/>
      <c r="H80" s="2440" t="str">
        <f t="shared" ref="H80:H87" si="27">IFERROR(ROUNDDOWN($F$80*I80/2,4),"——")</f>
        <v>——</v>
      </c>
      <c r="I80" s="2414">
        <v>0.26</v>
      </c>
      <c r="J80" s="2417">
        <f t="shared" ref="J80:J87" si="28">K80+$G80</f>
        <v>0</v>
      </c>
      <c r="K80" s="2417">
        <f t="shared" ref="K80:K87" si="29">$L80+$G80</f>
        <v>0</v>
      </c>
      <c r="L80" s="2417">
        <v>0</v>
      </c>
      <c r="M80" s="2417">
        <f t="shared" ref="M80:N87" si="30">L80-$G80</f>
        <v>0</v>
      </c>
      <c r="N80" s="2417">
        <f t="shared" si="30"/>
        <v>0</v>
      </c>
      <c r="AC80" s="1405"/>
      <c r="AD80" s="1404"/>
      <c r="AJ80" s="1403"/>
      <c r="AN80" s="1404"/>
    </row>
    <row r="81" spans="1:40" ht="48">
      <c r="A81" s="1067" t="s">
        <v>1034</v>
      </c>
      <c r="B81" s="2387" t="str">
        <f>估价对象房地状况!G16</f>
        <v>估价对象周边道路状况、公共交通通达情况、停车便捷程度，综合评价交通便捷度较好</v>
      </c>
      <c r="C81" s="1050"/>
      <c r="D81" s="2396">
        <f t="shared" si="26"/>
        <v>0</v>
      </c>
      <c r="E81" s="2424"/>
      <c r="F81" s="2425"/>
      <c r="G81" s="2394"/>
      <c r="H81" s="2440" t="str">
        <f t="shared" si="27"/>
        <v>——</v>
      </c>
      <c r="I81" s="2414">
        <v>0.33</v>
      </c>
      <c r="J81" s="2417">
        <f t="shared" si="28"/>
        <v>0</v>
      </c>
      <c r="K81" s="2417">
        <f t="shared" si="29"/>
        <v>0</v>
      </c>
      <c r="L81" s="2417">
        <v>0</v>
      </c>
      <c r="M81" s="2417">
        <f t="shared" si="30"/>
        <v>0</v>
      </c>
      <c r="N81" s="2417">
        <f t="shared" si="30"/>
        <v>0</v>
      </c>
      <c r="AC81" s="1405"/>
      <c r="AD81" s="1404"/>
      <c r="AJ81" s="1403"/>
      <c r="AN81" s="1404"/>
    </row>
    <row r="82" spans="1:40" ht="24">
      <c r="A82" s="1067" t="s">
        <v>1023</v>
      </c>
      <c r="B82" s="2387">
        <f>估价对象房地状况!G17</f>
        <v>0</v>
      </c>
      <c r="C82" s="1050"/>
      <c r="D82" s="2396">
        <f t="shared" si="26"/>
        <v>0</v>
      </c>
      <c r="E82" s="2424"/>
      <c r="F82" s="2425"/>
      <c r="G82" s="2394"/>
      <c r="H82" s="2440" t="str">
        <f t="shared" si="27"/>
        <v>——</v>
      </c>
      <c r="I82" s="2414">
        <v>0.05</v>
      </c>
      <c r="J82" s="2417">
        <f t="shared" si="28"/>
        <v>0</v>
      </c>
      <c r="K82" s="2417">
        <f t="shared" si="29"/>
        <v>0</v>
      </c>
      <c r="L82" s="2417">
        <v>0</v>
      </c>
      <c r="M82" s="2417">
        <f t="shared" si="30"/>
        <v>0</v>
      </c>
      <c r="N82" s="2417">
        <f t="shared" si="30"/>
        <v>0</v>
      </c>
      <c r="AC82" s="1405"/>
      <c r="AD82" s="1404"/>
      <c r="AJ82" s="1403"/>
      <c r="AN82" s="1404"/>
    </row>
    <row r="83" spans="1:40" ht="14.25">
      <c r="A83" s="1067" t="s">
        <v>1035</v>
      </c>
      <c r="B83" s="2387">
        <f>估价对象房地状况!G22</f>
        <v>0</v>
      </c>
      <c r="C83" s="1050"/>
      <c r="D83" s="2396">
        <f t="shared" si="26"/>
        <v>0</v>
      </c>
      <c r="E83" s="2424"/>
      <c r="F83" s="2425"/>
      <c r="G83" s="2394"/>
      <c r="H83" s="2440" t="str">
        <f t="shared" si="27"/>
        <v>——</v>
      </c>
      <c r="I83" s="2414">
        <v>0.04</v>
      </c>
      <c r="J83" s="2417">
        <f t="shared" si="28"/>
        <v>0</v>
      </c>
      <c r="K83" s="2417">
        <f t="shared" si="29"/>
        <v>0</v>
      </c>
      <c r="L83" s="2417">
        <v>0</v>
      </c>
      <c r="M83" s="2417">
        <f t="shared" si="30"/>
        <v>0</v>
      </c>
      <c r="N83" s="2417">
        <f t="shared" si="30"/>
        <v>0</v>
      </c>
      <c r="AC83" s="1405"/>
      <c r="AD83" s="1404"/>
      <c r="AJ83" s="1403"/>
      <c r="AN83" s="1404"/>
    </row>
    <row r="84" spans="1:40" ht="24">
      <c r="A84" s="1067" t="s">
        <v>1027</v>
      </c>
      <c r="B84" s="2388" t="str">
        <f>估价对象房地状况!G19</f>
        <v>估价对象所在区域公共配套设施齐备情况</v>
      </c>
      <c r="C84" s="1050"/>
      <c r="D84" s="2396">
        <f t="shared" si="26"/>
        <v>0</v>
      </c>
      <c r="E84" s="2424"/>
      <c r="F84" s="2425"/>
      <c r="G84" s="2394"/>
      <c r="H84" s="2440" t="str">
        <f t="shared" si="27"/>
        <v>——</v>
      </c>
      <c r="I84" s="2414">
        <v>0.06</v>
      </c>
      <c r="J84" s="2417">
        <f t="shared" si="28"/>
        <v>0</v>
      </c>
      <c r="K84" s="2417">
        <f t="shared" si="29"/>
        <v>0</v>
      </c>
      <c r="L84" s="2417">
        <v>0</v>
      </c>
      <c r="M84" s="2417">
        <f t="shared" si="30"/>
        <v>0</v>
      </c>
      <c r="N84" s="2417">
        <f t="shared" si="30"/>
        <v>0</v>
      </c>
      <c r="AC84" s="1405"/>
      <c r="AD84" s="1404"/>
      <c r="AJ84" s="1403"/>
      <c r="AN84" s="1404"/>
    </row>
    <row r="85" spans="1:40" ht="24">
      <c r="A85" s="1067" t="s">
        <v>1028</v>
      </c>
      <c r="B85" s="2388" t="str">
        <f>估价对象房地状况!G20</f>
        <v>估价对象所在区域基础设施水平</v>
      </c>
      <c r="C85" s="1050"/>
      <c r="D85" s="2396">
        <f t="shared" si="26"/>
        <v>0</v>
      </c>
      <c r="E85" s="2424"/>
      <c r="F85" s="2425"/>
      <c r="G85" s="2394"/>
      <c r="H85" s="2440" t="str">
        <f t="shared" si="27"/>
        <v>——</v>
      </c>
      <c r="I85" s="2414">
        <v>0.15</v>
      </c>
      <c r="J85" s="2417">
        <f t="shared" si="28"/>
        <v>0</v>
      </c>
      <c r="K85" s="2417">
        <f t="shared" si="29"/>
        <v>0</v>
      </c>
      <c r="L85" s="2417">
        <v>0</v>
      </c>
      <c r="M85" s="2417">
        <f t="shared" si="30"/>
        <v>0</v>
      </c>
      <c r="N85" s="2417">
        <f t="shared" si="30"/>
        <v>0</v>
      </c>
      <c r="AC85" s="1405"/>
      <c r="AD85" s="1404"/>
      <c r="AJ85" s="1403"/>
      <c r="AN85" s="1404"/>
    </row>
    <row r="86" spans="1:40" ht="24">
      <c r="A86" s="1067" t="s">
        <v>1026</v>
      </c>
      <c r="B86" s="3072" t="s">
        <v>2938</v>
      </c>
      <c r="C86" s="1050"/>
      <c r="D86" s="2396">
        <f t="shared" si="26"/>
        <v>0</v>
      </c>
      <c r="E86" s="2424"/>
      <c r="F86" s="2425"/>
      <c r="G86" s="2394"/>
      <c r="H86" s="2440" t="str">
        <f t="shared" si="27"/>
        <v>——</v>
      </c>
      <c r="I86" s="2414">
        <v>0.05</v>
      </c>
      <c r="J86" s="2417">
        <f t="shared" si="28"/>
        <v>0</v>
      </c>
      <c r="K86" s="2417">
        <f t="shared" si="29"/>
        <v>0</v>
      </c>
      <c r="L86" s="2417">
        <v>0</v>
      </c>
      <c r="M86" s="2417">
        <f t="shared" si="30"/>
        <v>0</v>
      </c>
      <c r="N86" s="2417">
        <f t="shared" si="30"/>
        <v>0</v>
      </c>
      <c r="AC86" s="1405"/>
      <c r="AD86" s="1404"/>
      <c r="AJ86" s="1403"/>
      <c r="AN86" s="1404"/>
    </row>
    <row r="87" spans="1:40" ht="36.75" thickBot="1">
      <c r="A87" s="2420" t="s">
        <v>1039</v>
      </c>
      <c r="B87" s="2389" t="str">
        <f>估价对象房地状况!G18</f>
        <v>该园区内是否有污染型企业，绿化情况，卫生条件，整体环境状况判断</v>
      </c>
      <c r="C87" s="1050"/>
      <c r="D87" s="2396">
        <f t="shared" si="26"/>
        <v>0</v>
      </c>
      <c r="E87" s="2426"/>
      <c r="F87" s="2425"/>
      <c r="G87" s="2394"/>
      <c r="H87" s="2440" t="str">
        <f t="shared" si="27"/>
        <v>——</v>
      </c>
      <c r="I87" s="2421">
        <v>0.06</v>
      </c>
      <c r="J87" s="2417">
        <f t="shared" si="28"/>
        <v>0</v>
      </c>
      <c r="K87" s="2417">
        <f t="shared" si="29"/>
        <v>0</v>
      </c>
      <c r="L87" s="2417">
        <v>0</v>
      </c>
      <c r="M87" s="2417">
        <f t="shared" si="30"/>
        <v>0</v>
      </c>
      <c r="N87" s="2417">
        <f t="shared" si="30"/>
        <v>0</v>
      </c>
      <c r="AC87" s="1405"/>
      <c r="AD87" s="1404"/>
      <c r="AJ87" s="1403"/>
      <c r="AN87" s="1404"/>
    </row>
    <row r="90" spans="1:40">
      <c r="A90" s="3939" t="s">
        <v>1634</v>
      </c>
      <c r="B90" s="3939"/>
      <c r="C90" s="3939"/>
      <c r="D90" s="3939"/>
      <c r="E90" s="3939"/>
      <c r="F90" s="3939"/>
      <c r="G90" s="3939"/>
      <c r="H90" s="3939"/>
      <c r="I90" s="3939"/>
      <c r="J90" s="3939"/>
      <c r="K90" s="2429"/>
      <c r="L90" s="2429"/>
      <c r="M90" s="2429"/>
      <c r="N90" s="2429"/>
    </row>
    <row r="91" spans="1:40">
      <c r="A91" s="3940" t="s">
        <v>1444</v>
      </c>
      <c r="B91" s="3940" t="s">
        <v>1635</v>
      </c>
      <c r="C91" s="1140" t="s">
        <v>1636</v>
      </c>
      <c r="D91" s="1141"/>
      <c r="E91" s="1141"/>
      <c r="F91" s="1141"/>
      <c r="G91" s="1141"/>
      <c r="H91" s="1141"/>
      <c r="I91" s="1141"/>
      <c r="J91" s="1142"/>
      <c r="K91" s="1134"/>
      <c r="L91" s="1134"/>
      <c r="M91" s="1134"/>
      <c r="N91" s="1134"/>
    </row>
    <row r="92" spans="1:40">
      <c r="A92" s="3940"/>
      <c r="B92" s="3940"/>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929"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30"/>
      <c r="B99" s="1143" t="s">
        <v>1637</v>
      </c>
      <c r="C99" s="1145">
        <f>$I$3</f>
        <v>1</v>
      </c>
      <c r="D99" s="1145">
        <f t="shared" ref="D99:N99" si="31">$I$3</f>
        <v>1</v>
      </c>
      <c r="E99" s="1145">
        <f t="shared" si="31"/>
        <v>1</v>
      </c>
      <c r="F99" s="1145">
        <f t="shared" si="31"/>
        <v>1</v>
      </c>
      <c r="G99" s="1145">
        <f t="shared" si="31"/>
        <v>1</v>
      </c>
      <c r="H99" s="1145">
        <f t="shared" si="31"/>
        <v>1</v>
      </c>
      <c r="I99" s="1145">
        <f t="shared" si="31"/>
        <v>1</v>
      </c>
      <c r="J99" s="1145">
        <f t="shared" si="31"/>
        <v>1</v>
      </c>
      <c r="K99" s="1145">
        <f t="shared" si="31"/>
        <v>1</v>
      </c>
      <c r="L99" s="1145">
        <f t="shared" si="31"/>
        <v>1</v>
      </c>
      <c r="M99" s="1145">
        <f t="shared" si="31"/>
        <v>1</v>
      </c>
      <c r="N99" s="1145">
        <f t="shared" si="31"/>
        <v>1</v>
      </c>
    </row>
    <row r="100" spans="1:14">
      <c r="A100" s="3931"/>
      <c r="B100" s="1143">
        <v>7</v>
      </c>
      <c r="C100" s="1146">
        <f>(-0.163*(C99^2)-0.59*C99+7617)*(10^(-4))</f>
        <v>0.76162470000000004</v>
      </c>
      <c r="D100" s="1146">
        <f>(-0.163*(D99^2)-0.59*D99+7617)*(10^(-4))</f>
        <v>0.76162470000000004</v>
      </c>
      <c r="E100" s="1146">
        <f>(-0.161*(E99^2)-7.509*E99+6533)*(10^(-4))</f>
        <v>0.65253300000000003</v>
      </c>
      <c r="F100" s="1146">
        <f>(-0.161*(F99^2)-7.509*F99+6533)*(10^(-4))</f>
        <v>0.65253300000000003</v>
      </c>
      <c r="G100" s="1146">
        <f>(-0.161*(G99^2)-7.509*G99+6533)*(10^(-4))</f>
        <v>0.65253300000000003</v>
      </c>
      <c r="H100" s="1146">
        <f>(-0.161*(H99^2)-7.509*H99+6533)*(10^(-4))</f>
        <v>0.65253300000000003</v>
      </c>
      <c r="I100" s="1146">
        <f>(-0.161*(I99^2)-7.509*I99+6533)*(10^(-4))</f>
        <v>0.65253300000000003</v>
      </c>
      <c r="J100" s="1146">
        <f>(-0.214*(J99^2)-21.991*J99+4665)*(10^(-4))</f>
        <v>0.46427950000000001</v>
      </c>
      <c r="K100" s="1146">
        <f>(-0.214*(K99^2)-21.991*K99+4665)*(10^(-4))</f>
        <v>0.46427950000000001</v>
      </c>
      <c r="L100" s="1146">
        <f>(-0.214*(L99^2)-21.991*L99+4665)*(10^(-4))</f>
        <v>0.46427950000000001</v>
      </c>
      <c r="M100" s="1146">
        <f>(-0.214*(M99^2)-21.991*M99+4665)*(10^(-4))</f>
        <v>0.46427950000000001</v>
      </c>
      <c r="N100" s="1146">
        <f>(-0.214*(N99^2)-21.991*N99+4665)*(10^(-4))</f>
        <v>0.46427950000000001</v>
      </c>
    </row>
    <row r="101" spans="1:14">
      <c r="A101" s="3929" t="s">
        <v>1638</v>
      </c>
      <c r="B101" s="1147" t="s">
        <v>906</v>
      </c>
      <c r="C101" s="1148">
        <f>$G$3</f>
        <v>6.8</v>
      </c>
      <c r="D101" s="1148">
        <f t="shared" ref="D101:N101" si="32">$G$3</f>
        <v>6.8</v>
      </c>
      <c r="E101" s="1148">
        <f t="shared" si="32"/>
        <v>6.8</v>
      </c>
      <c r="F101" s="1148">
        <f t="shared" si="32"/>
        <v>6.8</v>
      </c>
      <c r="G101" s="1148">
        <f t="shared" si="32"/>
        <v>6.8</v>
      </c>
      <c r="H101" s="1148">
        <f t="shared" si="32"/>
        <v>6.8</v>
      </c>
      <c r="I101" s="1148">
        <f t="shared" si="32"/>
        <v>6.8</v>
      </c>
      <c r="J101" s="1148">
        <f t="shared" si="32"/>
        <v>6.8</v>
      </c>
      <c r="K101" s="1148">
        <f t="shared" si="32"/>
        <v>6.8</v>
      </c>
      <c r="L101" s="1148">
        <f t="shared" si="32"/>
        <v>6.8</v>
      </c>
      <c r="M101" s="1148">
        <f t="shared" si="32"/>
        <v>6.8</v>
      </c>
      <c r="N101" s="1148">
        <f t="shared" si="32"/>
        <v>6.8</v>
      </c>
    </row>
    <row r="102" spans="1:14">
      <c r="A102" s="3930"/>
      <c r="B102" s="1143">
        <v>1</v>
      </c>
      <c r="C102" s="1144">
        <f>1.9362/C101</f>
        <v>0.28473529411764703</v>
      </c>
      <c r="D102" s="1144">
        <f>1.9362/D101</f>
        <v>0.28473529411764703</v>
      </c>
      <c r="E102" s="1144">
        <f>1.8629/E101</f>
        <v>0.27395588235294116</v>
      </c>
      <c r="F102" s="1144">
        <f>1.8629/F101</f>
        <v>0.27395588235294116</v>
      </c>
      <c r="G102" s="1144">
        <f>1.8629/G101</f>
        <v>0.27395588235294116</v>
      </c>
      <c r="H102" s="1144">
        <f>1.8629/H101</f>
        <v>0.27395588235294116</v>
      </c>
      <c r="I102" s="1144">
        <f>1.8629/I101</f>
        <v>0.27395588235294116</v>
      </c>
      <c r="J102" s="1144">
        <f>1.942/J101</f>
        <v>0.28558823529411764</v>
      </c>
      <c r="K102" s="1144">
        <f>1.942/K101</f>
        <v>0.28558823529411764</v>
      </c>
      <c r="L102" s="1144">
        <f>1.942/L101</f>
        <v>0.28558823529411764</v>
      </c>
      <c r="M102" s="1144">
        <f>1.942/M101</f>
        <v>0.28558823529411764</v>
      </c>
      <c r="N102" s="1144">
        <f>1.942/N101</f>
        <v>0.28558823529411764</v>
      </c>
    </row>
    <row r="103" spans="1:14">
      <c r="A103" s="3930"/>
      <c r="B103" s="1143">
        <v>2</v>
      </c>
      <c r="C103" s="1144">
        <f>1.4198/C101</f>
        <v>0.20879411764705882</v>
      </c>
      <c r="D103" s="1144">
        <f>1.4198/D101</f>
        <v>0.20879411764705882</v>
      </c>
      <c r="E103" s="1144">
        <f>1.3372/E101</f>
        <v>0.1966470588235294</v>
      </c>
      <c r="F103" s="1144">
        <f>1.3372/F101</f>
        <v>0.1966470588235294</v>
      </c>
      <c r="G103" s="1144">
        <f>1.3372/G101</f>
        <v>0.1966470588235294</v>
      </c>
      <c r="H103" s="1144">
        <f>1.3372/H101</f>
        <v>0.1966470588235294</v>
      </c>
      <c r="I103" s="1144">
        <f>1.3372/I101</f>
        <v>0.1966470588235294</v>
      </c>
      <c r="J103" s="1144">
        <f>1.2799/J101</f>
        <v>0.18822058823529414</v>
      </c>
      <c r="K103" s="1144">
        <f>1.2799/K101</f>
        <v>0.18822058823529414</v>
      </c>
      <c r="L103" s="1144">
        <f>1.2799/L101</f>
        <v>0.18822058823529414</v>
      </c>
      <c r="M103" s="1144">
        <f>1.2799/M101</f>
        <v>0.18822058823529414</v>
      </c>
      <c r="N103" s="1144">
        <f>1.2799/N101</f>
        <v>0.18822058823529414</v>
      </c>
    </row>
    <row r="104" spans="1:14">
      <c r="A104" s="3930"/>
      <c r="B104" s="1143">
        <v>3</v>
      </c>
      <c r="C104" s="1144">
        <f>1.1594/C101</f>
        <v>0.17050000000000001</v>
      </c>
      <c r="D104" s="1144">
        <f>1.1594/D101</f>
        <v>0.17050000000000001</v>
      </c>
      <c r="E104" s="1144">
        <f>1.0788/E101</f>
        <v>0.15864705882352942</v>
      </c>
      <c r="F104" s="1144">
        <f>1.0788/F101</f>
        <v>0.15864705882352942</v>
      </c>
      <c r="G104" s="1144">
        <f>1.0788/G101</f>
        <v>0.15864705882352942</v>
      </c>
      <c r="H104" s="1144">
        <f>1.0788/H101</f>
        <v>0.15864705882352942</v>
      </c>
      <c r="I104" s="1144">
        <f>1.0788/I101</f>
        <v>0.15864705882352942</v>
      </c>
      <c r="J104" s="1144">
        <f>1.0072/J101</f>
        <v>0.14811764705882355</v>
      </c>
      <c r="K104" s="1144">
        <f>1.0072/K101</f>
        <v>0.14811764705882355</v>
      </c>
      <c r="L104" s="1144">
        <f>1.0072/L101</f>
        <v>0.14811764705882355</v>
      </c>
      <c r="M104" s="1144">
        <f>1.0072/M101</f>
        <v>0.14811764705882355</v>
      </c>
      <c r="N104" s="1144">
        <f>1.0072/N101</f>
        <v>0.14811764705882355</v>
      </c>
    </row>
    <row r="105" spans="1:14">
      <c r="A105" s="3930"/>
      <c r="B105" s="1143">
        <v>4</v>
      </c>
      <c r="C105" s="1144">
        <f>0.9622/C101</f>
        <v>0.14150000000000001</v>
      </c>
      <c r="D105" s="1144">
        <f>0.9622/D101</f>
        <v>0.14150000000000001</v>
      </c>
      <c r="E105" s="1144">
        <f>0.8656/E101</f>
        <v>0.12729411764705884</v>
      </c>
      <c r="F105" s="1144">
        <f>0.8656/F101</f>
        <v>0.12729411764705884</v>
      </c>
      <c r="G105" s="1144">
        <f>0.8656/G101</f>
        <v>0.12729411764705884</v>
      </c>
      <c r="H105" s="1144">
        <f>0.8656/H101</f>
        <v>0.12729411764705884</v>
      </c>
      <c r="I105" s="1144">
        <f>0.8656/I101</f>
        <v>0.12729411764705884</v>
      </c>
      <c r="J105" s="1144">
        <f>0.7525/J101</f>
        <v>0.11066176470588235</v>
      </c>
      <c r="K105" s="1144">
        <f>0.7525/K101</f>
        <v>0.11066176470588235</v>
      </c>
      <c r="L105" s="1144">
        <f>0.7525/L101</f>
        <v>0.11066176470588235</v>
      </c>
      <c r="M105" s="1144">
        <f>0.7525/M101</f>
        <v>0.11066176470588235</v>
      </c>
      <c r="N105" s="1144">
        <f>0.7525/N101</f>
        <v>0.11066176470588235</v>
      </c>
    </row>
    <row r="106" spans="1:14">
      <c r="A106" s="3930"/>
      <c r="B106" s="1143">
        <v>5</v>
      </c>
      <c r="C106" s="1144">
        <f>0.8417/C101</f>
        <v>0.12377941176470589</v>
      </c>
      <c r="D106" s="1144">
        <f>0.8417/D101</f>
        <v>0.12377941176470589</v>
      </c>
      <c r="E106" s="1144">
        <f>0.7371/E101</f>
        <v>0.10839705882352942</v>
      </c>
      <c r="F106" s="1144">
        <f>0.7371/F101</f>
        <v>0.10839705882352942</v>
      </c>
      <c r="G106" s="1144">
        <f>0.7371/G101</f>
        <v>0.10839705882352942</v>
      </c>
      <c r="H106" s="1144">
        <f>0.7371/H101</f>
        <v>0.10839705882352942</v>
      </c>
      <c r="I106" s="1144">
        <f>0.7371/I101</f>
        <v>0.10839705882352942</v>
      </c>
      <c r="J106" s="1144">
        <f>0.5659/J101</f>
        <v>8.3220588235294116E-2</v>
      </c>
      <c r="K106" s="1144">
        <f>0.5659/K101</f>
        <v>8.3220588235294116E-2</v>
      </c>
      <c r="L106" s="1144">
        <f>0.5659/L101</f>
        <v>8.3220588235294116E-2</v>
      </c>
      <c r="M106" s="1144">
        <f>0.5659/M101</f>
        <v>8.3220588235294116E-2</v>
      </c>
      <c r="N106" s="1144">
        <f>0.5659/N101</f>
        <v>8.3220588235294116E-2</v>
      </c>
    </row>
    <row r="107" spans="1:14">
      <c r="A107" s="3930"/>
      <c r="B107" s="1143">
        <v>6</v>
      </c>
      <c r="C107" s="1144">
        <f>0.7608/C101</f>
        <v>0.11188235294117647</v>
      </c>
      <c r="D107" s="1144">
        <f>0.7608/D101</f>
        <v>0.11188235294117647</v>
      </c>
      <c r="E107" s="1144">
        <f>0.6482/E101</f>
        <v>9.532352941176471E-2</v>
      </c>
      <c r="F107" s="1144">
        <f>0.6482/F101</f>
        <v>9.532352941176471E-2</v>
      </c>
      <c r="G107" s="1144">
        <f>0.6482/G101</f>
        <v>9.532352941176471E-2</v>
      </c>
      <c r="H107" s="1144">
        <f>0.6482/H101</f>
        <v>9.532352941176471E-2</v>
      </c>
      <c r="I107" s="1144">
        <f>0.6482/I101</f>
        <v>9.532352941176471E-2</v>
      </c>
      <c r="J107" s="1144">
        <f>0.4525/J101</f>
        <v>6.6544117647058823E-2</v>
      </c>
      <c r="K107" s="1144">
        <f>0.4525/K101</f>
        <v>6.6544117647058823E-2</v>
      </c>
      <c r="L107" s="1144">
        <f>0.4525/L101</f>
        <v>6.6544117647058823E-2</v>
      </c>
      <c r="M107" s="1144">
        <f>0.4525/M101</f>
        <v>6.6544117647058823E-2</v>
      </c>
      <c r="N107" s="1144">
        <f>0.4525/N101</f>
        <v>6.6544117647058823E-2</v>
      </c>
    </row>
    <row r="108" spans="1:14">
      <c r="A108" s="3930"/>
      <c r="B108" s="3932" t="s">
        <v>1639</v>
      </c>
      <c r="C108" s="1145">
        <f>C99</f>
        <v>1</v>
      </c>
      <c r="D108" s="1145">
        <f t="shared" ref="D108:N108" si="33">D99</f>
        <v>1</v>
      </c>
      <c r="E108" s="1145">
        <f t="shared" si="33"/>
        <v>1</v>
      </c>
      <c r="F108" s="1145">
        <f t="shared" si="33"/>
        <v>1</v>
      </c>
      <c r="G108" s="1145">
        <f t="shared" si="33"/>
        <v>1</v>
      </c>
      <c r="H108" s="1145">
        <f t="shared" si="33"/>
        <v>1</v>
      </c>
      <c r="I108" s="1145">
        <f t="shared" si="33"/>
        <v>1</v>
      </c>
      <c r="J108" s="1145">
        <f t="shared" si="33"/>
        <v>1</v>
      </c>
      <c r="K108" s="1145">
        <f t="shared" si="33"/>
        <v>1</v>
      </c>
      <c r="L108" s="1145">
        <f t="shared" si="33"/>
        <v>1</v>
      </c>
      <c r="M108" s="1145">
        <f t="shared" si="33"/>
        <v>1</v>
      </c>
      <c r="N108" s="1145">
        <f t="shared" si="33"/>
        <v>1</v>
      </c>
    </row>
    <row r="109" spans="1:14">
      <c r="A109" s="3931"/>
      <c r="B109" s="3933"/>
      <c r="C109" s="1146">
        <f>(-0.163*(C108^2)-0.59*C108+7617)*(10^(-4))/C101</f>
        <v>0.11200363235294118</v>
      </c>
      <c r="D109" s="1146">
        <f>(-0.163*(D108^2)-0.59*D108+7617)*(10^(-4))/D101</f>
        <v>0.11200363235294118</v>
      </c>
      <c r="E109" s="1146">
        <f>(-0.161*(E108^2)-7.509*E108+6533)*(10^(-4))/E101</f>
        <v>9.5960735294117652E-2</v>
      </c>
      <c r="F109" s="1146">
        <f>(-0.161*(F108^2)-7.509*F108+6533)*(10^(-4))/F101</f>
        <v>9.5960735294117652E-2</v>
      </c>
      <c r="G109" s="1146">
        <f>(-0.161*(G108^2)-7.509*G108+6533)*(10^(-4))/G101</f>
        <v>9.5960735294117652E-2</v>
      </c>
      <c r="H109" s="1146">
        <f>(-0.161*(H108^2)-7.509*H108+6533)*(10^(-4))/H101</f>
        <v>9.5960735294117652E-2</v>
      </c>
      <c r="I109" s="1146">
        <f>(-0.161*(I108^2)-7.509*I108+6533)*(10^(-4))/I101</f>
        <v>9.5960735294117652E-2</v>
      </c>
      <c r="J109" s="1146">
        <f>(-0.214*(J108^2)-21.991*J108+4665)*(10^(-4))/J101</f>
        <v>6.8276397058823532E-2</v>
      </c>
      <c r="K109" s="1146">
        <f>(-0.214*(K108^2)-21.991*K108+4665)*(10^(-4))/K101</f>
        <v>6.8276397058823532E-2</v>
      </c>
      <c r="L109" s="1146">
        <f>(-0.214*(L108^2)-21.991*L108+4665)*(10^(-4))/L101</f>
        <v>6.8276397058823532E-2</v>
      </c>
      <c r="M109" s="1146">
        <f>(-0.214*(M108^2)-21.991*M108+4665)*(10^(-4))/M101</f>
        <v>6.8276397058823532E-2</v>
      </c>
      <c r="N109" s="1146">
        <f>(-0.214*(N108^2)-21.991*N108+4665)*(10^(-4))/N101</f>
        <v>6.8276397058823532E-2</v>
      </c>
    </row>
    <row r="110" spans="1:14">
      <c r="A110" s="3934" t="s">
        <v>1640</v>
      </c>
      <c r="B110" s="3934"/>
      <c r="C110" s="3934"/>
      <c r="D110" s="3934"/>
      <c r="E110" s="3934"/>
      <c r="F110" s="3934"/>
      <c r="G110" s="3934"/>
      <c r="H110" s="3934"/>
      <c r="I110" s="3934"/>
      <c r="J110" s="3934"/>
      <c r="K110" s="2427"/>
      <c r="L110" s="2427"/>
      <c r="M110" s="2427"/>
      <c r="N110" s="2427"/>
    </row>
    <row r="112" spans="1:14" ht="12.75" thickBot="1"/>
    <row r="113" spans="1:13" ht="25.5" thickBot="1">
      <c r="A113" s="1016" t="s">
        <v>896</v>
      </c>
      <c r="B113" s="2430">
        <f>G3</f>
        <v>6.8</v>
      </c>
      <c r="C113" s="1017" t="s">
        <v>897</v>
      </c>
      <c r="D113" s="1018">
        <f>SUMPRODUCT((A115:A118=F113)*(B114:M114=H113)*B115:M118)</f>
        <v>0.86960000000000004</v>
      </c>
      <c r="E113" s="1019" t="s">
        <v>898</v>
      </c>
      <c r="F113" s="1020" t="str">
        <f>E2</f>
        <v>商业</v>
      </c>
      <c r="G113" s="1019" t="s">
        <v>899</v>
      </c>
      <c r="H113" s="1020" t="str">
        <f>G2</f>
        <v>一级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0.86960000000000004</v>
      </c>
      <c r="C115" s="1030">
        <f>B115</f>
        <v>0.86960000000000004</v>
      </c>
      <c r="D115" s="1030">
        <f>ROUND(0.8331-0.0109*B113,4)</f>
        <v>0.75900000000000001</v>
      </c>
      <c r="E115" s="1030">
        <f>D115</f>
        <v>0.75900000000000001</v>
      </c>
      <c r="F115" s="1030">
        <f>E115</f>
        <v>0.75900000000000001</v>
      </c>
      <c r="G115" s="1030">
        <f>F115</f>
        <v>0.75900000000000001</v>
      </c>
      <c r="H115" s="1030">
        <f>G115</f>
        <v>0.75900000000000001</v>
      </c>
      <c r="I115" s="1030">
        <f>ROUND(0.689-0.0155*B113,4)</f>
        <v>0.58360000000000001</v>
      </c>
      <c r="J115" s="1030">
        <f t="shared" ref="J115:M118" si="34">I115</f>
        <v>0.58360000000000001</v>
      </c>
      <c r="K115" s="1030">
        <f t="shared" si="34"/>
        <v>0.58360000000000001</v>
      </c>
      <c r="L115" s="1030">
        <f t="shared" si="34"/>
        <v>0.58360000000000001</v>
      </c>
      <c r="M115" s="1031">
        <f t="shared" si="34"/>
        <v>0.58360000000000001</v>
      </c>
    </row>
    <row r="116" spans="1:13" ht="12.75">
      <c r="A116" s="1029" t="s">
        <v>901</v>
      </c>
      <c r="B116" s="1030">
        <f>ROUND(0.949-0.012*B113,4)</f>
        <v>0.86739999999999995</v>
      </c>
      <c r="C116" s="1030">
        <f>B116</f>
        <v>0.86739999999999995</v>
      </c>
      <c r="D116" s="1030">
        <f>ROUND(0.8567-0.013*B113,4)</f>
        <v>0.76829999999999998</v>
      </c>
      <c r="E116" s="1030">
        <f t="shared" ref="E116:H117" si="35">D116</f>
        <v>0.76829999999999998</v>
      </c>
      <c r="F116" s="1030">
        <f t="shared" si="35"/>
        <v>0.76829999999999998</v>
      </c>
      <c r="G116" s="1030">
        <f t="shared" si="35"/>
        <v>0.76829999999999998</v>
      </c>
      <c r="H116" s="1030">
        <f t="shared" si="35"/>
        <v>0.76829999999999998</v>
      </c>
      <c r="I116" s="1030">
        <f>ROUND(0.7694-0.014*B113,4)</f>
        <v>0.67420000000000002</v>
      </c>
      <c r="J116" s="1030">
        <f t="shared" si="34"/>
        <v>0.67420000000000002</v>
      </c>
      <c r="K116" s="1030">
        <f t="shared" si="34"/>
        <v>0.67420000000000002</v>
      </c>
      <c r="L116" s="1030">
        <f t="shared" si="34"/>
        <v>0.67420000000000002</v>
      </c>
      <c r="M116" s="1031">
        <f t="shared" si="34"/>
        <v>0.67420000000000002</v>
      </c>
    </row>
    <row r="117" spans="1:13" ht="12.75">
      <c r="A117" s="1032" t="s">
        <v>902</v>
      </c>
      <c r="B117" s="1030">
        <f>ROUND(0.8808-0.006*B113,4)</f>
        <v>0.84</v>
      </c>
      <c r="C117" s="1030">
        <f>B117</f>
        <v>0.84</v>
      </c>
      <c r="D117" s="1030">
        <f>ROUND(0.8748-0.008*B113,4)</f>
        <v>0.82040000000000002</v>
      </c>
      <c r="E117" s="1030">
        <f t="shared" si="35"/>
        <v>0.82040000000000002</v>
      </c>
      <c r="F117" s="1030">
        <f t="shared" si="35"/>
        <v>0.82040000000000002</v>
      </c>
      <c r="G117" s="1030">
        <f t="shared" si="35"/>
        <v>0.82040000000000002</v>
      </c>
      <c r="H117" s="1030">
        <f t="shared" si="35"/>
        <v>0.82040000000000002</v>
      </c>
      <c r="I117" s="1030">
        <f>ROUND(0.7412-0.0095*B113,4)</f>
        <v>0.67659999999999998</v>
      </c>
      <c r="J117" s="1030">
        <f t="shared" si="34"/>
        <v>0.67659999999999998</v>
      </c>
      <c r="K117" s="1030">
        <f t="shared" si="34"/>
        <v>0.67659999999999998</v>
      </c>
      <c r="L117" s="1030">
        <f t="shared" si="34"/>
        <v>0.67659999999999998</v>
      </c>
      <c r="M117" s="1031">
        <f t="shared" si="34"/>
        <v>0.67659999999999998</v>
      </c>
    </row>
    <row r="118" spans="1:13" ht="13.5" thickBot="1">
      <c r="A118" s="1033" t="s">
        <v>903</v>
      </c>
      <c r="B118" s="1034">
        <f>ROUND(0.7275-0.01*B113,4)</f>
        <v>0.65949999999999998</v>
      </c>
      <c r="C118" s="1034">
        <f>B118</f>
        <v>0.65949999999999998</v>
      </c>
      <c r="D118" s="1034">
        <f>ROUND(0.7043-0.012*B113,4)</f>
        <v>0.62270000000000003</v>
      </c>
      <c r="E118" s="1034">
        <f>D118</f>
        <v>0.62270000000000003</v>
      </c>
      <c r="F118" s="1034">
        <f>E118</f>
        <v>0.62270000000000003</v>
      </c>
      <c r="G118" s="1034">
        <f>ROUND(0.6299-0.0122*B113,4)</f>
        <v>0.54690000000000005</v>
      </c>
      <c r="H118" s="1034">
        <f>G118</f>
        <v>0.54690000000000005</v>
      </c>
      <c r="I118" s="1034">
        <f>ROUND(0.5667-0.0136*B113,4)</f>
        <v>0.47420000000000001</v>
      </c>
      <c r="J118" s="1034">
        <f t="shared" si="34"/>
        <v>0.47420000000000001</v>
      </c>
      <c r="K118" s="1034">
        <f t="shared" si="34"/>
        <v>0.47420000000000001</v>
      </c>
      <c r="L118" s="1034">
        <f t="shared" si="34"/>
        <v>0.47420000000000001</v>
      </c>
      <c r="M118" s="1035">
        <f t="shared" si="34"/>
        <v>0.47420000000000001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3" sqref="H1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t="s">
        <v>2996</v>
      </c>
      <c r="C1" s="2104"/>
      <c r="D1" s="2104"/>
      <c r="E1" s="2104"/>
      <c r="F1" s="2104"/>
      <c r="G1" s="2104"/>
      <c r="H1" s="2104"/>
      <c r="I1" s="2104"/>
      <c r="J1" s="2104"/>
      <c r="K1" s="422">
        <f>MATCH(B1,'数据-取费表'!A6:A16,0)+5</f>
        <v>7</v>
      </c>
    </row>
    <row r="2" spans="1:31" s="2041" customFormat="1" ht="18" customHeight="1">
      <c r="A2" s="2101" t="s">
        <v>467</v>
      </c>
      <c r="B2" s="2105">
        <f ca="1">C36</f>
        <v>7587</v>
      </c>
      <c r="C2" s="2104"/>
      <c r="D2" s="2104"/>
      <c r="E2" s="2104"/>
      <c r="F2" s="2104"/>
      <c r="G2" s="2104"/>
      <c r="H2" s="2104"/>
      <c r="I2" s="2104"/>
      <c r="J2" s="2104"/>
      <c r="K2" s="2104"/>
    </row>
    <row r="3" spans="1:31" s="2041" customFormat="1" ht="18" customHeight="1">
      <c r="A3" s="2106" t="s">
        <v>1685</v>
      </c>
      <c r="B3" s="2107">
        <f ca="1">ROUND(B2*10000/IF(B1="",'数据-汇总表'!E3,INDIRECT("'数据-取费表'!K"&amp;$K$1)),0)</f>
        <v>42628</v>
      </c>
      <c r="C3" s="2104"/>
      <c r="D3" s="2104"/>
      <c r="E3" s="2104"/>
      <c r="F3" s="2104"/>
      <c r="G3" s="2104"/>
      <c r="H3" s="2104"/>
      <c r="I3" s="2104"/>
      <c r="J3" s="2104"/>
      <c r="K3" s="2104"/>
    </row>
    <row r="4" spans="1:31" s="2041" customFormat="1" ht="18" customHeight="1">
      <c r="A4" s="426" t="s">
        <v>468</v>
      </c>
      <c r="B4" s="427">
        <f ca="1">ROUND(B2*10000/IF(B1="",'数据-汇总表'!D3,INDIRECT("'数据-取费表'!R"&amp;$K$1)),0)</f>
        <v>414635</v>
      </c>
      <c r="C4" s="428"/>
      <c r="D4" s="422"/>
      <c r="E4" s="422"/>
      <c r="F4" s="422"/>
      <c r="G4" s="422"/>
      <c r="H4" s="422"/>
      <c r="I4" s="422"/>
      <c r="J4" s="422"/>
      <c r="K4" s="422"/>
    </row>
    <row r="5" spans="1:31" s="2041" customFormat="1" ht="18" customHeight="1" thickBot="1">
      <c r="A5" s="429"/>
      <c r="B5" s="430">
        <f ca="1">ROUND(B2/(IF(B1="",'数据-汇总表'!D3,INDIRECT("'数据-取费表'!R"&amp;$K$1))/666.67),0)</f>
        <v>27643</v>
      </c>
      <c r="C5" s="431" t="s">
        <v>469</v>
      </c>
      <c r="D5" s="422"/>
      <c r="E5" s="422"/>
      <c r="F5" s="422"/>
      <c r="G5" s="422"/>
      <c r="H5" s="422"/>
      <c r="I5" s="422"/>
      <c r="J5" s="422"/>
      <c r="K5" s="422"/>
    </row>
    <row r="6" spans="1:31" s="2111" customFormat="1" ht="16.5" customHeight="1">
      <c r="A6" s="2806" t="s">
        <v>1843</v>
      </c>
      <c r="B6" s="2807"/>
      <c r="C6" s="2808">
        <f>SUM(C10:K10)</f>
        <v>11112</v>
      </c>
      <c r="D6" s="2807"/>
      <c r="E6" s="2807"/>
      <c r="F6" s="2807"/>
      <c r="G6" s="2807"/>
      <c r="H6" s="2807"/>
      <c r="I6" s="2807"/>
      <c r="J6" s="2807"/>
      <c r="K6" s="2809"/>
    </row>
    <row r="7" spans="1:31" s="2113" customFormat="1" ht="15">
      <c r="A7" s="2810" t="s">
        <v>470</v>
      </c>
      <c r="B7" s="2811" t="s">
        <v>471</v>
      </c>
      <c r="C7" s="436" t="s">
        <v>2996</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ROUND(C10*10000/C9,0)</f>
        <v>62434</v>
      </c>
      <c r="D8" s="2812"/>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SUMIF('数据-汇总表'!$C19:$C33,'剩余法-商业'!C7,'数据-汇总表'!$E19:$E33)</f>
        <v>1779.8</v>
      </c>
      <c r="D9" s="441">
        <f>SUMIF('数据-汇总表'!$C19:$C33,'剩余法-商业'!D7,'数据-汇总表'!$E19:$E33)</f>
        <v>0</v>
      </c>
      <c r="E9" s="441">
        <f>SUMIF('数据-汇总表'!$C19:$C33,'剩余法-商业'!E7,'数据-汇总表'!$E19:$E33)</f>
        <v>0</v>
      </c>
      <c r="F9" s="441">
        <f>SUMIF('数据-汇总表'!$C19:$C33,'剩余法-商业'!F7,'数据-汇总表'!$E19:$E33)</f>
        <v>0</v>
      </c>
      <c r="G9" s="441">
        <f>SUMIF('数据-汇总表'!$C19:$C33,'剩余法-商业'!G7,'数据-汇总表'!$E19:$E33)</f>
        <v>0</v>
      </c>
      <c r="H9" s="441">
        <f>SUMIF('数据-汇总表'!$C19:$C33,'剩余法-商业'!H7,'数据-汇总表'!$E19:$E33)</f>
        <v>0</v>
      </c>
      <c r="I9" s="441">
        <f>SUMIF('数据-汇总表'!$C19:$C33,'剩余法-商业'!I7,'数据-汇总表'!$E19:$E33)</f>
        <v>0</v>
      </c>
      <c r="J9" s="441">
        <f>SUMIF('数据-汇总表'!$C19:$C33,'剩余法-商业'!J7,'数据-汇总表'!$E19:$E33)</f>
        <v>0</v>
      </c>
      <c r="K9" s="442">
        <f>SUMIF('数据-汇总表'!$C19:$C33,'剩余法-商业'!K7,'数据-汇总表'!$E19:$E33)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'不动产比较法-商业'!B2</f>
        <v>11112</v>
      </c>
      <c r="D10" s="3004"/>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623</v>
      </c>
      <c r="D13" s="2822"/>
      <c r="E13" s="2823"/>
      <c r="F13" s="2824"/>
      <c r="G13" s="2790"/>
      <c r="H13" s="2791"/>
      <c r="I13" s="2791"/>
      <c r="J13" s="2791"/>
      <c r="K13" s="2792"/>
    </row>
    <row r="14" spans="1:31" s="2116" customFormat="1" ht="13.5" customHeight="1">
      <c r="A14" s="2820" t="s">
        <v>1850</v>
      </c>
      <c r="B14" s="2821" t="s">
        <v>480</v>
      </c>
      <c r="C14" s="53">
        <f ca="1">ROUND(C13*F14,0)</f>
        <v>19</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0</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36</v>
      </c>
      <c r="D16" s="2822">
        <f ca="1">IF(B1="",'数据-汇总表'!E3,INDIRECT("'数据-取费表'!K"&amp;$K$1)+INDIRECT("'数据-取费表'!S"&amp;$K$1))</f>
        <v>1779.8</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9</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687</v>
      </c>
      <c r="D18" s="2831"/>
      <c r="E18" s="468"/>
      <c r="F18" s="468"/>
      <c r="G18" s="2794" t="s">
        <v>2431</v>
      </c>
      <c r="H18" s="2795"/>
      <c r="I18" s="2795"/>
      <c r="J18" s="2795"/>
      <c r="K18" s="2796"/>
    </row>
    <row r="19" spans="1:14" s="2116" customFormat="1" ht="13.5" customHeight="1">
      <c r="A19" s="2828" t="s">
        <v>1855</v>
      </c>
      <c r="B19" s="2829" t="s">
        <v>488</v>
      </c>
      <c r="C19" s="2786">
        <f ca="1">ROUND(D19*E19/10000,0)</f>
        <v>0</v>
      </c>
      <c r="D19" s="2832">
        <f ca="1">D16</f>
        <v>1779.8</v>
      </c>
      <c r="E19" s="2786">
        <f>'数据-取费表'!B32</f>
        <v>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36</v>
      </c>
      <c r="D20" s="2832"/>
      <c r="E20" s="2786"/>
      <c r="F20" s="2833"/>
      <c r="G20" s="3064" t="s">
        <v>3078</v>
      </c>
      <c r="H20" s="2788"/>
      <c r="I20" s="2789" t="s">
        <v>2652</v>
      </c>
      <c r="J20" s="2795"/>
      <c r="K20" s="2796"/>
    </row>
    <row r="21" spans="1:14" s="2116" customFormat="1" ht="13.5" customHeight="1">
      <c r="A21" s="2820" t="s">
        <v>1857</v>
      </c>
      <c r="B21" s="2821" t="s">
        <v>491</v>
      </c>
      <c r="C21" s="53">
        <f ca="1">ROUND(D21*E21/10000,0)</f>
        <v>0</v>
      </c>
      <c r="D21" s="2822">
        <f ca="1">IF(B1="",'数据-汇总表'!E5,IF(INDIRECT("'数据-取费表'!c"&amp;$K$1)="住宅",INDIRECT("'数据-取费表'!k"&amp;$K$1),0))</f>
        <v>0</v>
      </c>
      <c r="E21" s="53">
        <f>'数据-取费表'!B27</f>
        <v>160</v>
      </c>
      <c r="F21" s="2825"/>
      <c r="G21" s="26"/>
      <c r="H21" s="51"/>
      <c r="I21" s="51"/>
      <c r="J21" s="51"/>
      <c r="K21" s="2797"/>
    </row>
    <row r="22" spans="1:14" s="2116" customFormat="1" ht="13.5" customHeight="1">
      <c r="A22" s="2820" t="s">
        <v>1858</v>
      </c>
      <c r="B22" s="2821" t="s">
        <v>492</v>
      </c>
      <c r="C22" s="53">
        <f ca="1">ROUND(D22*E22/10000,0)</f>
        <v>36</v>
      </c>
      <c r="D22" s="2822">
        <f ca="1">IF(B1="",'数据-汇总表'!E6,IF(INDIRECT("'数据-取费表'!c"&amp;$K$1)="住宅",INDIRECT("'数据-取费表'!s"&amp;$K$1),INDIRECT("'数据-取费表'!k"&amp;$K$1)+INDIRECT("'数据-取费表'!s"&amp;$K$1)))</f>
        <v>1779.8</v>
      </c>
      <c r="E22" s="53">
        <f>'数据-取费表'!B28</f>
        <v>200</v>
      </c>
      <c r="F22" s="2825"/>
      <c r="G22" s="26"/>
      <c r="H22" s="51"/>
      <c r="I22" s="51"/>
      <c r="J22" s="51"/>
      <c r="K22" s="2797"/>
    </row>
    <row r="23" spans="1:14" s="2116" customFormat="1" ht="13.5" customHeight="1">
      <c r="A23" s="2828" t="s">
        <v>1859</v>
      </c>
      <c r="B23" s="3010" t="s">
        <v>2834</v>
      </c>
      <c r="C23" s="2830">
        <f ca="1">ROUND((C18+C19+C20)*F23,0)</f>
        <v>14</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2837</v>
      </c>
      <c r="C24" s="2830">
        <f>ROUND(C6*F24,0)</f>
        <v>222</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2835</v>
      </c>
      <c r="C25" s="467">
        <f>ROUND(F25/(1+'数据-取费表'!C42),4)</f>
        <v>2.9000000000000001E-2</v>
      </c>
      <c r="D25" s="462" t="s">
        <v>2829</v>
      </c>
      <c r="E25" s="469"/>
      <c r="F25" s="2834">
        <f>'数据-取费表'!B48+'数据-取费表'!B49</f>
        <v>3.0499999999999999E-2</v>
      </c>
      <c r="G25" s="2798" t="s">
        <v>2290</v>
      </c>
      <c r="H25" s="2791"/>
      <c r="I25" s="2791"/>
      <c r="J25" s="2791"/>
      <c r="K25" s="2792"/>
    </row>
    <row r="26" spans="1:14" s="2118" customFormat="1" ht="13.5" customHeight="1">
      <c r="A26" s="2828" t="s">
        <v>1862</v>
      </c>
      <c r="B26" s="3011" t="s">
        <v>2836</v>
      </c>
      <c r="C26" s="2835">
        <f ca="1">C28</f>
        <v>0</v>
      </c>
      <c r="D26" s="467">
        <f ca="1">C27</f>
        <v>0</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2838</v>
      </c>
      <c r="C28" s="2838">
        <f ca="1">ROUND(IF('数据-取费表'!B22&lt;=1,(C18+C19+C20+C23+C24)*F26*'数据-取费表'!B24/2,(C18+C19+C20+C23+C24)*(POWER((1+F26),'数据-取费表'!B24/2)-1)),0)</f>
        <v>0</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593</v>
      </c>
      <c r="D29" s="468"/>
      <c r="E29" s="468"/>
      <c r="F29" s="3012">
        <f>'数据-取费表'!B41</f>
        <v>5.6000000000000001E-2</v>
      </c>
      <c r="G29" s="2799" t="s">
        <v>498</v>
      </c>
      <c r="H29" s="2791"/>
      <c r="I29" s="2791"/>
      <c r="J29" s="2791"/>
      <c r="K29" s="2792"/>
    </row>
    <row r="30" spans="1:14" s="2121" customFormat="1" ht="13.5" customHeight="1">
      <c r="A30" s="1635" t="s">
        <v>1864</v>
      </c>
      <c r="B30" s="2840" t="s">
        <v>500</v>
      </c>
      <c r="C30" s="2835">
        <f ca="1">C31</f>
        <v>1552</v>
      </c>
      <c r="D30" s="477">
        <f ca="1">C32</f>
        <v>2.9000000000000001E-2</v>
      </c>
      <c r="E30" s="469" t="s">
        <v>495</v>
      </c>
      <c r="F30" s="471"/>
      <c r="G30" s="2798" t="s">
        <v>2974</v>
      </c>
      <c r="H30" s="2791"/>
      <c r="I30" s="2791"/>
      <c r="J30" s="2791"/>
      <c r="K30" s="2792"/>
    </row>
    <row r="31" spans="1:14" s="2120" customFormat="1" ht="13.5" customHeight="1">
      <c r="A31" s="803" t="s">
        <v>1857</v>
      </c>
      <c r="B31" s="2836"/>
      <c r="C31" s="450">
        <f ca="1">C18+C19+C20+C23+C24+C26+C29</f>
        <v>1552</v>
      </c>
      <c r="D31" s="472"/>
      <c r="E31" s="473"/>
      <c r="F31" s="474"/>
      <c r="G31" s="261"/>
      <c r="H31" s="2793"/>
      <c r="I31" s="2793"/>
      <c r="J31" s="2793"/>
      <c r="K31" s="279"/>
    </row>
    <row r="32" spans="1:14" s="2120" customFormat="1" ht="13.5" customHeight="1">
      <c r="A32" s="803" t="s">
        <v>1858</v>
      </c>
      <c r="B32" s="2836"/>
      <c r="C32" s="53">
        <f ca="1">ROUND(C25+D26,4)</f>
        <v>2.9000000000000001E-2</v>
      </c>
      <c r="D32" s="472"/>
      <c r="E32" s="473"/>
      <c r="F32" s="474"/>
      <c r="G32" s="261"/>
      <c r="H32" s="2793"/>
      <c r="I32" s="2793"/>
      <c r="J32" s="2793"/>
      <c r="K32" s="279"/>
    </row>
    <row r="33" spans="1:11" s="2122" customFormat="1" ht="13.5" customHeight="1">
      <c r="A33" s="3009" t="s">
        <v>2833</v>
      </c>
      <c r="B33" s="3007" t="s">
        <v>2831</v>
      </c>
      <c r="C33" s="478">
        <f ca="1">C35</f>
        <v>192</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6" t="s">
        <v>1858</v>
      </c>
      <c r="B35" s="3008" t="s">
        <v>2839</v>
      </c>
      <c r="C35" s="1628">
        <f ca="1">ROUND((C18+C19+C20+C23+C24)*F33,0)</f>
        <v>192</v>
      </c>
      <c r="D35" s="1629"/>
      <c r="E35" s="2842"/>
      <c r="F35" s="1630"/>
      <c r="G35" s="2800"/>
      <c r="H35" s="2801"/>
      <c r="I35" s="2801"/>
      <c r="J35" s="2801"/>
      <c r="K35" s="2802"/>
    </row>
    <row r="36" spans="1:11" s="2085" customFormat="1" ht="13.5" customHeight="1" thickBot="1">
      <c r="A36" s="284" t="s">
        <v>1845</v>
      </c>
      <c r="B36" s="2804"/>
      <c r="C36" s="2843">
        <f ca="1">ROUND((C6-C30-C33)/(1+D30+D33),0)</f>
        <v>7587</v>
      </c>
      <c r="D36" s="2804"/>
      <c r="E36" s="2804"/>
      <c r="F36" s="2804"/>
      <c r="G36" s="2803" t="s">
        <v>2840</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8" zoomScale="80" zoomScaleNormal="80" workbookViewId="0">
      <selection activeCell="J19" sqref="J19"/>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2996</v>
      </c>
      <c r="E1" s="506"/>
      <c r="F1" s="2785" t="s">
        <v>3247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11112</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62434</v>
      </c>
      <c r="C3" s="852" t="s">
        <v>722</v>
      </c>
      <c r="D3" s="851">
        <f>SUMIF('数据-汇总表'!$C19:$C33,D1,'数据-汇总表'!$E19:$E33)</f>
        <v>1779.8</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957" t="s">
        <v>522</v>
      </c>
      <c r="D4" s="3958"/>
      <c r="E4" s="3959" t="s">
        <v>523</v>
      </c>
      <c r="F4" s="3960"/>
      <c r="G4" s="3957" t="s">
        <v>524</v>
      </c>
      <c r="H4" s="3958"/>
      <c r="I4" s="3957" t="s">
        <v>525</v>
      </c>
      <c r="J4" s="3958"/>
      <c r="K4" s="514" t="s">
        <v>526</v>
      </c>
      <c r="L4" s="2133"/>
      <c r="M4" s="2134"/>
      <c r="N4" s="2134"/>
      <c r="O4" s="2134"/>
      <c r="P4" s="3961" t="s">
        <v>527</v>
      </c>
      <c r="Q4" s="3962"/>
      <c r="R4" s="3967" t="s">
        <v>523</v>
      </c>
      <c r="S4" s="3968"/>
      <c r="T4" s="3967" t="s">
        <v>524</v>
      </c>
      <c r="U4" s="3968"/>
      <c r="V4" s="3973" t="s">
        <v>525</v>
      </c>
      <c r="W4" s="3973"/>
      <c r="X4" s="1567"/>
      <c r="Y4" s="3967" t="s">
        <v>527</v>
      </c>
      <c r="Z4" s="3968"/>
      <c r="AA4" s="3954" t="s">
        <v>523</v>
      </c>
      <c r="AB4" s="3973" t="s">
        <v>524</v>
      </c>
      <c r="AC4" s="3954" t="s">
        <v>525</v>
      </c>
    </row>
    <row r="5" spans="1:29" ht="53.25" customHeight="1" thickBot="1">
      <c r="A5" s="515"/>
      <c r="B5" s="516"/>
      <c r="C5" s="3976" t="s">
        <v>3287</v>
      </c>
      <c r="D5" s="3977"/>
      <c r="E5" s="3983" t="s">
        <v>3289</v>
      </c>
      <c r="F5" s="3984"/>
      <c r="G5" s="3976" t="s">
        <v>3291</v>
      </c>
      <c r="H5" s="3977"/>
      <c r="I5" s="3976" t="s">
        <v>3289</v>
      </c>
      <c r="J5" s="3977"/>
      <c r="K5" s="514"/>
      <c r="L5" s="2133"/>
      <c r="M5" s="2134"/>
      <c r="N5" s="2134"/>
      <c r="O5" s="2134"/>
      <c r="P5" s="3963"/>
      <c r="Q5" s="3964"/>
      <c r="R5" s="3969"/>
      <c r="S5" s="3970"/>
      <c r="T5" s="3969"/>
      <c r="U5" s="3970"/>
      <c r="V5" s="3973"/>
      <c r="W5" s="3973"/>
      <c r="X5" s="1567"/>
      <c r="Y5" s="3969"/>
      <c r="Z5" s="3970"/>
      <c r="AA5" s="3955"/>
      <c r="AB5" s="3973"/>
      <c r="AC5" s="3955"/>
    </row>
    <row r="6" spans="1:29" ht="15.75" hidden="1" thickBot="1">
      <c r="A6" s="517"/>
      <c r="B6" s="518"/>
      <c r="C6" s="3974" t="s">
        <v>2935</v>
      </c>
      <c r="D6" s="3975"/>
      <c r="E6" s="3981" t="s">
        <v>2935</v>
      </c>
      <c r="F6" s="3982"/>
      <c r="G6" s="3974" t="s">
        <v>2935</v>
      </c>
      <c r="H6" s="3975"/>
      <c r="I6" s="3974" t="s">
        <v>2935</v>
      </c>
      <c r="J6" s="3975"/>
      <c r="K6" s="514" t="s">
        <v>528</v>
      </c>
      <c r="L6" s="2133"/>
      <c r="M6" s="2134"/>
      <c r="N6" s="2134"/>
      <c r="O6" s="2134"/>
      <c r="P6" s="3965"/>
      <c r="Q6" s="3966"/>
      <c r="R6" s="3969"/>
      <c r="S6" s="3970"/>
      <c r="T6" s="3971"/>
      <c r="U6" s="3972"/>
      <c r="V6" s="3973"/>
      <c r="W6" s="3973"/>
      <c r="X6" s="1567"/>
      <c r="Y6" s="3971"/>
      <c r="Z6" s="3972"/>
      <c r="AA6" s="3956"/>
      <c r="AB6" s="3973"/>
      <c r="AC6" s="3956"/>
    </row>
    <row r="7" spans="1:29" s="1220" customFormat="1" ht="15.75" thickBot="1">
      <c r="A7" s="2890"/>
      <c r="B7" s="2897" t="s">
        <v>529</v>
      </c>
      <c r="C7" s="519">
        <f>'数据-取费表'!B2</f>
        <v>43552</v>
      </c>
      <c r="D7" s="520">
        <v>100</v>
      </c>
      <c r="E7" s="521">
        <v>43552</v>
      </c>
      <c r="F7" s="522">
        <f>SUMIF(58:58,YEAR(E7)&amp;"-"&amp;MONTH(E7),59:59)</f>
        <v>100</v>
      </c>
      <c r="G7" s="521">
        <v>43552</v>
      </c>
      <c r="H7" s="520">
        <f>SUMIF(58:58,YEAR(G7)&amp;"-"&amp;MONTH(G7),59:59)</f>
        <v>100</v>
      </c>
      <c r="I7" s="521">
        <v>43552</v>
      </c>
      <c r="J7" s="520">
        <f>SUMIF(58:58,YEAR(I7)&amp;"-"&amp;MONTH(I7),59:59)</f>
        <v>100</v>
      </c>
      <c r="K7" s="524"/>
      <c r="L7" s="2135"/>
      <c r="M7" s="2136"/>
      <c r="N7" s="2136"/>
      <c r="O7" s="2136"/>
      <c r="P7" s="3978" t="s">
        <v>530</v>
      </c>
      <c r="Q7" s="3980"/>
      <c r="R7" s="1568" t="s">
        <v>8</v>
      </c>
      <c r="S7" s="1569">
        <f t="shared" ref="S7:S15" si="0">F7</f>
        <v>100</v>
      </c>
      <c r="T7" s="1568" t="s">
        <v>8</v>
      </c>
      <c r="U7" s="1569">
        <f t="shared" ref="U7:U15" si="1">H7</f>
        <v>100</v>
      </c>
      <c r="V7" s="1568" t="s">
        <v>8</v>
      </c>
      <c r="W7" s="1569">
        <f t="shared" ref="W7:W15" si="2">J7</f>
        <v>100</v>
      </c>
      <c r="X7" s="1570"/>
      <c r="Y7" s="3978" t="s">
        <v>530</v>
      </c>
      <c r="Z7" s="3979"/>
      <c r="AA7" s="1571">
        <f>D7/F7</f>
        <v>1</v>
      </c>
      <c r="AB7" s="1571">
        <f>D7/H7</f>
        <v>1</v>
      </c>
      <c r="AC7" s="1571">
        <f>D7/J7</f>
        <v>1</v>
      </c>
    </row>
    <row r="8" spans="1:29" s="1220" customFormat="1" ht="15.75" thickBot="1">
      <c r="A8" s="2891"/>
      <c r="B8" s="2898" t="s">
        <v>531</v>
      </c>
      <c r="C8" s="525" t="s">
        <v>576</v>
      </c>
      <c r="D8" s="520">
        <v>100</v>
      </c>
      <c r="E8" s="525" t="s">
        <v>3248</v>
      </c>
      <c r="F8" s="522">
        <f>SUMIF(61:61,E8,62:62)-SUMIF(61:61,C8,62:62)+100</f>
        <v>100</v>
      </c>
      <c r="G8" s="525" t="s">
        <v>3248</v>
      </c>
      <c r="H8" s="520">
        <f>SUMIF(61:61,G8,62:62)-SUMIF(61:61,C8,62:62)+100</f>
        <v>100</v>
      </c>
      <c r="I8" s="525" t="s">
        <v>3248</v>
      </c>
      <c r="J8" s="520">
        <f>SUMIF(61:61,I8,62:62)-SUMIF(61:61,C8,62:62)+100</f>
        <v>100</v>
      </c>
      <c r="K8" s="524"/>
      <c r="L8" s="2135"/>
      <c r="M8" s="2136"/>
      <c r="N8" s="2136"/>
      <c r="O8" s="2136"/>
      <c r="P8" s="3978" t="s">
        <v>533</v>
      </c>
      <c r="Q8" s="3979"/>
      <c r="R8" s="1568" t="s">
        <v>8</v>
      </c>
      <c r="S8" s="1569">
        <f t="shared" si="0"/>
        <v>100</v>
      </c>
      <c r="T8" s="1568" t="s">
        <v>8</v>
      </c>
      <c r="U8" s="1569">
        <f t="shared" si="1"/>
        <v>100</v>
      </c>
      <c r="V8" s="1568" t="s">
        <v>8</v>
      </c>
      <c r="W8" s="1569">
        <f t="shared" si="2"/>
        <v>100</v>
      </c>
      <c r="X8" s="1570"/>
      <c r="Y8" s="3978" t="s">
        <v>533</v>
      </c>
      <c r="Z8" s="3979"/>
      <c r="AA8" s="1571">
        <f t="shared" ref="AA8:AA46" si="3">D8/F8</f>
        <v>1</v>
      </c>
      <c r="AB8" s="1571">
        <f t="shared" ref="AB8:AB46" si="4">D8/H8</f>
        <v>1</v>
      </c>
      <c r="AC8" s="1571">
        <f t="shared" ref="AC8:AC46" si="5">D8/J8</f>
        <v>1</v>
      </c>
    </row>
    <row r="9" spans="1:29" s="1220" customFormat="1" ht="15">
      <c r="A9" s="2892"/>
      <c r="B9" s="2899" t="s">
        <v>2757</v>
      </c>
      <c r="C9" s="3573" t="s">
        <v>3249</v>
      </c>
      <c r="D9" s="254">
        <v>100</v>
      </c>
      <c r="E9" s="3574" t="s">
        <v>3250</v>
      </c>
      <c r="F9" s="254">
        <f>SUMIF(63:63,E9,64:64)-SUMIF(63:63,C9,64:64)+100</f>
        <v>100</v>
      </c>
      <c r="G9" s="3575" t="s">
        <v>3249</v>
      </c>
      <c r="H9" s="254">
        <f>SUMIF(63:63,G9,64:64)-SUMIF(63:63,C9,64:64)+100</f>
        <v>100</v>
      </c>
      <c r="I9" s="3575" t="s">
        <v>3250</v>
      </c>
      <c r="J9" s="254">
        <f>SUMIF(63:63,I9,64:64)-SUMIF(63:63,C9,64:64)+100</f>
        <v>100</v>
      </c>
      <c r="K9" s="524"/>
      <c r="L9" s="2135"/>
      <c r="M9" s="2136"/>
      <c r="N9" s="2136"/>
      <c r="O9" s="2137"/>
      <c r="P9" s="3944" t="s">
        <v>535</v>
      </c>
      <c r="Q9" s="1151" t="str">
        <f t="shared" ref="Q9:Q15" si="6">B9</f>
        <v>用途</v>
      </c>
      <c r="R9" s="1568" t="s">
        <v>8</v>
      </c>
      <c r="S9" s="1569">
        <f t="shared" si="0"/>
        <v>100</v>
      </c>
      <c r="T9" s="1568" t="s">
        <v>8</v>
      </c>
      <c r="U9" s="1569">
        <f t="shared" si="1"/>
        <v>100</v>
      </c>
      <c r="V9" s="1568" t="s">
        <v>8</v>
      </c>
      <c r="W9" s="1569">
        <f t="shared" si="2"/>
        <v>100</v>
      </c>
      <c r="X9" s="1570"/>
      <c r="Y9" s="3798" t="s">
        <v>536</v>
      </c>
      <c r="Z9" s="1150" t="str">
        <f t="shared" ref="Z9:Z15" si="7">Q9</f>
        <v>用途</v>
      </c>
      <c r="AA9" s="1571">
        <f t="shared" si="3"/>
        <v>1</v>
      </c>
      <c r="AB9" s="1571">
        <f t="shared" si="4"/>
        <v>1</v>
      </c>
      <c r="AC9" s="1571">
        <f t="shared" si="5"/>
        <v>1</v>
      </c>
    </row>
    <row r="10" spans="1:29" s="1338" customFormat="1" ht="27.75" thickBot="1">
      <c r="A10" s="2893"/>
      <c r="B10" s="2898" t="s">
        <v>2758</v>
      </c>
      <c r="C10" s="861" t="s">
        <v>3251</v>
      </c>
      <c r="D10" s="255">
        <v>100</v>
      </c>
      <c r="E10" s="861" t="s">
        <v>3251</v>
      </c>
      <c r="F10" s="255">
        <f>SUMIF(65:65,E10,66:66)-SUMIF(65:65,C10,66:66)+100</f>
        <v>100</v>
      </c>
      <c r="G10" s="861" t="s">
        <v>3251</v>
      </c>
      <c r="H10" s="255">
        <f>SUMIF(65:65,G10,66:66)-SUMIF(65:65,C10,66:66)+100</f>
        <v>100</v>
      </c>
      <c r="I10" s="861" t="s">
        <v>3251</v>
      </c>
      <c r="J10" s="255">
        <f>SUMIF(65:65,I10,66:66)-SUMIF(65:65,C10,66:66)+100</f>
        <v>100</v>
      </c>
      <c r="K10" s="584">
        <v>1</v>
      </c>
      <c r="L10" s="2138"/>
      <c r="M10" s="2178"/>
      <c r="N10" s="2178"/>
      <c r="O10" s="2139"/>
      <c r="P10" s="3944"/>
      <c r="Q10" s="1151" t="str">
        <f t="shared" si="6"/>
        <v>土地使用年限（年）</v>
      </c>
      <c r="R10" s="1568" t="s">
        <v>8</v>
      </c>
      <c r="S10" s="1569">
        <f t="shared" si="0"/>
        <v>100</v>
      </c>
      <c r="T10" s="1568" t="s">
        <v>8</v>
      </c>
      <c r="U10" s="1569">
        <f t="shared" si="1"/>
        <v>100</v>
      </c>
      <c r="V10" s="1568" t="s">
        <v>8</v>
      </c>
      <c r="W10" s="1569">
        <f t="shared" si="2"/>
        <v>100</v>
      </c>
      <c r="X10" s="1570"/>
      <c r="Y10" s="3798"/>
      <c r="Z10" s="1150" t="str">
        <f t="shared" si="7"/>
        <v>土地使用年限（年）</v>
      </c>
      <c r="AA10" s="1571">
        <f t="shared" si="3"/>
        <v>1</v>
      </c>
      <c r="AB10" s="1571">
        <f t="shared" si="4"/>
        <v>1</v>
      </c>
      <c r="AC10" s="1571">
        <f t="shared" si="5"/>
        <v>1</v>
      </c>
    </row>
    <row r="11" spans="1:29" ht="15" hidden="1">
      <c r="A11" s="2894"/>
      <c r="B11" s="2898"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0"/>
      <c r="M11" s="2134"/>
      <c r="N11" s="2134"/>
      <c r="O11" s="2141"/>
      <c r="P11" s="3944"/>
      <c r="Q11" s="1151" t="str">
        <f t="shared" si="6"/>
        <v>容积率</v>
      </c>
      <c r="R11" s="1568" t="s">
        <v>8</v>
      </c>
      <c r="S11" s="1569">
        <f t="shared" si="0"/>
        <v>100</v>
      </c>
      <c r="T11" s="1568" t="s">
        <v>8</v>
      </c>
      <c r="U11" s="1569">
        <f t="shared" si="1"/>
        <v>100</v>
      </c>
      <c r="V11" s="1568" t="s">
        <v>8</v>
      </c>
      <c r="W11" s="1569">
        <f t="shared" si="2"/>
        <v>100</v>
      </c>
      <c r="X11" s="1570"/>
      <c r="Y11" s="3798"/>
      <c r="Z11" s="1150" t="str">
        <f t="shared" si="7"/>
        <v>容积率</v>
      </c>
      <c r="AA11" s="1571">
        <f t="shared" si="3"/>
        <v>1</v>
      </c>
      <c r="AB11" s="1571">
        <f t="shared" si="4"/>
        <v>1</v>
      </c>
      <c r="AC11" s="1571">
        <f t="shared" si="5"/>
        <v>1</v>
      </c>
    </row>
    <row r="12" spans="1:29" s="1220" customFormat="1" ht="15" hidden="1">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944"/>
      <c r="Q12" s="1151">
        <f t="shared" si="6"/>
        <v>111</v>
      </c>
      <c r="R12" s="1568" t="s">
        <v>8</v>
      </c>
      <c r="S12" s="1569">
        <f t="shared" si="0"/>
        <v>100</v>
      </c>
      <c r="T12" s="1568" t="s">
        <v>8</v>
      </c>
      <c r="U12" s="1569">
        <f t="shared" si="1"/>
        <v>100</v>
      </c>
      <c r="V12" s="1568" t="s">
        <v>8</v>
      </c>
      <c r="W12" s="1569">
        <f t="shared" si="2"/>
        <v>100</v>
      </c>
      <c r="X12" s="1570"/>
      <c r="Y12" s="3798"/>
      <c r="Z12" s="1150">
        <f t="shared" si="7"/>
        <v>111</v>
      </c>
      <c r="AA12" s="1571">
        <f>D12/F12</f>
        <v>1</v>
      </c>
      <c r="AB12" s="1571">
        <f>D12/H12</f>
        <v>1</v>
      </c>
      <c r="AC12" s="1571">
        <f>D12/J12</f>
        <v>1</v>
      </c>
    </row>
    <row r="13" spans="1:29" ht="15" hidden="1">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944"/>
      <c r="Q13" s="1151">
        <f t="shared" si="6"/>
        <v>111</v>
      </c>
      <c r="R13" s="1568" t="s">
        <v>8</v>
      </c>
      <c r="S13" s="1569">
        <f t="shared" si="0"/>
        <v>100</v>
      </c>
      <c r="T13" s="1568" t="s">
        <v>8</v>
      </c>
      <c r="U13" s="1569">
        <f t="shared" si="1"/>
        <v>100</v>
      </c>
      <c r="V13" s="1568" t="s">
        <v>8</v>
      </c>
      <c r="W13" s="1569">
        <f t="shared" si="2"/>
        <v>100</v>
      </c>
      <c r="X13" s="1570"/>
      <c r="Y13" s="3798"/>
      <c r="Z13" s="1150">
        <f t="shared" si="7"/>
        <v>111</v>
      </c>
      <c r="AA13" s="1571">
        <f t="shared" si="3"/>
        <v>1</v>
      </c>
      <c r="AB13" s="1571">
        <f t="shared" si="4"/>
        <v>1</v>
      </c>
      <c r="AC13" s="1571">
        <f t="shared" si="5"/>
        <v>1</v>
      </c>
    </row>
    <row r="14" spans="1:29" ht="15.75" hidden="1"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944"/>
      <c r="Q14" s="1151">
        <f t="shared" si="6"/>
        <v>111</v>
      </c>
      <c r="R14" s="1568" t="s">
        <v>8</v>
      </c>
      <c r="S14" s="1569">
        <f t="shared" si="0"/>
        <v>100</v>
      </c>
      <c r="T14" s="1568" t="s">
        <v>8</v>
      </c>
      <c r="U14" s="1569">
        <f t="shared" si="1"/>
        <v>100</v>
      </c>
      <c r="V14" s="1568" t="s">
        <v>8</v>
      </c>
      <c r="W14" s="1569">
        <f t="shared" si="2"/>
        <v>100</v>
      </c>
      <c r="X14" s="1570"/>
      <c r="Y14" s="3798"/>
      <c r="Z14" s="1150">
        <f t="shared" si="7"/>
        <v>111</v>
      </c>
      <c r="AA14" s="1571">
        <f t="shared" si="3"/>
        <v>1</v>
      </c>
      <c r="AB14" s="1571">
        <f t="shared" si="4"/>
        <v>1</v>
      </c>
      <c r="AC14" s="1571">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2"/>
      <c r="M15" s="2134"/>
      <c r="N15" s="2134"/>
      <c r="O15" s="2141"/>
      <c r="P15" s="3949" t="s">
        <v>540</v>
      </c>
      <c r="Q15" s="1572" t="str">
        <f t="shared" si="6"/>
        <v>商业繁华度</v>
      </c>
      <c r="R15" s="1573" t="s">
        <v>8</v>
      </c>
      <c r="S15" s="1574">
        <f t="shared" si="0"/>
        <v>100</v>
      </c>
      <c r="T15" s="1573" t="s">
        <v>8</v>
      </c>
      <c r="U15" s="1574">
        <f t="shared" si="1"/>
        <v>100</v>
      </c>
      <c r="V15" s="1573" t="s">
        <v>8</v>
      </c>
      <c r="W15" s="1574">
        <f t="shared" si="2"/>
        <v>100</v>
      </c>
      <c r="X15" s="1567"/>
      <c r="Y15" s="3949" t="s">
        <v>540</v>
      </c>
      <c r="Z15" s="1575" t="str">
        <f t="shared" si="7"/>
        <v>商业繁华度</v>
      </c>
      <c r="AA15" s="1576">
        <f t="shared" si="3"/>
        <v>1</v>
      </c>
      <c r="AB15" s="1576">
        <f t="shared" si="4"/>
        <v>1</v>
      </c>
      <c r="AC15" s="1576">
        <f t="shared" si="5"/>
        <v>1</v>
      </c>
    </row>
    <row r="16" spans="1:29" ht="15">
      <c r="A16" s="532"/>
      <c r="B16" s="869"/>
      <c r="C16" s="576" t="s">
        <v>3011</v>
      </c>
      <c r="D16" s="555"/>
      <c r="E16" s="576" t="s">
        <v>3011</v>
      </c>
      <c r="F16" s="557"/>
      <c r="G16" s="576" t="s">
        <v>3011</v>
      </c>
      <c r="H16" s="559"/>
      <c r="I16" s="576" t="s">
        <v>3011</v>
      </c>
      <c r="J16" s="555"/>
      <c r="K16" s="899"/>
      <c r="L16" s="2142"/>
      <c r="M16" s="2134"/>
      <c r="N16" s="2134"/>
      <c r="O16" s="2141"/>
      <c r="P16" s="3950"/>
      <c r="Q16" s="1572"/>
      <c r="R16" s="1573"/>
      <c r="S16" s="1574"/>
      <c r="T16" s="1573"/>
      <c r="U16" s="1574"/>
      <c r="V16" s="1573"/>
      <c r="W16" s="1574"/>
      <c r="X16" s="1567"/>
      <c r="Y16" s="395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2"/>
      <c r="M17" s="2134"/>
      <c r="N17" s="2134"/>
      <c r="O17" s="2141"/>
      <c r="P17" s="3950"/>
      <c r="Q17" s="1572" t="str">
        <f>B17</f>
        <v>交通便捷度</v>
      </c>
      <c r="R17" s="1573" t="s">
        <v>8</v>
      </c>
      <c r="S17" s="1574">
        <f>F17</f>
        <v>100</v>
      </c>
      <c r="T17" s="1573" t="s">
        <v>8</v>
      </c>
      <c r="U17" s="1574">
        <f>H17</f>
        <v>100</v>
      </c>
      <c r="V17" s="1573" t="s">
        <v>8</v>
      </c>
      <c r="W17" s="1574">
        <f>J17</f>
        <v>100</v>
      </c>
      <c r="X17" s="1567"/>
      <c r="Y17" s="3950"/>
      <c r="Z17" s="1575" t="str">
        <f>Q17</f>
        <v>交通便捷度</v>
      </c>
      <c r="AA17" s="1576">
        <f t="shared" si="3"/>
        <v>1</v>
      </c>
      <c r="AB17" s="1576">
        <f t="shared" si="4"/>
        <v>1</v>
      </c>
      <c r="AC17" s="1576">
        <f t="shared" si="5"/>
        <v>1</v>
      </c>
    </row>
    <row r="18" spans="1:29" ht="15">
      <c r="A18" s="532"/>
      <c r="B18" s="595"/>
      <c r="C18" s="873" t="s">
        <v>3011</v>
      </c>
      <c r="D18" s="559"/>
      <c r="E18" s="568" t="s">
        <v>3011</v>
      </c>
      <c r="F18" s="563"/>
      <c r="G18" s="569" t="s">
        <v>3011</v>
      </c>
      <c r="H18" s="555"/>
      <c r="I18" s="568" t="s">
        <v>3011</v>
      </c>
      <c r="J18" s="555"/>
      <c r="K18" s="899"/>
      <c r="L18" s="2142"/>
      <c r="M18" s="2134"/>
      <c r="N18" s="2134"/>
      <c r="O18" s="2141"/>
      <c r="P18" s="3950"/>
      <c r="Q18" s="1572"/>
      <c r="R18" s="1573"/>
      <c r="S18" s="1574"/>
      <c r="T18" s="1573"/>
      <c r="U18" s="1574"/>
      <c r="V18" s="1573"/>
      <c r="W18" s="1574"/>
      <c r="X18" s="1567"/>
      <c r="Y18" s="3950"/>
      <c r="Z18" s="1575"/>
      <c r="AA18" s="1576">
        <v>1</v>
      </c>
      <c r="AB18" s="1576">
        <v>1</v>
      </c>
      <c r="AC18" s="1576">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2"/>
      <c r="M19" s="2134"/>
      <c r="N19" s="2134"/>
      <c r="O19" s="2141"/>
      <c r="P19" s="3950"/>
      <c r="Q19" s="1572" t="str">
        <f>B19</f>
        <v>公共配套设施</v>
      </c>
      <c r="R19" s="1573" t="s">
        <v>8</v>
      </c>
      <c r="S19" s="1574">
        <f>F19</f>
        <v>100</v>
      </c>
      <c r="T19" s="1573" t="s">
        <v>8</v>
      </c>
      <c r="U19" s="1574">
        <f>H19</f>
        <v>100</v>
      </c>
      <c r="V19" s="1573" t="s">
        <v>8</v>
      </c>
      <c r="W19" s="1574">
        <f>J19</f>
        <v>100</v>
      </c>
      <c r="X19" s="1567"/>
      <c r="Y19" s="3950"/>
      <c r="Z19" s="1575" t="str">
        <f>Q19</f>
        <v>公共配套设施</v>
      </c>
      <c r="AA19" s="1576">
        <f t="shared" si="3"/>
        <v>1</v>
      </c>
      <c r="AB19" s="1576">
        <f t="shared" si="4"/>
        <v>1</v>
      </c>
      <c r="AC19" s="1576">
        <f t="shared" si="5"/>
        <v>1</v>
      </c>
    </row>
    <row r="20" spans="1:29" ht="15">
      <c r="A20" s="532"/>
      <c r="B20" s="595"/>
      <c r="C20" s="576" t="s">
        <v>3011</v>
      </c>
      <c r="D20" s="555"/>
      <c r="E20" s="556" t="s">
        <v>3011</v>
      </c>
      <c r="F20" s="557"/>
      <c r="G20" s="558" t="s">
        <v>3011</v>
      </c>
      <c r="H20" s="555"/>
      <c r="I20" s="556" t="s">
        <v>3011</v>
      </c>
      <c r="J20" s="555"/>
      <c r="K20" s="899"/>
      <c r="L20" s="2142"/>
      <c r="M20" s="2134"/>
      <c r="N20" s="2134"/>
      <c r="O20" s="2141"/>
      <c r="P20" s="3950"/>
      <c r="Q20" s="1572"/>
      <c r="R20" s="1573"/>
      <c r="S20" s="1574"/>
      <c r="T20" s="1573"/>
      <c r="U20" s="1574"/>
      <c r="V20" s="1573"/>
      <c r="W20" s="1574"/>
      <c r="X20" s="1567"/>
      <c r="Y20" s="3950"/>
      <c r="Z20" s="1575"/>
      <c r="AA20" s="1576">
        <v>1</v>
      </c>
      <c r="AB20" s="1576">
        <v>1</v>
      </c>
      <c r="AC20" s="1576">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1</v>
      </c>
      <c r="L21" s="2142"/>
      <c r="M21" s="2134"/>
      <c r="N21" s="2134"/>
      <c r="O21" s="2141"/>
      <c r="P21" s="3950"/>
      <c r="Q21" s="2558" t="str">
        <f>B21</f>
        <v>基础设施水平</v>
      </c>
      <c r="R21" s="1573" t="s">
        <v>8</v>
      </c>
      <c r="S21" s="1574">
        <f>F21</f>
        <v>100</v>
      </c>
      <c r="T21" s="1573" t="s">
        <v>8</v>
      </c>
      <c r="U21" s="1574">
        <f>H21</f>
        <v>100</v>
      </c>
      <c r="V21" s="1573" t="s">
        <v>8</v>
      </c>
      <c r="W21" s="1574">
        <f>J21</f>
        <v>100</v>
      </c>
      <c r="X21" s="2560"/>
      <c r="Y21" s="3950"/>
      <c r="Z21" s="2559" t="str">
        <f>Q21</f>
        <v>基础设施水平</v>
      </c>
      <c r="AA21" s="1576">
        <f t="shared" ref="AA21" si="8">D21/F21</f>
        <v>1</v>
      </c>
      <c r="AB21" s="1576">
        <f t="shared" ref="AB21" si="9">D21/H21</f>
        <v>1</v>
      </c>
      <c r="AC21" s="1576">
        <f t="shared" ref="AC21" si="10">D21/J21</f>
        <v>1</v>
      </c>
    </row>
    <row r="22" spans="1:29" ht="15">
      <c r="A22" s="532"/>
      <c r="B22" s="922"/>
      <c r="C22" s="3581" t="s">
        <v>3338</v>
      </c>
      <c r="D22" s="555"/>
      <c r="E22" s="3581" t="s">
        <v>3338</v>
      </c>
      <c r="F22" s="557"/>
      <c r="G22" s="3581" t="s">
        <v>3338</v>
      </c>
      <c r="H22" s="555"/>
      <c r="I22" s="3581" t="s">
        <v>3338</v>
      </c>
      <c r="J22" s="555"/>
      <c r="K22" s="2581"/>
      <c r="L22" s="2142"/>
      <c r="M22" s="2134"/>
      <c r="N22" s="2134"/>
      <c r="O22" s="2141"/>
      <c r="P22" s="3950"/>
      <c r="Q22" s="2558"/>
      <c r="R22" s="1573"/>
      <c r="S22" s="1574"/>
      <c r="T22" s="1573"/>
      <c r="U22" s="1574"/>
      <c r="V22" s="1573"/>
      <c r="W22" s="1574"/>
      <c r="X22" s="2560"/>
      <c r="Y22" s="3950"/>
      <c r="Z22" s="2559"/>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3</v>
      </c>
      <c r="L23" s="2142"/>
      <c r="M23" s="2134"/>
      <c r="N23" s="2134"/>
      <c r="O23" s="2141"/>
      <c r="P23" s="3950"/>
      <c r="Q23" s="1572" t="str">
        <f>B23</f>
        <v>自然及人文环境</v>
      </c>
      <c r="R23" s="1573" t="s">
        <v>8</v>
      </c>
      <c r="S23" s="1574">
        <f>F23</f>
        <v>100</v>
      </c>
      <c r="T23" s="1573" t="s">
        <v>8</v>
      </c>
      <c r="U23" s="1574">
        <f>H23</f>
        <v>100</v>
      </c>
      <c r="V23" s="1573" t="s">
        <v>8</v>
      </c>
      <c r="W23" s="1574">
        <f>J23</f>
        <v>100</v>
      </c>
      <c r="X23" s="1567"/>
      <c r="Y23" s="3950"/>
      <c r="Z23" s="1575" t="str">
        <f>Q23</f>
        <v>自然及人文环境</v>
      </c>
      <c r="AA23" s="1576">
        <f t="shared" si="3"/>
        <v>1</v>
      </c>
      <c r="AB23" s="1576">
        <f t="shared" si="4"/>
        <v>1</v>
      </c>
      <c r="AC23" s="1576">
        <f t="shared" si="5"/>
        <v>1</v>
      </c>
    </row>
    <row r="24" spans="1:29" ht="15">
      <c r="A24" s="532"/>
      <c r="B24" s="595"/>
      <c r="C24" s="576" t="s">
        <v>3013</v>
      </c>
      <c r="D24" s="555"/>
      <c r="E24" s="556" t="s">
        <v>3013</v>
      </c>
      <c r="F24" s="557"/>
      <c r="G24" s="558" t="s">
        <v>3013</v>
      </c>
      <c r="H24" s="555"/>
      <c r="I24" s="556" t="s">
        <v>3013</v>
      </c>
      <c r="J24" s="555"/>
      <c r="K24" s="899"/>
      <c r="L24" s="2142"/>
      <c r="M24" s="2134"/>
      <c r="N24" s="2134"/>
      <c r="O24" s="2141"/>
      <c r="P24" s="3950"/>
      <c r="Q24" s="1572"/>
      <c r="R24" s="1573"/>
      <c r="S24" s="1574"/>
      <c r="T24" s="1573"/>
      <c r="U24" s="1574"/>
      <c r="V24" s="1573"/>
      <c r="W24" s="1574"/>
      <c r="X24" s="1567"/>
      <c r="Y24" s="3950"/>
      <c r="Z24" s="1575"/>
      <c r="AA24" s="1576">
        <v>1</v>
      </c>
      <c r="AB24" s="1576">
        <v>1</v>
      </c>
      <c r="AC24" s="1576">
        <v>1</v>
      </c>
    </row>
    <row r="25" spans="1:29" ht="15">
      <c r="A25" s="532"/>
      <c r="B25" s="527" t="s">
        <v>547</v>
      </c>
      <c r="C25" s="583" t="s">
        <v>3258</v>
      </c>
      <c r="D25" s="540">
        <v>100</v>
      </c>
      <c r="E25" s="583" t="s">
        <v>3258</v>
      </c>
      <c r="F25" s="575">
        <f>SUMIF(86:86,E25,87:87)-SUMIF(86:86,C25,87:87)+100</f>
        <v>100</v>
      </c>
      <c r="G25" s="583" t="s">
        <v>3295</v>
      </c>
      <c r="H25" s="540">
        <f>SUMIF(86:86,G25,87:87)-SUMIF(86:86,C25,87:87)+100</f>
        <v>102</v>
      </c>
      <c r="I25" s="583" t="s">
        <v>3258</v>
      </c>
      <c r="J25" s="540">
        <f>SUMIF(86:86,I25,87:87)-SUMIF(86:86,C25,87:87)+100</f>
        <v>100</v>
      </c>
      <c r="K25" s="584">
        <v>2</v>
      </c>
      <c r="L25" s="2142"/>
      <c r="M25" s="2134"/>
      <c r="N25" s="2134"/>
      <c r="O25" s="2141"/>
      <c r="P25" s="3950"/>
      <c r="Q25" s="1572" t="str">
        <f t="shared" ref="Q25:Q46" si="11">B25</f>
        <v>临街状况</v>
      </c>
      <c r="R25" s="1573" t="s">
        <v>8</v>
      </c>
      <c r="S25" s="1574">
        <f>F25</f>
        <v>100</v>
      </c>
      <c r="T25" s="1573" t="s">
        <v>8</v>
      </c>
      <c r="U25" s="1574">
        <f>H25</f>
        <v>102</v>
      </c>
      <c r="V25" s="1573" t="s">
        <v>8</v>
      </c>
      <c r="W25" s="1574">
        <f>J25</f>
        <v>100</v>
      </c>
      <c r="X25" s="1567"/>
      <c r="Y25" s="3950"/>
      <c r="Z25" s="1575" t="str">
        <f>Q25</f>
        <v>临街状况</v>
      </c>
      <c r="AA25" s="1576">
        <f t="shared" si="3"/>
        <v>1</v>
      </c>
      <c r="AB25" s="1576">
        <f t="shared" si="4"/>
        <v>0.98039215686274506</v>
      </c>
      <c r="AC25" s="1576">
        <f t="shared" si="5"/>
        <v>1</v>
      </c>
    </row>
    <row r="26" spans="1:29" ht="15">
      <c r="A26" s="532"/>
      <c r="B26" s="877" t="s">
        <v>758</v>
      </c>
      <c r="C26" s="3577" t="s">
        <v>3259</v>
      </c>
      <c r="D26" s="540">
        <v>100</v>
      </c>
      <c r="E26" s="3577" t="s">
        <v>3259</v>
      </c>
      <c r="F26" s="575">
        <f>SUMIF(88:88,E26,89:89)-SUMIF(88:88,C26,89:89)+100</f>
        <v>100</v>
      </c>
      <c r="G26" s="3577" t="s">
        <v>3259</v>
      </c>
      <c r="H26" s="540">
        <f>SUMIF(88:88,G26,89:89)-SUMIF(88:88,C26,89:89)+100</f>
        <v>100</v>
      </c>
      <c r="I26" s="3577" t="s">
        <v>3259</v>
      </c>
      <c r="J26" s="540">
        <f>SUMIF(88:88,I26,89:89)-SUMIF(88:88,C26,89:89)+100</f>
        <v>100</v>
      </c>
      <c r="K26" s="581"/>
      <c r="L26" s="2142"/>
      <c r="M26" s="2134"/>
      <c r="N26" s="2134"/>
      <c r="O26" s="2141"/>
      <c r="P26" s="3950"/>
      <c r="Q26" s="1572" t="str">
        <f t="shared" si="11"/>
        <v>平面位置/可视性</v>
      </c>
      <c r="R26" s="1573" t="s">
        <v>8</v>
      </c>
      <c r="S26" s="1574">
        <f>F26</f>
        <v>100</v>
      </c>
      <c r="T26" s="1573" t="s">
        <v>8</v>
      </c>
      <c r="U26" s="1574">
        <f>H26</f>
        <v>100</v>
      </c>
      <c r="V26" s="1573" t="s">
        <v>8</v>
      </c>
      <c r="W26" s="1574">
        <f>J26</f>
        <v>100</v>
      </c>
      <c r="X26" s="1567"/>
      <c r="Y26" s="3950"/>
      <c r="Z26" s="1575" t="str">
        <f>Q26</f>
        <v>平面位置/可视性</v>
      </c>
      <c r="AA26" s="1576">
        <f t="shared" si="3"/>
        <v>1</v>
      </c>
      <c r="AB26" s="1576">
        <f t="shared" si="4"/>
        <v>1</v>
      </c>
      <c r="AC26" s="1576">
        <f t="shared" si="5"/>
        <v>1</v>
      </c>
    </row>
    <row r="27" spans="1:29" s="1220" customFormat="1" ht="15">
      <c r="A27" s="536"/>
      <c r="B27" s="871" t="s">
        <v>759</v>
      </c>
      <c r="C27" s="901" t="s">
        <v>3011</v>
      </c>
      <c r="D27" s="875">
        <v>100</v>
      </c>
      <c r="E27" s="901" t="s">
        <v>3011</v>
      </c>
      <c r="F27" s="876">
        <f>SUMIF(90:90,E27,91:91)-SUMIF(90:90,C27,91:91)+100</f>
        <v>100</v>
      </c>
      <c r="G27" s="901" t="s">
        <v>3011</v>
      </c>
      <c r="H27" s="875">
        <f>SUMIF(90:90,G27,91:91)-SUMIF(90:90,C27,91:91)+100</f>
        <v>100</v>
      </c>
      <c r="I27" s="901" t="s">
        <v>3011</v>
      </c>
      <c r="J27" s="875">
        <f>SUMIF(90:90,I27,91:91)-SUMIF(90:90,C27,91:91)+100</f>
        <v>100</v>
      </c>
      <c r="K27" s="584">
        <v>2</v>
      </c>
      <c r="L27" s="2135"/>
      <c r="M27" s="2136"/>
      <c r="N27" s="2136"/>
      <c r="O27" s="2137"/>
      <c r="P27" s="3950"/>
      <c r="Q27" s="1151" t="str">
        <f t="shared" si="11"/>
        <v>人流量</v>
      </c>
      <c r="R27" s="1568" t="s">
        <v>8</v>
      </c>
      <c r="S27" s="1569">
        <f>F27</f>
        <v>100</v>
      </c>
      <c r="T27" s="1568" t="s">
        <v>8</v>
      </c>
      <c r="U27" s="1569">
        <f>H27</f>
        <v>100</v>
      </c>
      <c r="V27" s="1568" t="s">
        <v>8</v>
      </c>
      <c r="W27" s="1569">
        <f>J27</f>
        <v>100</v>
      </c>
      <c r="X27" s="1570"/>
      <c r="Y27" s="3950"/>
      <c r="Z27" s="1150" t="str">
        <f>Q27</f>
        <v>人流量</v>
      </c>
      <c r="AA27" s="1576">
        <f>D27/F27</f>
        <v>1</v>
      </c>
      <c r="AB27" s="1576">
        <f>D27/H27</f>
        <v>1</v>
      </c>
      <c r="AC27" s="1576">
        <f>D27/J27</f>
        <v>1</v>
      </c>
    </row>
    <row r="28" spans="1:29" ht="15.75" thickBot="1">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2"/>
      <c r="M28" s="2134"/>
      <c r="N28" s="2134"/>
      <c r="O28" s="2141"/>
      <c r="P28" s="395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950"/>
      <c r="Z28" s="1575" t="str">
        <f t="shared" ref="Z28:Z46" si="15">Q28</f>
        <v>楼层</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950"/>
      <c r="Q29" s="1572">
        <f t="shared" si="11"/>
        <v>111</v>
      </c>
      <c r="R29" s="1573" t="s">
        <v>8</v>
      </c>
      <c r="S29" s="1574">
        <f t="shared" si="12"/>
        <v>100</v>
      </c>
      <c r="T29" s="1573" t="s">
        <v>8</v>
      </c>
      <c r="U29" s="1574">
        <f t="shared" si="13"/>
        <v>100</v>
      </c>
      <c r="V29" s="1573" t="s">
        <v>8</v>
      </c>
      <c r="W29" s="1574">
        <f t="shared" si="14"/>
        <v>100</v>
      </c>
      <c r="X29" s="1567"/>
      <c r="Y29" s="3950"/>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950"/>
      <c r="Q30" s="1572">
        <f t="shared" si="11"/>
        <v>111</v>
      </c>
      <c r="R30" s="1573" t="s">
        <v>8</v>
      </c>
      <c r="S30" s="1574">
        <f t="shared" si="12"/>
        <v>100</v>
      </c>
      <c r="T30" s="1573" t="s">
        <v>8</v>
      </c>
      <c r="U30" s="1574">
        <f t="shared" si="13"/>
        <v>100</v>
      </c>
      <c r="V30" s="1573" t="s">
        <v>8</v>
      </c>
      <c r="W30" s="1574">
        <f t="shared" si="14"/>
        <v>100</v>
      </c>
      <c r="X30" s="1567"/>
      <c r="Y30" s="3950"/>
      <c r="Z30" s="1575">
        <f t="shared" si="15"/>
        <v>111</v>
      </c>
      <c r="AA30" s="1576">
        <f t="shared" si="3"/>
        <v>1</v>
      </c>
      <c r="AB30" s="1576">
        <f t="shared" si="4"/>
        <v>1</v>
      </c>
      <c r="AC30" s="1576">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950"/>
      <c r="Q31" s="1572">
        <f t="shared" si="11"/>
        <v>111</v>
      </c>
      <c r="R31" s="1573" t="s">
        <v>8</v>
      </c>
      <c r="S31" s="1574">
        <f t="shared" si="12"/>
        <v>100</v>
      </c>
      <c r="T31" s="1573" t="s">
        <v>8</v>
      </c>
      <c r="U31" s="1574">
        <f t="shared" si="13"/>
        <v>100</v>
      </c>
      <c r="V31" s="1573" t="s">
        <v>8</v>
      </c>
      <c r="W31" s="1574">
        <f t="shared" si="14"/>
        <v>100</v>
      </c>
      <c r="X31" s="1567"/>
      <c r="Y31" s="3950"/>
      <c r="Z31" s="1575">
        <f t="shared" si="15"/>
        <v>111</v>
      </c>
      <c r="AA31" s="1576">
        <f t="shared" si="3"/>
        <v>1</v>
      </c>
      <c r="AB31" s="1576">
        <f t="shared" si="4"/>
        <v>1</v>
      </c>
      <c r="AC31" s="1576">
        <f t="shared" si="5"/>
        <v>1</v>
      </c>
    </row>
    <row r="32" spans="1:29" ht="15">
      <c r="A32" s="2885" t="s">
        <v>2756</v>
      </c>
      <c r="B32" s="172" t="s">
        <v>762</v>
      </c>
      <c r="C32" s="878" t="s">
        <v>3266</v>
      </c>
      <c r="D32" s="597">
        <v>100</v>
      </c>
      <c r="E32" s="878" t="s">
        <v>3264</v>
      </c>
      <c r="F32" s="575">
        <f>SUMIF(100:100,E32,101:101)-SUMIF(100:100,C32,101:101)+100</f>
        <v>105</v>
      </c>
      <c r="G32" s="878" t="s">
        <v>3268</v>
      </c>
      <c r="H32" s="540">
        <f>SUMIF(100:100,G32,101:101)-SUMIF(100:100,C32,101:101)+100</f>
        <v>95</v>
      </c>
      <c r="I32" s="878" t="s">
        <v>3264</v>
      </c>
      <c r="J32" s="597">
        <f>SUMIF(100:100,I32,101:101)-SUMIF(100:100,C32,101:101)+100</f>
        <v>105</v>
      </c>
      <c r="K32" s="584">
        <v>5</v>
      </c>
      <c r="L32" s="2142"/>
      <c r="M32" s="2134"/>
      <c r="N32" s="2134"/>
      <c r="O32" s="2141"/>
      <c r="P32" s="3951" t="s">
        <v>550</v>
      </c>
      <c r="Q32" s="1572" t="str">
        <f t="shared" si="11"/>
        <v>商业类型</v>
      </c>
      <c r="R32" s="1573" t="s">
        <v>8</v>
      </c>
      <c r="S32" s="1574">
        <f t="shared" si="12"/>
        <v>105</v>
      </c>
      <c r="T32" s="1573" t="s">
        <v>8</v>
      </c>
      <c r="U32" s="1574">
        <f t="shared" si="13"/>
        <v>95</v>
      </c>
      <c r="V32" s="1573" t="s">
        <v>8</v>
      </c>
      <c r="W32" s="1574">
        <f t="shared" si="14"/>
        <v>105</v>
      </c>
      <c r="X32" s="1567"/>
      <c r="Y32" s="3952" t="s">
        <v>550</v>
      </c>
      <c r="Z32" s="1575" t="str">
        <f t="shared" si="15"/>
        <v>商业类型</v>
      </c>
      <c r="AA32" s="1576">
        <f t="shared" si="3"/>
        <v>0.95238095238095233</v>
      </c>
      <c r="AB32" s="1576">
        <f t="shared" si="4"/>
        <v>1.0526315789473684</v>
      </c>
      <c r="AC32" s="1576">
        <f t="shared" si="5"/>
        <v>0.95238095238095233</v>
      </c>
    </row>
    <row r="33" spans="1:29" s="1339" customFormat="1" ht="15">
      <c r="A33" s="603"/>
      <c r="B33" s="527" t="s">
        <v>726</v>
      </c>
      <c r="C33" s="880">
        <f>'数据-汇总表'!E20</f>
        <v>1779.8</v>
      </c>
      <c r="D33" s="255">
        <v>100</v>
      </c>
      <c r="E33" s="534">
        <v>1384</v>
      </c>
      <c r="F33" s="863">
        <f>LOOKUP(E33,103:103,104:104)-LOOKUP(C33,103:103,104:104)+100</f>
        <v>101</v>
      </c>
      <c r="G33" s="533">
        <v>118.37</v>
      </c>
      <c r="H33" s="255">
        <f>LOOKUP(G33,103:103,104:104)-LOOKUP(C33,103:103,104:104)+100</f>
        <v>105</v>
      </c>
      <c r="I33" s="533">
        <v>313</v>
      </c>
      <c r="J33" s="255">
        <f>LOOKUP(I33,103:103,104:104)-LOOKUP(C33,103:103,104:104)+100</f>
        <v>104</v>
      </c>
      <c r="K33" s="581"/>
      <c r="L33" s="2140"/>
      <c r="M33" s="2171"/>
      <c r="N33" s="2171"/>
      <c r="O33" s="2143"/>
      <c r="P33" s="3952"/>
      <c r="Q33" s="1605" t="str">
        <f t="shared" si="11"/>
        <v>项目建筑规模</v>
      </c>
      <c r="R33" s="1577" t="s">
        <v>8</v>
      </c>
      <c r="S33" s="1578">
        <f t="shared" si="12"/>
        <v>101</v>
      </c>
      <c r="T33" s="1577" t="s">
        <v>8</v>
      </c>
      <c r="U33" s="1578">
        <f t="shared" si="13"/>
        <v>105</v>
      </c>
      <c r="V33" s="1577" t="s">
        <v>8</v>
      </c>
      <c r="W33" s="1578">
        <f t="shared" si="14"/>
        <v>104</v>
      </c>
      <c r="X33" s="1579"/>
      <c r="Y33" s="3952"/>
      <c r="Z33" s="1580" t="str">
        <f t="shared" si="15"/>
        <v>项目建筑规模</v>
      </c>
      <c r="AA33" s="1576">
        <f t="shared" si="3"/>
        <v>0.99009900990099009</v>
      </c>
      <c r="AB33" s="1576">
        <f t="shared" si="4"/>
        <v>0.95238095238095233</v>
      </c>
      <c r="AC33" s="1576">
        <f t="shared" si="5"/>
        <v>0.96153846153846156</v>
      </c>
    </row>
    <row r="34" spans="1:29" ht="15">
      <c r="A34" s="594"/>
      <c r="B34" s="527" t="s">
        <v>727</v>
      </c>
      <c r="C34" s="881" t="s">
        <v>3016</v>
      </c>
      <c r="D34" s="540">
        <v>100</v>
      </c>
      <c r="E34" s="881" t="s">
        <v>3016</v>
      </c>
      <c r="F34" s="575">
        <f>SUMIF(105:105,E34,106:106)-SUMIF(105:105,C34,106:106)+100</f>
        <v>100</v>
      </c>
      <c r="G34" s="881" t="s">
        <v>3016</v>
      </c>
      <c r="H34" s="540">
        <f>SUMIF(105:105,G34,106:106)-SUMIF(105:105,C34,106:106)+100</f>
        <v>100</v>
      </c>
      <c r="I34" s="881" t="s">
        <v>3016</v>
      </c>
      <c r="J34" s="540">
        <f>SUMIF(105:105,I34,106:106)-SUMIF(105:105,C34,106:106)+100</f>
        <v>100</v>
      </c>
      <c r="K34" s="584">
        <v>2</v>
      </c>
      <c r="L34" s="2142"/>
      <c r="M34" s="2134"/>
      <c r="N34" s="2134"/>
      <c r="O34" s="2141"/>
      <c r="P34" s="3952"/>
      <c r="Q34" s="1572" t="str">
        <f t="shared" si="11"/>
        <v>建筑结构</v>
      </c>
      <c r="R34" s="1573" t="s">
        <v>8</v>
      </c>
      <c r="S34" s="1574">
        <f t="shared" si="12"/>
        <v>100</v>
      </c>
      <c r="T34" s="1573" t="s">
        <v>8</v>
      </c>
      <c r="U34" s="1574">
        <f t="shared" si="13"/>
        <v>100</v>
      </c>
      <c r="V34" s="1573" t="s">
        <v>8</v>
      </c>
      <c r="W34" s="1574">
        <f t="shared" si="14"/>
        <v>100</v>
      </c>
      <c r="X34" s="1567"/>
      <c r="Y34" s="3952"/>
      <c r="Z34" s="1575" t="str">
        <f t="shared" si="15"/>
        <v>建筑结构</v>
      </c>
      <c r="AA34" s="1576">
        <f t="shared" si="3"/>
        <v>1</v>
      </c>
      <c r="AB34" s="1576">
        <f t="shared" si="4"/>
        <v>1</v>
      </c>
      <c r="AC34" s="1576">
        <f t="shared" si="5"/>
        <v>1</v>
      </c>
    </row>
    <row r="35" spans="1:29" ht="15">
      <c r="A35" s="594"/>
      <c r="B35" s="527" t="s">
        <v>763</v>
      </c>
      <c r="C35" s="599" t="s">
        <v>3274</v>
      </c>
      <c r="D35" s="540">
        <v>100</v>
      </c>
      <c r="E35" s="599" t="s">
        <v>3274</v>
      </c>
      <c r="F35" s="575">
        <f>SUMIF(107:107,E35,108:108)-SUMIF(107:107,C35,108:108)+100</f>
        <v>100</v>
      </c>
      <c r="G35" s="599" t="s">
        <v>3274</v>
      </c>
      <c r="H35" s="540">
        <f>SUMIF(107:107,G35,108:108)-SUMIF(107:107,C35,108:108)+100</f>
        <v>100</v>
      </c>
      <c r="I35" s="599" t="s">
        <v>3274</v>
      </c>
      <c r="J35" s="540">
        <f>SUMIF(107:107,I35,108:108)-SUMIF(107:107,C35,108:108)+100</f>
        <v>100</v>
      </c>
      <c r="K35" s="584">
        <v>2</v>
      </c>
      <c r="L35" s="2142"/>
      <c r="M35" s="2134"/>
      <c r="N35" s="2134"/>
      <c r="O35" s="2141"/>
      <c r="P35" s="3952"/>
      <c r="Q35" s="1572" t="str">
        <f t="shared" si="11"/>
        <v>公共部分装修</v>
      </c>
      <c r="R35" s="1573" t="s">
        <v>8</v>
      </c>
      <c r="S35" s="1574">
        <f t="shared" si="12"/>
        <v>100</v>
      </c>
      <c r="T35" s="1573" t="s">
        <v>8</v>
      </c>
      <c r="U35" s="1574">
        <f t="shared" si="13"/>
        <v>100</v>
      </c>
      <c r="V35" s="1573" t="s">
        <v>8</v>
      </c>
      <c r="W35" s="1574">
        <f t="shared" si="14"/>
        <v>100</v>
      </c>
      <c r="X35" s="1567"/>
      <c r="Y35" s="3952"/>
      <c r="Z35" s="1575" t="str">
        <f t="shared" si="15"/>
        <v>公共部分装修</v>
      </c>
      <c r="AA35" s="1576">
        <f t="shared" si="3"/>
        <v>1</v>
      </c>
      <c r="AB35" s="1576">
        <f t="shared" si="4"/>
        <v>1</v>
      </c>
      <c r="AC35" s="1576">
        <f t="shared" si="5"/>
        <v>1</v>
      </c>
    </row>
    <row r="36" spans="1:29" ht="15" hidden="1">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952"/>
      <c r="Q36" s="1572" t="str">
        <f t="shared" si="11"/>
        <v>成新度</v>
      </c>
      <c r="R36" s="1573" t="s">
        <v>8</v>
      </c>
      <c r="S36" s="1574">
        <f t="shared" si="12"/>
        <v>100</v>
      </c>
      <c r="T36" s="1573" t="s">
        <v>8</v>
      </c>
      <c r="U36" s="1574">
        <f t="shared" si="13"/>
        <v>100</v>
      </c>
      <c r="V36" s="1573" t="s">
        <v>8</v>
      </c>
      <c r="W36" s="1574">
        <f t="shared" si="14"/>
        <v>100</v>
      </c>
      <c r="X36" s="1567"/>
      <c r="Y36" s="3952"/>
      <c r="Z36" s="1575" t="str">
        <f t="shared" si="15"/>
        <v>成新度</v>
      </c>
      <c r="AA36" s="1576">
        <f t="shared" si="3"/>
        <v>1</v>
      </c>
      <c r="AB36" s="1576">
        <f t="shared" si="4"/>
        <v>1</v>
      </c>
      <c r="AC36" s="1576">
        <f t="shared" si="5"/>
        <v>1</v>
      </c>
    </row>
    <row r="37" spans="1:29" s="1220" customFormat="1" ht="15">
      <c r="A37" s="600"/>
      <c r="B37" s="1895" t="s">
        <v>2566</v>
      </c>
      <c r="C37" s="3581" t="s">
        <v>3338</v>
      </c>
      <c r="D37" s="255">
        <v>100</v>
      </c>
      <c r="E37" s="3581" t="s">
        <v>3338</v>
      </c>
      <c r="F37" s="575">
        <f>SUMIF(112:112,E37,113:113)-SUMIF(112:112,C37,113:113)+100</f>
        <v>100</v>
      </c>
      <c r="G37" s="3581" t="s">
        <v>3338</v>
      </c>
      <c r="H37" s="540">
        <f>SUMIF(112:112,G37,113:113)-SUMIF(112:112,C37,113:113)+100</f>
        <v>100</v>
      </c>
      <c r="I37" s="3581" t="s">
        <v>3338</v>
      </c>
      <c r="J37" s="540">
        <f>SUMIF(112:112,I37,113:113)-SUMIF(112:112,C37,113:113)+100</f>
        <v>100</v>
      </c>
      <c r="K37" s="584">
        <v>1</v>
      </c>
      <c r="L37" s="2135"/>
      <c r="M37" s="2136"/>
      <c r="N37" s="2136"/>
      <c r="O37" s="2137"/>
      <c r="P37" s="3952"/>
      <c r="Q37" s="1151" t="str">
        <f t="shared" si="11"/>
        <v>市政基础设施</v>
      </c>
      <c r="R37" s="1568" t="s">
        <v>8</v>
      </c>
      <c r="S37" s="1569">
        <f t="shared" si="12"/>
        <v>100</v>
      </c>
      <c r="T37" s="1568" t="s">
        <v>8</v>
      </c>
      <c r="U37" s="1569">
        <f t="shared" si="13"/>
        <v>100</v>
      </c>
      <c r="V37" s="1568" t="s">
        <v>8</v>
      </c>
      <c r="W37" s="1569">
        <f t="shared" si="14"/>
        <v>100</v>
      </c>
      <c r="X37" s="1570"/>
      <c r="Y37" s="3952"/>
      <c r="Z37" s="1150" t="str">
        <f t="shared" si="15"/>
        <v>市政基础设施</v>
      </c>
      <c r="AA37" s="1571">
        <f t="shared" si="3"/>
        <v>1</v>
      </c>
      <c r="AB37" s="1571">
        <f t="shared" si="4"/>
        <v>1</v>
      </c>
      <c r="AC37" s="1571">
        <f t="shared" si="5"/>
        <v>1</v>
      </c>
    </row>
    <row r="38" spans="1:29" ht="15" hidden="1">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952" t="s">
        <v>766</v>
      </c>
      <c r="Q38" s="1572" t="str">
        <f t="shared" si="11"/>
        <v>业态</v>
      </c>
      <c r="R38" s="1573" t="s">
        <v>8</v>
      </c>
      <c r="S38" s="1574">
        <f t="shared" si="12"/>
        <v>100</v>
      </c>
      <c r="T38" s="1573" t="s">
        <v>8</v>
      </c>
      <c r="U38" s="1574">
        <f t="shared" si="13"/>
        <v>100</v>
      </c>
      <c r="V38" s="1573" t="s">
        <v>8</v>
      </c>
      <c r="W38" s="1574">
        <f t="shared" si="14"/>
        <v>100</v>
      </c>
      <c r="X38" s="1567"/>
      <c r="Y38" s="3952" t="s">
        <v>766</v>
      </c>
      <c r="Z38" s="1575" t="str">
        <f t="shared" si="15"/>
        <v>业态</v>
      </c>
      <c r="AA38" s="1576">
        <f t="shared" si="3"/>
        <v>1</v>
      </c>
      <c r="AB38" s="1576">
        <f t="shared" si="4"/>
        <v>1</v>
      </c>
      <c r="AC38" s="1576">
        <f t="shared" si="5"/>
        <v>1</v>
      </c>
    </row>
    <row r="39" spans="1:29" ht="15">
      <c r="A39" s="594"/>
      <c r="B39" s="527" t="s">
        <v>767</v>
      </c>
      <c r="C39" s="599" t="s">
        <v>3284</v>
      </c>
      <c r="D39" s="540">
        <v>100</v>
      </c>
      <c r="E39" s="599" t="s">
        <v>3284</v>
      </c>
      <c r="F39" s="575">
        <f>SUMIF(116:116,E39,117:117)-SUMIF(116:116,C39,117:117)+100</f>
        <v>100</v>
      </c>
      <c r="G39" s="599" t="s">
        <v>3284</v>
      </c>
      <c r="H39" s="540">
        <f>SUMIF(116:116,G39,117:117)-SUMIF(116:116,C39,117:117)+100</f>
        <v>100</v>
      </c>
      <c r="I39" s="599" t="s">
        <v>3284</v>
      </c>
      <c r="J39" s="540">
        <f>SUMIF(116:116,I39,117:117)-SUMIF(116:116,C39,117:117)+100</f>
        <v>100</v>
      </c>
      <c r="K39" s="584">
        <v>1</v>
      </c>
      <c r="L39" s="2142"/>
      <c r="M39" s="2134"/>
      <c r="N39" s="2134"/>
      <c r="O39" s="2141"/>
      <c r="P39" s="3952"/>
      <c r="Q39" s="1572" t="str">
        <f t="shared" si="11"/>
        <v>层高</v>
      </c>
      <c r="R39" s="1573" t="s">
        <v>8</v>
      </c>
      <c r="S39" s="1574">
        <f t="shared" si="12"/>
        <v>100</v>
      </c>
      <c r="T39" s="1573" t="s">
        <v>8</v>
      </c>
      <c r="U39" s="1574">
        <f t="shared" si="13"/>
        <v>100</v>
      </c>
      <c r="V39" s="1573" t="s">
        <v>8</v>
      </c>
      <c r="W39" s="1574">
        <f t="shared" si="14"/>
        <v>100</v>
      </c>
      <c r="X39" s="1567"/>
      <c r="Y39" s="3952"/>
      <c r="Z39" s="1575" t="str">
        <f t="shared" si="15"/>
        <v>层高</v>
      </c>
      <c r="AA39" s="1576">
        <f t="shared" si="3"/>
        <v>1</v>
      </c>
      <c r="AB39" s="1576">
        <f t="shared" si="4"/>
        <v>1</v>
      </c>
      <c r="AC39" s="1576">
        <f t="shared" si="5"/>
        <v>1</v>
      </c>
    </row>
    <row r="40" spans="1:29" ht="15" hidden="1">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952"/>
      <c r="Q40" s="1572" t="str">
        <f t="shared" si="11"/>
        <v>单套建筑面积</v>
      </c>
      <c r="R40" s="1573" t="s">
        <v>8</v>
      </c>
      <c r="S40" s="1574">
        <f t="shared" si="12"/>
        <v>100</v>
      </c>
      <c r="T40" s="1573" t="s">
        <v>8</v>
      </c>
      <c r="U40" s="1574">
        <f t="shared" si="13"/>
        <v>100</v>
      </c>
      <c r="V40" s="1573" t="s">
        <v>8</v>
      </c>
      <c r="W40" s="1574">
        <f t="shared" si="14"/>
        <v>100</v>
      </c>
      <c r="X40" s="1567"/>
      <c r="Y40" s="3952"/>
      <c r="Z40" s="1575" t="str">
        <f t="shared" si="15"/>
        <v>单套建筑面积</v>
      </c>
      <c r="AA40" s="1576">
        <f t="shared" si="3"/>
        <v>1</v>
      </c>
      <c r="AB40" s="1576">
        <f t="shared" si="4"/>
        <v>1</v>
      </c>
      <c r="AC40" s="1576">
        <f t="shared" si="5"/>
        <v>1</v>
      </c>
    </row>
    <row r="41" spans="1:29" s="1339" customFormat="1" ht="15" hidden="1">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952"/>
      <c r="Q41" s="1605" t="str">
        <f t="shared" si="11"/>
        <v>进深比</v>
      </c>
      <c r="R41" s="1577" t="s">
        <v>8</v>
      </c>
      <c r="S41" s="1578">
        <f t="shared" si="12"/>
        <v>100</v>
      </c>
      <c r="T41" s="1577" t="s">
        <v>8</v>
      </c>
      <c r="U41" s="1578">
        <f t="shared" si="13"/>
        <v>100</v>
      </c>
      <c r="V41" s="1577" t="s">
        <v>8</v>
      </c>
      <c r="W41" s="1578">
        <f t="shared" si="14"/>
        <v>100</v>
      </c>
      <c r="X41" s="1579"/>
      <c r="Y41" s="3952"/>
      <c r="Z41" s="1580" t="str">
        <f t="shared" si="15"/>
        <v>进深比</v>
      </c>
      <c r="AA41" s="1576">
        <f t="shared" si="3"/>
        <v>1</v>
      </c>
      <c r="AB41" s="1576">
        <f t="shared" si="4"/>
        <v>1</v>
      </c>
      <c r="AC41" s="1576">
        <f t="shared" si="5"/>
        <v>1</v>
      </c>
    </row>
    <row r="42" spans="1:29" ht="15">
      <c r="A42" s="594"/>
      <c r="B42" s="527" t="s">
        <v>770</v>
      </c>
      <c r="C42" s="599" t="s">
        <v>3274</v>
      </c>
      <c r="D42" s="540">
        <v>100</v>
      </c>
      <c r="E42" s="599" t="s">
        <v>3272</v>
      </c>
      <c r="F42" s="575">
        <f>SUMIF(122:122,E42,123:123)-SUMIF(122:122,C42,123:123)+100</f>
        <v>101</v>
      </c>
      <c r="G42" s="599" t="s">
        <v>3272</v>
      </c>
      <c r="H42" s="540">
        <f>SUMIF(122:122,G42,123:123)-SUMIF(122:122,C42,123:123)+100</f>
        <v>101</v>
      </c>
      <c r="I42" s="599" t="s">
        <v>3272</v>
      </c>
      <c r="J42" s="540">
        <f>SUMIF(122:122,I42,123:123)-SUMIF(122:122,C42,123:123)+100</f>
        <v>101</v>
      </c>
      <c r="K42" s="584">
        <v>1</v>
      </c>
      <c r="L42" s="2142"/>
      <c r="M42" s="2134"/>
      <c r="N42" s="2134"/>
      <c r="O42" s="2141"/>
      <c r="P42" s="3952"/>
      <c r="Q42" s="1572" t="str">
        <f t="shared" si="11"/>
        <v>内部装修</v>
      </c>
      <c r="R42" s="1573" t="s">
        <v>8</v>
      </c>
      <c r="S42" s="1574">
        <f t="shared" si="12"/>
        <v>101</v>
      </c>
      <c r="T42" s="1573" t="s">
        <v>8</v>
      </c>
      <c r="U42" s="1574">
        <f t="shared" si="13"/>
        <v>101</v>
      </c>
      <c r="V42" s="1573" t="s">
        <v>8</v>
      </c>
      <c r="W42" s="1574">
        <f t="shared" si="14"/>
        <v>101</v>
      </c>
      <c r="X42" s="1567"/>
      <c r="Y42" s="3952"/>
      <c r="Z42" s="1575" t="str">
        <f t="shared" si="15"/>
        <v>内部装修</v>
      </c>
      <c r="AA42" s="1576">
        <f t="shared" si="3"/>
        <v>0.99009900990099009</v>
      </c>
      <c r="AB42" s="1576">
        <f t="shared" si="4"/>
        <v>0.99009900990099009</v>
      </c>
      <c r="AC42" s="1576">
        <f t="shared" si="5"/>
        <v>0.99009900990099009</v>
      </c>
    </row>
    <row r="43" spans="1:29" ht="27">
      <c r="A43" s="594"/>
      <c r="B43" s="527" t="s">
        <v>735</v>
      </c>
      <c r="C43" s="599" t="s">
        <v>3011</v>
      </c>
      <c r="D43" s="540">
        <v>100</v>
      </c>
      <c r="E43" s="599" t="s">
        <v>3011</v>
      </c>
      <c r="F43" s="575">
        <f>SUMIF(124:124,E43,125:125)-SUMIF(124:124,C43,125:125)+100</f>
        <v>100</v>
      </c>
      <c r="G43" s="599" t="s">
        <v>3011</v>
      </c>
      <c r="H43" s="540">
        <f>SUMIF(124:124,G43,125:125)-SUMIF(124:124,C43,125:125)+100</f>
        <v>100</v>
      </c>
      <c r="I43" s="599" t="s">
        <v>3011</v>
      </c>
      <c r="J43" s="540">
        <f>SUMIF(124:124,I43,125:125)-SUMIF(124:124,C43,125:125)+100</f>
        <v>100</v>
      </c>
      <c r="K43" s="584">
        <v>2</v>
      </c>
      <c r="L43" s="2142"/>
      <c r="M43" s="2134"/>
      <c r="N43" s="2134"/>
      <c r="O43" s="2141"/>
      <c r="P43" s="3952"/>
      <c r="Q43" s="1572" t="str">
        <f t="shared" si="11"/>
        <v>内部装修维护情况</v>
      </c>
      <c r="R43" s="1573" t="s">
        <v>8</v>
      </c>
      <c r="S43" s="1574">
        <f t="shared" si="12"/>
        <v>100</v>
      </c>
      <c r="T43" s="1573" t="s">
        <v>8</v>
      </c>
      <c r="U43" s="1574">
        <f t="shared" si="13"/>
        <v>100</v>
      </c>
      <c r="V43" s="1573" t="s">
        <v>8</v>
      </c>
      <c r="W43" s="1574">
        <f t="shared" si="14"/>
        <v>100</v>
      </c>
      <c r="X43" s="1567"/>
      <c r="Y43" s="3952"/>
      <c r="Z43" s="1575" t="str">
        <f t="shared" si="15"/>
        <v>内部装修维护情况</v>
      </c>
      <c r="AA43" s="1576">
        <f t="shared" si="3"/>
        <v>1</v>
      </c>
      <c r="AB43" s="1576">
        <f t="shared" si="4"/>
        <v>1</v>
      </c>
      <c r="AC43" s="1576">
        <f t="shared" si="5"/>
        <v>1</v>
      </c>
    </row>
    <row r="44" spans="1:29" s="1220" customFormat="1" ht="15.75" thickBot="1">
      <c r="A44" s="600"/>
      <c r="B44" s="3582" t="s">
        <v>3286</v>
      </c>
      <c r="C44" s="880">
        <v>2012</v>
      </c>
      <c r="D44" s="255">
        <v>100</v>
      </c>
      <c r="E44" s="539">
        <v>2006</v>
      </c>
      <c r="F44" s="863">
        <f>SUMIF(126:126,E44,127:127)-SUMIF(126:126,C44,127:127)+100</f>
        <v>97</v>
      </c>
      <c r="G44" s="539">
        <v>2011</v>
      </c>
      <c r="H44" s="255">
        <f>SUMIF(126:126,G44,127:127)-SUMIF(126:126,C44,127:127)+100</f>
        <v>99.5</v>
      </c>
      <c r="I44" s="539">
        <v>2007</v>
      </c>
      <c r="J44" s="255">
        <f>SUMIF(126:126,I44,127:127)-SUMIF(126:126,C44,127:127)+100</f>
        <v>97.5</v>
      </c>
      <c r="K44" s="581"/>
      <c r="L44" s="2135"/>
      <c r="M44" s="2136"/>
      <c r="N44" s="2136"/>
      <c r="O44" s="2137"/>
      <c r="P44" s="3952"/>
      <c r="Q44" s="1151" t="str">
        <f t="shared" si="11"/>
        <v>建成年份</v>
      </c>
      <c r="R44" s="1568" t="s">
        <v>8</v>
      </c>
      <c r="S44" s="1569">
        <f t="shared" si="12"/>
        <v>97</v>
      </c>
      <c r="T44" s="1568" t="s">
        <v>8</v>
      </c>
      <c r="U44" s="1569">
        <f t="shared" si="13"/>
        <v>99.5</v>
      </c>
      <c r="V44" s="1568" t="s">
        <v>8</v>
      </c>
      <c r="W44" s="1569">
        <f t="shared" si="14"/>
        <v>97.5</v>
      </c>
      <c r="X44" s="1570"/>
      <c r="Y44" s="3952"/>
      <c r="Z44" s="1150" t="str">
        <f t="shared" si="15"/>
        <v>建成年份</v>
      </c>
      <c r="AA44" s="1571">
        <f t="shared" si="3"/>
        <v>1.0309278350515463</v>
      </c>
      <c r="AB44" s="1571">
        <f t="shared" si="4"/>
        <v>1.0050251256281406</v>
      </c>
      <c r="AC44" s="1571">
        <f t="shared" si="5"/>
        <v>1.0256410256410255</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952"/>
      <c r="Q45" s="1572">
        <f t="shared" si="11"/>
        <v>111</v>
      </c>
      <c r="R45" s="1573" t="s">
        <v>8</v>
      </c>
      <c r="S45" s="1574">
        <f t="shared" si="12"/>
        <v>100</v>
      </c>
      <c r="T45" s="1573" t="s">
        <v>8</v>
      </c>
      <c r="U45" s="1574">
        <f t="shared" si="13"/>
        <v>100</v>
      </c>
      <c r="V45" s="1573" t="s">
        <v>8</v>
      </c>
      <c r="W45" s="1574">
        <f t="shared" si="14"/>
        <v>100</v>
      </c>
      <c r="X45" s="1567"/>
      <c r="Y45" s="3952"/>
      <c r="Z45" s="1575">
        <f t="shared" si="15"/>
        <v>111</v>
      </c>
      <c r="AA45" s="1576">
        <f t="shared" si="3"/>
        <v>1</v>
      </c>
      <c r="AB45" s="1576">
        <f t="shared" si="4"/>
        <v>1</v>
      </c>
      <c r="AC45" s="1576">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53"/>
      <c r="Q46" s="1572">
        <f t="shared" si="11"/>
        <v>111</v>
      </c>
      <c r="R46" s="1573" t="s">
        <v>8</v>
      </c>
      <c r="S46" s="1574">
        <f t="shared" si="12"/>
        <v>100</v>
      </c>
      <c r="T46" s="1573" t="s">
        <v>8</v>
      </c>
      <c r="U46" s="1574">
        <f t="shared" si="13"/>
        <v>100</v>
      </c>
      <c r="V46" s="1573" t="s">
        <v>8</v>
      </c>
      <c r="W46" s="1574">
        <f t="shared" si="14"/>
        <v>100</v>
      </c>
      <c r="X46" s="1567"/>
      <c r="Y46" s="3953"/>
      <c r="Z46" s="1575">
        <f t="shared" si="15"/>
        <v>111</v>
      </c>
      <c r="AA46" s="1576">
        <f t="shared" si="3"/>
        <v>1</v>
      </c>
      <c r="AB46" s="1576">
        <f t="shared" si="4"/>
        <v>1</v>
      </c>
      <c r="AC46" s="1576">
        <f t="shared" si="5"/>
        <v>1</v>
      </c>
    </row>
    <row r="47" spans="1:29" ht="15">
      <c r="A47" s="607" t="s">
        <v>736</v>
      </c>
      <c r="B47" s="887"/>
      <c r="C47" s="2606" t="s">
        <v>1</v>
      </c>
      <c r="D47" s="2607"/>
      <c r="E47" s="2608">
        <v>61000</v>
      </c>
      <c r="F47" s="2609"/>
      <c r="G47" s="2610">
        <v>67077.81</v>
      </c>
      <c r="H47" s="2611"/>
      <c r="I47" s="2608">
        <v>67731.63</v>
      </c>
      <c r="J47" s="2611"/>
      <c r="K47" s="1611"/>
      <c r="L47" s="2144"/>
      <c r="M47" s="2145"/>
      <c r="N47" s="2134"/>
      <c r="O47" s="2145"/>
      <c r="P47" s="3944" t="str">
        <f>A47</f>
        <v>成交单价（元/平方米）</v>
      </c>
      <c r="Q47" s="3944"/>
      <c r="R47" s="3945">
        <f>E47</f>
        <v>61000</v>
      </c>
      <c r="S47" s="3945"/>
      <c r="T47" s="3945">
        <f>G47</f>
        <v>67077.81</v>
      </c>
      <c r="U47" s="3945"/>
      <c r="V47" s="3945">
        <f>I47</f>
        <v>67731.63</v>
      </c>
      <c r="W47" s="3945"/>
      <c r="X47" s="1559"/>
      <c r="Y47" s="1581"/>
      <c r="Z47" s="1559"/>
      <c r="AA47" s="1559"/>
      <c r="AB47" s="1559"/>
      <c r="AC47" s="1559"/>
    </row>
    <row r="48" spans="1:29" ht="15.75" thickBot="1">
      <c r="A48" s="615" t="s">
        <v>2761</v>
      </c>
      <c r="B48" s="888"/>
      <c r="C48" s="2612">
        <f>R49</f>
        <v>62434</v>
      </c>
      <c r="D48" s="2613"/>
      <c r="E48" s="2614">
        <f>R48</f>
        <v>58712</v>
      </c>
      <c r="F48" s="2614"/>
      <c r="G48" s="2612">
        <f>T48</f>
        <v>65603</v>
      </c>
      <c r="H48" s="2613"/>
      <c r="I48" s="2614">
        <f>V48</f>
        <v>62986</v>
      </c>
      <c r="J48" s="2613"/>
      <c r="K48" s="1612"/>
      <c r="L48" s="2144"/>
      <c r="M48" s="2145"/>
      <c r="N48" s="2134"/>
      <c r="O48" s="2145"/>
      <c r="P48" s="3944" t="str">
        <f>A48</f>
        <v>比较价格（元/平方米）</v>
      </c>
      <c r="Q48" s="3944"/>
      <c r="R48" s="3945">
        <f>IF(F1="售价",ROUND(PRODUCT(R47,AA7:AA46),0),ROUND(PRODUCT(R47,AA7:AA46),1))</f>
        <v>58712</v>
      </c>
      <c r="S48" s="3945"/>
      <c r="T48" s="3945">
        <f>IF(F1="售价",ROUND(PRODUCT(T47,AB7:AB46),0),ROUND(PRODUCT(T47,AB7:AB46),1))</f>
        <v>65603</v>
      </c>
      <c r="U48" s="3945"/>
      <c r="V48" s="3945">
        <f>IF(F1="售价",ROUND(PRODUCT(V47,AC7:AC46),0),ROUND(PRODUCT(V47,AC7:AC46),1))</f>
        <v>62986</v>
      </c>
      <c r="W48" s="3945"/>
      <c r="X48" s="1559"/>
      <c r="Y48" s="1559"/>
      <c r="Z48" s="1559"/>
      <c r="AA48" s="1559"/>
      <c r="AB48" s="1559"/>
      <c r="AC48" s="1559"/>
    </row>
    <row r="49" spans="1:29" ht="15.75" thickBot="1">
      <c r="A49" s="621" t="s">
        <v>2937</v>
      </c>
      <c r="B49" s="622"/>
      <c r="C49" s="2615">
        <f>R49</f>
        <v>62434</v>
      </c>
      <c r="D49" s="2615"/>
      <c r="E49" s="2615"/>
      <c r="F49" s="2615"/>
      <c r="G49" s="2615"/>
      <c r="H49" s="2615"/>
      <c r="I49" s="2615"/>
      <c r="J49" s="2615"/>
      <c r="K49" s="1613"/>
      <c r="L49" s="2144"/>
      <c r="M49" s="2145"/>
      <c r="N49" s="2134"/>
      <c r="O49" s="2145"/>
      <c r="P49" s="3946" t="str">
        <f>A49</f>
        <v>估价对象XX用房的比较价格（楼面单价，元/平方米）</v>
      </c>
      <c r="Q49" s="3947"/>
      <c r="R49" s="3948">
        <f>IF(F1="售价",ROUND(AVERAGE(R48:V48),0),ROUND(AVERAGE(R48:V48),1))</f>
        <v>62434</v>
      </c>
      <c r="S49" s="3948"/>
      <c r="T49" s="3948"/>
      <c r="U49" s="3948"/>
      <c r="V49" s="3948"/>
      <c r="W49" s="394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3.8969886905573015E-2</v>
      </c>
      <c r="F52" s="627" t="str">
        <f>IF(OR(E52&gt;=0.3,E52&lt;=-0.3),"超过30%","")</f>
        <v/>
      </c>
      <c r="G52" s="626">
        <f>IF(G47&lt;G48,G48/G47-1,G47/G48-1)</f>
        <v>2.2480831669283274E-2</v>
      </c>
      <c r="H52" s="627" t="str">
        <f>IF(OR(G52&gt;=0.3,G52&lt;=-0.3),"超过30%","")</f>
        <v/>
      </c>
      <c r="I52" s="626">
        <f>IF(I47&lt;I48,I48/I47-1,I47/I48-1)</f>
        <v>7.5344203473787896E-2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0.11736953263387373</v>
      </c>
      <c r="F53" s="627" t="str">
        <f>IF(OR(E53&gt;=0.2,E53&lt;=-0.2),"超过20%","")</f>
        <v/>
      </c>
      <c r="G53" s="626">
        <f>IF(G48&lt;I48,I48/G48-1,G48/I48-1)</f>
        <v>4.1548915632045214E-2</v>
      </c>
      <c r="H53" s="627" t="str">
        <f>IF(OR(G53&gt;=0.2,G53&lt;=-0.2),"超过20%","")</f>
        <v/>
      </c>
      <c r="I53" s="626">
        <f>IF(I48&lt;E48,E48/I48-1,I48/E48-1)</f>
        <v>7.2796021256301913E-2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9.9636229508196728E-2</v>
      </c>
      <c r="F54" s="627" t="str">
        <f>IF(OR(E54&gt;=0.3,E54&lt;=-0.3),"超过30%","")</f>
        <v/>
      </c>
      <c r="G54" s="626">
        <f>IF(G47&lt;I47,I47/G47-1,G47/I47-1)</f>
        <v>9.7471876317967165E-3</v>
      </c>
      <c r="H54" s="627" t="str">
        <f>IF(OR(G54&gt;=0.3,G54&lt;=-0.3),"超过30%","")</f>
        <v/>
      </c>
      <c r="I54" s="626">
        <f>IF(I47&lt;E47,E47/I47-1,I47/E47-1)</f>
        <v>0.11035459016393445</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3576" t="s">
        <v>3253</v>
      </c>
      <c r="D86" s="3576" t="s">
        <v>3254</v>
      </c>
      <c r="E86" s="3576" t="s">
        <v>3255</v>
      </c>
      <c r="F86" s="3576" t="s">
        <v>3256</v>
      </c>
      <c r="G86" s="3576" t="s">
        <v>3257</v>
      </c>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3578" t="s">
        <v>3260</v>
      </c>
      <c r="D90" s="3578" t="s">
        <v>3259</v>
      </c>
      <c r="E90" s="3578" t="s">
        <v>3261</v>
      </c>
      <c r="F90" s="3578" t="s">
        <v>3262</v>
      </c>
      <c r="G90" s="3578" t="s">
        <v>3263</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v>1</v>
      </c>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3579" t="s">
        <v>3265</v>
      </c>
      <c r="D100" s="3579" t="s">
        <v>3267</v>
      </c>
      <c r="E100" s="3579" t="s">
        <v>3269</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0(含)-300</v>
      </c>
      <c r="D102" s="708" t="str">
        <f t="shared" ref="D102:L102" si="22">D103&amp;"(含)"&amp;"-"&amp;E103</f>
        <v>300(含)-600</v>
      </c>
      <c r="E102" s="708" t="str">
        <f t="shared" si="22"/>
        <v>600(含)-900</v>
      </c>
      <c r="F102" s="708" t="str">
        <f t="shared" si="22"/>
        <v>900(含)-1200</v>
      </c>
      <c r="G102" s="708" t="str">
        <f t="shared" si="22"/>
        <v>1200(含)-1500</v>
      </c>
      <c r="H102" s="708" t="str">
        <f t="shared" si="22"/>
        <v>1500(含)-1800</v>
      </c>
      <c r="I102" s="708" t="str">
        <f t="shared" si="22"/>
        <v>1800(含)-2100</v>
      </c>
      <c r="J102" s="708" t="str">
        <f t="shared" si="22"/>
        <v>2100(含)-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300</v>
      </c>
      <c r="E103" s="730">
        <v>600</v>
      </c>
      <c r="F103" s="730">
        <v>900</v>
      </c>
      <c r="G103" s="730">
        <v>1200</v>
      </c>
      <c r="H103" s="730">
        <v>1500</v>
      </c>
      <c r="I103" s="730">
        <v>1800</v>
      </c>
      <c r="J103" s="731">
        <v>2100</v>
      </c>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99</v>
      </c>
      <c r="E104" s="671">
        <v>98</v>
      </c>
      <c r="F104" s="671">
        <v>97</v>
      </c>
      <c r="G104" s="671">
        <v>96</v>
      </c>
      <c r="H104" s="671">
        <v>95</v>
      </c>
      <c r="I104" s="671">
        <v>94</v>
      </c>
      <c r="J104" s="671">
        <v>93</v>
      </c>
      <c r="K104" s="671">
        <v>92</v>
      </c>
      <c r="L104" s="671">
        <v>91</v>
      </c>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578" t="s">
        <v>3270</v>
      </c>
      <c r="D105" s="3578" t="s">
        <v>3271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578" t="s">
        <v>3273</v>
      </c>
      <c r="D107" s="3578" t="s">
        <v>3275</v>
      </c>
      <c r="E107" s="3578" t="s">
        <v>3277</v>
      </c>
      <c r="F107" s="3580" t="s">
        <v>3278</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3578" t="s">
        <v>3279</v>
      </c>
      <c r="D112" s="3578" t="s">
        <v>3280</v>
      </c>
      <c r="E112" s="3578" t="s">
        <v>3281</v>
      </c>
      <c r="F112" s="3578" t="s">
        <v>3282</v>
      </c>
      <c r="G112" s="3578" t="s">
        <v>3283</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578" t="s">
        <v>3285</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578" t="s">
        <v>3273</v>
      </c>
      <c r="D122" s="3578" t="s">
        <v>3275</v>
      </c>
      <c r="E122" s="3578" t="s">
        <v>3277</v>
      </c>
      <c r="F122" s="3580" t="s">
        <v>3278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建成年份</v>
      </c>
      <c r="C126" s="688">
        <v>2012</v>
      </c>
      <c r="D126" s="688">
        <v>2008</v>
      </c>
      <c r="E126" s="688">
        <v>2006</v>
      </c>
      <c r="F126" s="688">
        <v>2011</v>
      </c>
      <c r="G126" s="688">
        <v>2007</v>
      </c>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98</v>
      </c>
      <c r="E127" s="671">
        <v>97</v>
      </c>
      <c r="F127" s="671">
        <v>99.5</v>
      </c>
      <c r="G127" s="692">
        <v>97.5</v>
      </c>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D22" sqref="D2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2996</v>
      </c>
      <c r="D1" s="3101" t="s">
        <v>3015</v>
      </c>
      <c r="E1" s="2366" t="s">
        <v>2375</v>
      </c>
      <c r="F1" s="2367">
        <f ca="1">J53</f>
        <v>38</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7222</v>
      </c>
      <c r="C2" s="2057"/>
      <c r="D2" s="2055"/>
      <c r="E2" s="2056"/>
      <c r="F2" s="2056"/>
      <c r="G2" s="1590"/>
      <c r="H2" s="2057"/>
      <c r="I2" s="2057"/>
      <c r="J2" s="2057"/>
      <c r="K2" s="2058"/>
      <c r="L2" s="2057"/>
      <c r="M2" s="2057"/>
    </row>
    <row r="3" spans="1:33" ht="18" customHeight="1" thickBot="1">
      <c r="A3" s="833" t="s">
        <v>1728</v>
      </c>
      <c r="B3" s="834">
        <f ca="1">IF(ISERROR(B2*10000/F43),0,ROUND(B2*10000/F43,0))</f>
        <v>40578</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309</v>
      </c>
      <c r="D5" s="2475" t="s">
        <v>2462</v>
      </c>
      <c r="E5" s="2469"/>
      <c r="F5" s="2470"/>
      <c r="G5" s="1592"/>
      <c r="H5" s="781">
        <v>1</v>
      </c>
      <c r="I5" s="782" t="s">
        <v>2459</v>
      </c>
      <c r="J5" s="55">
        <f ca="1">J6+J10+J12</f>
        <v>0</v>
      </c>
      <c r="K5" s="2475" t="s">
        <v>2462</v>
      </c>
      <c r="L5" s="2469"/>
      <c r="M5" s="2470"/>
    </row>
    <row r="6" spans="1:33" ht="18" customHeight="1">
      <c r="A6" s="1830" t="s">
        <v>1825</v>
      </c>
      <c r="B6" s="3987" t="s">
        <v>2464</v>
      </c>
      <c r="C6" s="783">
        <f ca="1">ROUND(F6*F8*F7*(1-F9)/10000,0)</f>
        <v>309</v>
      </c>
      <c r="D6" s="2476" t="s">
        <v>2463</v>
      </c>
      <c r="E6" s="784" t="s">
        <v>1739</v>
      </c>
      <c r="F6" s="785">
        <f ca="1">INDIRECT("'数据-取费表'!u"&amp;$G$1)</f>
        <v>5</v>
      </c>
      <c r="G6" s="1592"/>
      <c r="H6" s="2483" t="s">
        <v>2469</v>
      </c>
      <c r="I6" s="3987" t="s">
        <v>2464</v>
      </c>
      <c r="J6" s="783">
        <f ca="1">ROUND(M6*M8*M7*(1-M9)/10000,0)</f>
        <v>0</v>
      </c>
      <c r="K6" s="341" t="s">
        <v>1738</v>
      </c>
      <c r="L6" s="784" t="s">
        <v>1739</v>
      </c>
      <c r="M6" s="785">
        <f ca="1">INDIRECT("'数据-取费表'!z"&amp;$G$1)</f>
        <v>0</v>
      </c>
    </row>
    <row r="7" spans="1:33" ht="18" customHeight="1">
      <c r="A7" s="2479"/>
      <c r="B7" s="3988"/>
      <c r="C7" s="788"/>
      <c r="D7" s="789"/>
      <c r="E7" s="784" t="s">
        <v>1740</v>
      </c>
      <c r="F7" s="785">
        <f ca="1">IF(INDIRECT("'数据-取费表'!ah"&amp;$G$1)="",INDIRECT("'数据-取费表'!k"&amp;$G$1),INDIRECT("'数据-取费表'!ah"&amp;$G$1))</f>
        <v>1779.8</v>
      </c>
      <c r="G7" s="1592"/>
      <c r="H7" s="2468"/>
      <c r="I7" s="3988"/>
      <c r="J7" s="788"/>
      <c r="K7" s="789"/>
      <c r="L7" s="784" t="s">
        <v>1740</v>
      </c>
      <c r="M7" s="785">
        <f ca="1">F7</f>
        <v>1779.8</v>
      </c>
    </row>
    <row r="8" spans="1:33" ht="18" customHeight="1">
      <c r="A8" s="2472"/>
      <c r="B8" s="3989"/>
      <c r="C8" s="788"/>
      <c r="D8" s="789"/>
      <c r="E8" s="784" t="s">
        <v>1741</v>
      </c>
      <c r="F8" s="785">
        <f ca="1">INDIRECT("'数据-取费表'!ai"&amp;$G$1)</f>
        <v>365</v>
      </c>
      <c r="G8" s="1592"/>
      <c r="H8" s="2468"/>
      <c r="I8" s="3989"/>
      <c r="J8" s="788"/>
      <c r="K8" s="789"/>
      <c r="L8" s="784" t="s">
        <v>1741</v>
      </c>
      <c r="M8" s="785">
        <f ca="1">INDIRECT("'数据-取费表'!ai"&amp;$G$1)</f>
        <v>365</v>
      </c>
    </row>
    <row r="9" spans="1:33" ht="18" customHeight="1">
      <c r="A9" s="786"/>
      <c r="B9" s="3990"/>
      <c r="C9" s="788"/>
      <c r="D9" s="789"/>
      <c r="E9" s="784" t="s">
        <v>1742</v>
      </c>
      <c r="F9" s="794">
        <f ca="1">INDIRECT("'数据-取费表'!w"&amp;$G$1)</f>
        <v>0.05</v>
      </c>
      <c r="G9" s="1592"/>
      <c r="H9" s="2484"/>
      <c r="I9" s="3989"/>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3014</v>
      </c>
      <c r="G10" s="1592"/>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853</v>
      </c>
      <c r="D13" s="1834" t="s">
        <v>2298</v>
      </c>
      <c r="E13" s="1834" t="s">
        <v>1745</v>
      </c>
      <c r="F13" s="2515">
        <f ca="1">INDIRECT("'数据-取费表'!y"&amp;$G$1)</f>
        <v>0.9</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623</v>
      </c>
      <c r="D14" s="1979" t="s">
        <v>1746</v>
      </c>
      <c r="E14" s="1980"/>
      <c r="F14" s="805"/>
      <c r="G14" s="1592"/>
      <c r="H14" s="1649" t="s">
        <v>1831</v>
      </c>
      <c r="I14" s="2231" t="s">
        <v>2826</v>
      </c>
      <c r="J14" s="53">
        <f ca="1">C29</f>
        <v>948</v>
      </c>
      <c r="K14" s="26"/>
      <c r="L14" s="801"/>
      <c r="M14" s="802"/>
    </row>
    <row r="15" spans="1:33" s="2064" customFormat="1" ht="18" customHeight="1" thickBot="1">
      <c r="A15" s="1648" t="s">
        <v>1886</v>
      </c>
      <c r="B15" s="784" t="s">
        <v>647</v>
      </c>
      <c r="C15" s="53">
        <f ca="1">ROUND(C14*F15,0)</f>
        <v>19</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18</v>
      </c>
      <c r="K16" s="1821" t="s">
        <v>1751</v>
      </c>
      <c r="L16" s="2465"/>
      <c r="M16" s="2470"/>
    </row>
    <row r="17" spans="1:33" s="2064" customFormat="1" ht="18" customHeight="1">
      <c r="A17" s="1648" t="s">
        <v>1888</v>
      </c>
      <c r="B17" s="784" t="s">
        <v>653</v>
      </c>
      <c r="C17" s="53">
        <f ca="1">ROUND(F17*(F43+INDIRECT("'数据-取费表'!S"&amp;$G$1))/10000,0)</f>
        <v>36</v>
      </c>
      <c r="D17" s="784" t="s">
        <v>1752</v>
      </c>
      <c r="E17" s="784" t="s">
        <v>1753</v>
      </c>
      <c r="F17" s="56">
        <f>'数据-取费表'!B35</f>
        <v>200</v>
      </c>
      <c r="G17" s="1593"/>
      <c r="H17" s="1649" t="s">
        <v>1831</v>
      </c>
      <c r="I17" s="784" t="s">
        <v>656</v>
      </c>
      <c r="J17" s="53">
        <f ca="1">ROUND(IF(项目基本情况!B11="自然人",J5*M17,J18+J19+J20),0)</f>
        <v>9</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9</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687</v>
      </c>
      <c r="D19" s="261" t="s">
        <v>1758</v>
      </c>
      <c r="E19" s="1982"/>
      <c r="F19" s="56"/>
      <c r="G19" s="1592"/>
      <c r="H19" s="1648" t="s">
        <v>1886</v>
      </c>
      <c r="I19" s="784" t="s">
        <v>1759</v>
      </c>
      <c r="J19" s="53">
        <f ca="1">IF(K19="按租金收入计税",ROUND(J5*M19,1),ROUND(C29*F33*0.7,1))</f>
        <v>8</v>
      </c>
      <c r="K19" s="811" t="s">
        <v>665</v>
      </c>
      <c r="L19" s="784" t="s">
        <v>1748</v>
      </c>
      <c r="M19" s="809">
        <f>IF(K19="按租金收入计税",'数据-取费表'!B51,'数据-取费表'!B50)</f>
        <v>1.2E-2</v>
      </c>
    </row>
    <row r="20" spans="1:33" s="2064" customFormat="1" ht="18" customHeight="1">
      <c r="A20" s="1649" t="s">
        <v>1890</v>
      </c>
      <c r="B20" s="784" t="s">
        <v>666</v>
      </c>
      <c r="C20" s="53">
        <f ca="1">ROUND(C19*F20,0)</f>
        <v>14</v>
      </c>
      <c r="D20" s="812" t="s">
        <v>1760</v>
      </c>
      <c r="E20" s="784" t="s">
        <v>1748</v>
      </c>
      <c r="F20" s="809">
        <f>'数据-取费表'!B37</f>
        <v>0.02</v>
      </c>
      <c r="G20" s="1593"/>
      <c r="H20" s="1651" t="s">
        <v>1881</v>
      </c>
      <c r="I20" s="341" t="s">
        <v>1761</v>
      </c>
      <c r="J20" s="54">
        <f ca="1">ROUND(M20*M21/10000,0)</f>
        <v>1</v>
      </c>
      <c r="K20" s="814" t="s">
        <v>1762</v>
      </c>
      <c r="L20" s="784" t="s">
        <v>1763</v>
      </c>
      <c r="M20" s="640">
        <f>'数据-取费表'!B52</f>
        <v>30</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485"/>
      <c r="I21" s="793"/>
      <c r="J21" s="69"/>
      <c r="K21" s="816"/>
      <c r="L21" s="784" t="s">
        <v>1767</v>
      </c>
      <c r="M21" s="785">
        <f ca="1">INDIRECT("'数据-取费表'!r"&amp;$G$1)</f>
        <v>182.98</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9</v>
      </c>
      <c r="K22" s="2463" t="s">
        <v>1770</v>
      </c>
      <c r="L22" s="784" t="s">
        <v>1748</v>
      </c>
      <c r="M22" s="817">
        <f ca="1">INDIRECT("'数据-取费表'!Ak"&amp;$G$1)</f>
        <v>0.01</v>
      </c>
    </row>
    <row r="23" spans="1:33" s="2064" customFormat="1" ht="18" customHeight="1">
      <c r="A23" s="1648" t="s">
        <v>1832</v>
      </c>
      <c r="B23" s="784" t="s">
        <v>2536</v>
      </c>
      <c r="C23" s="53">
        <f ca="1">ROUND(IF('数据-取费表'!B22&lt;=1,(C19+C20)*F24*F23/2,(C19+C20)*(POWER((1+F24),F23/2)-1)),0)</f>
        <v>33</v>
      </c>
      <c r="D23" s="255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63" t="s">
        <v>1772</v>
      </c>
      <c r="L23" s="784" t="s">
        <v>1748</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2822</v>
      </c>
      <c r="J25" s="792">
        <f ca="1">J5-J16</f>
        <v>-18</v>
      </c>
      <c r="K25" s="2527" t="s">
        <v>1778</v>
      </c>
      <c r="L25" s="2528"/>
      <c r="M25" s="2529"/>
    </row>
    <row r="26" spans="1:33" ht="18" customHeight="1">
      <c r="A26" s="1648" t="s">
        <v>1832</v>
      </c>
      <c r="B26" s="784" t="s">
        <v>2439</v>
      </c>
      <c r="C26" s="53">
        <f ca="1">ROUND((C19+C20)*F26,0)</f>
        <v>140</v>
      </c>
      <c r="D26" s="812" t="s">
        <v>1779</v>
      </c>
      <c r="E26" s="795" t="s">
        <v>1780</v>
      </c>
      <c r="F26" s="794">
        <f ca="1">INDIRECT("'数据-取费表'!q"&amp;$G$1)</f>
        <v>0.2</v>
      </c>
      <c r="G26" s="1592"/>
      <c r="H26" s="2481" t="s">
        <v>1781</v>
      </c>
      <c r="I26" s="2232" t="s">
        <v>2827</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4.0000000000000001E-3</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948</v>
      </c>
      <c r="D29" s="2524"/>
      <c r="E29" s="2525"/>
      <c r="F29" s="2526"/>
      <c r="G29" s="1593"/>
      <c r="H29" s="823" t="s">
        <v>1788</v>
      </c>
      <c r="I29" s="824" t="s">
        <v>1789</v>
      </c>
      <c r="J29" s="825">
        <f ca="1">ROUND(J26/(1+F40)^F41,0)</f>
        <v>0</v>
      </c>
      <c r="K29" s="826" t="s">
        <v>1790</v>
      </c>
      <c r="L29" s="827"/>
      <c r="M29" s="828">
        <f ca="1">INDIRECT("'数据-取费表'!k"&amp;$G$1)</f>
        <v>1779.8</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39</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25</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16.5</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8</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0.5</v>
      </c>
      <c r="D34" s="814" t="s">
        <v>1800</v>
      </c>
      <c r="E34" s="784" t="s">
        <v>1801</v>
      </c>
      <c r="F34" s="640">
        <f>'数据-取费表'!B52</f>
        <v>30</v>
      </c>
      <c r="G34" s="2062"/>
      <c r="H34" s="2065"/>
      <c r="I34" s="835" t="s">
        <v>1814</v>
      </c>
      <c r="J34" s="836"/>
      <c r="K34" s="2080"/>
      <c r="L34" s="2079"/>
      <c r="M34" s="2079"/>
    </row>
    <row r="35" spans="1:18" ht="18" customHeight="1">
      <c r="A35" s="815"/>
      <c r="B35" s="793"/>
      <c r="C35" s="69"/>
      <c r="D35" s="816"/>
      <c r="E35" s="784" t="s">
        <v>1802</v>
      </c>
      <c r="F35" s="785">
        <f ca="1">INDIRECT("'数据-取费表'!r"&amp;$G$1)</f>
        <v>182.98</v>
      </c>
      <c r="G35" s="2062"/>
      <c r="H35" s="2065"/>
      <c r="I35" s="837" t="s">
        <v>1815</v>
      </c>
      <c r="J35" s="838">
        <f ca="1">ROUND(C13*J36,0)</f>
        <v>73</v>
      </c>
      <c r="K35" s="2078"/>
      <c r="L35" s="2077"/>
      <c r="M35" s="2077"/>
    </row>
    <row r="36" spans="1:18" ht="18" customHeight="1">
      <c r="A36" s="1649" t="s">
        <v>1890</v>
      </c>
      <c r="B36" s="784" t="s">
        <v>1803</v>
      </c>
      <c r="C36" s="53">
        <f ca="1">ROUND(C29*F36,1)</f>
        <v>9.5</v>
      </c>
      <c r="D36" s="1977" t="s">
        <v>1804</v>
      </c>
      <c r="E36" s="784" t="s">
        <v>1797</v>
      </c>
      <c r="F36" s="817">
        <f ca="1">INDIRECT("'数据-取费表'!Ak"&amp;$G$1)</f>
        <v>0.01</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0.9</v>
      </c>
      <c r="D37" s="1977" t="s">
        <v>1805</v>
      </c>
      <c r="E37" s="784" t="s">
        <v>1797</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3.1</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2822</v>
      </c>
      <c r="C39" s="792">
        <f ca="1">C5-C30</f>
        <v>270</v>
      </c>
      <c r="D39" s="2527" t="s">
        <v>1807</v>
      </c>
      <c r="E39" s="2528"/>
      <c r="F39" s="2529"/>
      <c r="G39" s="2062"/>
      <c r="H39" s="2077"/>
      <c r="I39" s="837" t="s">
        <v>1819</v>
      </c>
      <c r="J39" s="845">
        <f ca="1">ROUND(J35/C39,3)</f>
        <v>0.27</v>
      </c>
      <c r="K39" s="2083"/>
      <c r="L39" s="2077"/>
      <c r="M39" s="2077"/>
    </row>
    <row r="40" spans="1:18" ht="18" customHeight="1">
      <c r="A40" s="781" t="s">
        <v>1896</v>
      </c>
      <c r="B40" s="2232" t="s">
        <v>2302</v>
      </c>
      <c r="C40" s="783">
        <f ca="1">ROUND(C39*(1-((1+F42)/(1+F40))^F41)/(F40-F42),0)</f>
        <v>7222</v>
      </c>
      <c r="D40" s="814" t="s">
        <v>1808</v>
      </c>
      <c r="E40" s="784" t="s">
        <v>2420</v>
      </c>
      <c r="F40" s="794">
        <f ca="1">INDIRECT("'数据-取费表'!I"&amp;$G$1)</f>
        <v>5.5E-2</v>
      </c>
      <c r="G40" s="2062"/>
      <c r="H40" s="2062"/>
      <c r="I40" s="837" t="s">
        <v>1820</v>
      </c>
      <c r="J40" s="845">
        <f ca="1">1-J39</f>
        <v>0.73</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40</v>
      </c>
      <c r="G41" s="2062"/>
      <c r="H41" s="1988"/>
      <c r="I41" s="843" t="s">
        <v>1821</v>
      </c>
      <c r="J41" s="846"/>
      <c r="K41" s="2082"/>
      <c r="L41" s="1988"/>
      <c r="M41" s="1988"/>
    </row>
    <row r="42" spans="1:18" ht="18" customHeight="1">
      <c r="A42" s="790"/>
      <c r="B42" s="791"/>
      <c r="C42" s="792"/>
      <c r="D42" s="816"/>
      <c r="E42" s="784" t="s">
        <v>1810</v>
      </c>
      <c r="F42" s="794">
        <f ca="1">INDIRECT("'数据-取费表'!v"&amp;$G$1)</f>
        <v>3.5000000000000003E-2</v>
      </c>
      <c r="G42" s="2062"/>
      <c r="H42" s="1988"/>
      <c r="I42" s="847" t="s">
        <v>1822</v>
      </c>
      <c r="J42" s="845">
        <f ca="1">ROUND(C13/C40,3)</f>
        <v>0.11799999999999999</v>
      </c>
      <c r="K42" s="2082"/>
      <c r="L42" s="1988"/>
      <c r="M42" s="1988"/>
    </row>
    <row r="43" spans="1:18" ht="18" customHeight="1" thickBot="1">
      <c r="A43" s="823" t="s">
        <v>1788</v>
      </c>
      <c r="B43" s="824" t="s">
        <v>1811</v>
      </c>
      <c r="C43" s="825">
        <f ca="1">ROUND(C40*10000/F43,0)</f>
        <v>40578</v>
      </c>
      <c r="D43" s="826" t="s">
        <v>1812</v>
      </c>
      <c r="E43" s="827" t="s">
        <v>1813</v>
      </c>
      <c r="F43" s="828">
        <f ca="1">INDIRECT("'数据-取费表'!k"&amp;$G$1)</f>
        <v>1779.8</v>
      </c>
      <c r="G43" s="2062"/>
      <c r="H43" s="1988"/>
      <c r="I43" s="847" t="s">
        <v>1823</v>
      </c>
      <c r="J43" s="848">
        <f ca="1">1-J42</f>
        <v>0.88200000000000001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-7527</v>
      </c>
      <c r="D46" s="2085"/>
      <c r="E46" s="2085"/>
      <c r="F46" s="2085"/>
      <c r="I46" s="2357" t="s">
        <v>2344</v>
      </c>
      <c r="J46" s="2358"/>
      <c r="K46" s="2359"/>
      <c r="L46" s="3133">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3" t="s">
        <v>2345</v>
      </c>
      <c r="J47" s="2360" t="s">
        <v>3016</v>
      </c>
      <c r="K47" s="3130" t="s">
        <v>2350</v>
      </c>
      <c r="L47" s="3134">
        <f ca="1">INDIRECT("'数据-取费表'!d"&amp;$G$1)</f>
        <v>40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v>0</v>
      </c>
      <c r="G48" s="2090"/>
      <c r="I48" s="3102" t="s">
        <v>2346</v>
      </c>
      <c r="J48" s="2361" t="s">
        <v>2351</v>
      </c>
      <c r="K48" s="3131" t="s">
        <v>2352</v>
      </c>
      <c r="L48" s="1908">
        <f ca="1">INDIRECT("'数据-取费表'!f"&amp;$G$1)</f>
        <v>40</v>
      </c>
      <c r="O48" s="2377" t="s">
        <v>2380</v>
      </c>
      <c r="P48" s="2378" t="s">
        <v>2406</v>
      </c>
      <c r="Q48" s="2379">
        <f ca="1">C40+J29</f>
        <v>7222</v>
      </c>
      <c r="R48" s="2378" t="s">
        <v>2381</v>
      </c>
    </row>
    <row r="49" spans="1:18" s="2059" customFormat="1" ht="18" customHeight="1" thickBot="1">
      <c r="A49" s="786"/>
      <c r="B49" s="787"/>
      <c r="C49" s="788"/>
      <c r="D49" s="789"/>
      <c r="E49" s="784" t="s">
        <v>1740</v>
      </c>
      <c r="F49" s="785">
        <f ca="1">F7</f>
        <v>1779.8</v>
      </c>
      <c r="G49" s="2090"/>
      <c r="H49" s="2093"/>
      <c r="I49" s="3102" t="s">
        <v>2347</v>
      </c>
      <c r="J49" s="2362"/>
      <c r="K49" s="3132" t="s">
        <v>2353</v>
      </c>
      <c r="L49" s="2363"/>
      <c r="O49" s="2377" t="s">
        <v>2382</v>
      </c>
      <c r="P49" s="2378" t="s">
        <v>2407</v>
      </c>
      <c r="Q49" s="2379">
        <f ca="1">J60</f>
        <v>379</v>
      </c>
      <c r="R49" s="2378" t="s">
        <v>2383</v>
      </c>
    </row>
    <row r="50" spans="1:18" s="2059" customFormat="1" ht="18" customHeight="1" thickBot="1">
      <c r="A50" s="786"/>
      <c r="B50" s="787"/>
      <c r="C50" s="788"/>
      <c r="D50" s="789"/>
      <c r="E50" s="784" t="s">
        <v>1741</v>
      </c>
      <c r="F50" s="785">
        <f ca="1">F8</f>
        <v>365</v>
      </c>
      <c r="G50" s="2095"/>
      <c r="H50" s="2093"/>
      <c r="I50" s="3102" t="s">
        <v>2348</v>
      </c>
      <c r="J50" s="3127">
        <f>SUMPRODUCT((I63:I65=J47)*(J62:L62=J48)*(J63:L65))</f>
        <v>60</v>
      </c>
      <c r="K50" s="3132" t="s">
        <v>2354</v>
      </c>
      <c r="L50" s="2363"/>
      <c r="O50" s="2380" t="s">
        <v>2384</v>
      </c>
      <c r="P50" s="2378" t="s">
        <v>2408</v>
      </c>
      <c r="Q50" s="2379">
        <f ca="1">C29</f>
        <v>948</v>
      </c>
      <c r="R50" s="2378" t="s">
        <v>2381</v>
      </c>
    </row>
    <row r="51" spans="1:18" s="2059" customFormat="1" ht="18" customHeight="1" thickBot="1">
      <c r="A51" s="786"/>
      <c r="B51" s="787"/>
      <c r="C51" s="788"/>
      <c r="D51" s="789"/>
      <c r="E51" s="784" t="s">
        <v>640</v>
      </c>
      <c r="F51" s="2350">
        <v>0</v>
      </c>
      <c r="H51" s="2093"/>
      <c r="I51" s="3124" t="s">
        <v>2349</v>
      </c>
      <c r="J51" s="3128">
        <f>IF(J49="",J50,J49+J50-YEAR('数据-取费表'!B2))</f>
        <v>60</v>
      </c>
      <c r="K51" s="3102" t="s">
        <v>2355</v>
      </c>
      <c r="L51" s="3135">
        <f ca="1">ROUND(-PV(INDIRECT("'数据-取费表'!h"&amp;$G$1),L48,(C39-C13*J36),0),0)</f>
        <v>3389</v>
      </c>
      <c r="O51" s="2380" t="s">
        <v>2385</v>
      </c>
      <c r="P51" s="2378" t="s">
        <v>2386</v>
      </c>
      <c r="Q51" s="2381">
        <f ca="1">J58</f>
        <v>0.4</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t="s">
        <v>3014</v>
      </c>
      <c r="I52" s="3125" t="s">
        <v>2422</v>
      </c>
      <c r="J52" s="2364"/>
      <c r="K52" s="3125"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38</v>
      </c>
      <c r="K53" s="3985" t="s">
        <v>2968</v>
      </c>
      <c r="L53" s="3986"/>
      <c r="O53" s="2380" t="s">
        <v>2389</v>
      </c>
      <c r="P53" s="2378" t="s">
        <v>2390</v>
      </c>
      <c r="Q53" s="2379">
        <f ca="1">J53</f>
        <v>38</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7601</v>
      </c>
      <c r="R54" s="2382" t="s">
        <v>2393</v>
      </c>
    </row>
    <row r="55" spans="1:18" s="2059" customFormat="1" ht="18" customHeight="1" thickTop="1" thickBot="1">
      <c r="A55" s="797">
        <v>2</v>
      </c>
      <c r="B55" s="798" t="s">
        <v>644</v>
      </c>
      <c r="C55" s="799">
        <f ca="1">C13</f>
        <v>853</v>
      </c>
      <c r="D55" s="795"/>
      <c r="E55" s="795"/>
      <c r="F55" s="800"/>
      <c r="I55" s="3138" t="s">
        <v>2356</v>
      </c>
      <c r="J55" s="3077">
        <f ca="1">ROUND(IF(J47="钢混",J57/J50,1-(1-2%)*(J50-J57)/J50),3)</f>
        <v>0.33300000000000002</v>
      </c>
      <c r="K55" s="3139" t="s">
        <v>2357</v>
      </c>
      <c r="L55" s="2365"/>
      <c r="O55" s="2383" t="s">
        <v>2412</v>
      </c>
      <c r="P55" s="1592"/>
      <c r="Q55" s="1604"/>
      <c r="R55" s="1592"/>
    </row>
    <row r="56" spans="1:18" s="2059" customFormat="1" ht="42.75" customHeight="1" thickBot="1">
      <c r="A56" s="1650"/>
      <c r="B56" s="2231" t="s">
        <v>2303</v>
      </c>
      <c r="C56" s="53">
        <f ca="1">C29</f>
        <v>948</v>
      </c>
      <c r="D56" s="2618"/>
      <c r="E56" s="784"/>
      <c r="F56" s="809"/>
      <c r="I56" s="3140" t="s">
        <v>2358</v>
      </c>
      <c r="J56" s="3150" t="s">
        <v>3024</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19</v>
      </c>
      <c r="D57" s="26" t="s">
        <v>1751</v>
      </c>
      <c r="E57" s="2619"/>
      <c r="F57" s="56"/>
      <c r="I57" s="3141" t="s">
        <v>2359</v>
      </c>
      <c r="J57" s="3142">
        <f ca="1">IF(OR(M47="住宅",J51&lt;L48,J56="是"),"——",J51-L48)</f>
        <v>20</v>
      </c>
      <c r="K57" s="3102" t="s">
        <v>2364</v>
      </c>
      <c r="L57" s="1908" t="str">
        <f ca="1">IF(L48&lt;J51,"——",IF(L55="比较法",L49,IF(L55="基准地价",L50,L51)))</f>
        <v>——</v>
      </c>
      <c r="O57" s="2377" t="s">
        <v>2380</v>
      </c>
      <c r="P57" s="2378" t="s">
        <v>2410</v>
      </c>
      <c r="Q57" s="2379">
        <f ca="1">C40+J29</f>
        <v>7222</v>
      </c>
      <c r="R57" s="2378" t="s">
        <v>2381</v>
      </c>
    </row>
    <row r="58" spans="1:18" s="2059" customFormat="1" ht="28.5" customHeight="1" thickBot="1">
      <c r="A58" s="1649" t="s">
        <v>1825</v>
      </c>
      <c r="B58" s="784" t="s">
        <v>656</v>
      </c>
      <c r="C58" s="53">
        <f ca="1">ROUND(IF(项目基本情况!B11="自然人",C47*F58,C59+C60+C61),1)</f>
        <v>8.5</v>
      </c>
      <c r="D58" s="2617" t="s">
        <v>657</v>
      </c>
      <c r="E58" s="2618" t="s">
        <v>690</v>
      </c>
      <c r="F58" s="810" t="str">
        <f ca="1">IF(项目基本情况!B11="企业","",IF(INDIRECT("'数据-取费表'!c"&amp;$G$1)="住宅",5%,IF(F48*F49*F50/12/(1+'数据-取费表'!C42)&gt;20000,12%,7%)))</f>
        <v/>
      </c>
      <c r="I58" s="3141" t="s">
        <v>2360</v>
      </c>
      <c r="J58" s="3078">
        <f ca="1">IF(J55&lt;0.4,0.4,J55)</f>
        <v>0.4</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1" t="s">
        <v>2361</v>
      </c>
      <c r="J59" s="3142">
        <f ca="1">IF(OR(M47="住宅",J51&lt;L48,J56="是"),"——",ROUND(C29*J58,0))</f>
        <v>379</v>
      </c>
      <c r="K59" s="3102"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8</v>
      </c>
      <c r="D60" s="2618" t="str">
        <f>D33</f>
        <v>按房产原值计税</v>
      </c>
      <c r="E60" s="784" t="s">
        <v>1748</v>
      </c>
      <c r="F60" s="809">
        <f t="shared" si="0"/>
        <v>1.2E-2</v>
      </c>
      <c r="I60" s="3143" t="s">
        <v>2362</v>
      </c>
      <c r="J60" s="3144">
        <f ca="1">IF(OR(M47="住宅",J51&lt;L48,J56="是"),"0",ROUND(J59/(1+J52)^J53,0))</f>
        <v>379</v>
      </c>
      <c r="K60" s="3145" t="s">
        <v>2367</v>
      </c>
      <c r="L60" s="3144">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0.5</v>
      </c>
      <c r="D61" s="814" t="s">
        <v>669</v>
      </c>
      <c r="E61" s="784" t="s">
        <v>670</v>
      </c>
      <c r="F61" s="640">
        <f t="shared" si="0"/>
        <v>30</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182.98</v>
      </c>
      <c r="I62" s="3146" t="s">
        <v>2368</v>
      </c>
      <c r="J62" s="3147" t="s">
        <v>2369</v>
      </c>
      <c r="K62" s="3147" t="s">
        <v>2370</v>
      </c>
      <c r="L62" s="3147" t="s">
        <v>2351</v>
      </c>
      <c r="M62" s="3148" t="s">
        <v>2944</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9.5</v>
      </c>
      <c r="D63" s="2618" t="s">
        <v>1804</v>
      </c>
      <c r="E63" s="784" t="s">
        <v>1748</v>
      </c>
      <c r="F63" s="817">
        <f t="shared" ca="1" si="0"/>
        <v>0.01</v>
      </c>
      <c r="I63" s="3146" t="s">
        <v>2371</v>
      </c>
      <c r="J63" s="3147">
        <v>70</v>
      </c>
      <c r="K63" s="3147">
        <v>50</v>
      </c>
      <c r="L63" s="3147">
        <v>80</v>
      </c>
      <c r="M63" s="3149">
        <v>0.02</v>
      </c>
      <c r="O63" s="2377" t="s">
        <v>2392</v>
      </c>
      <c r="P63" s="2378" t="s">
        <v>2409</v>
      </c>
      <c r="Q63" s="2379">
        <f ca="1">Q57+Q58</f>
        <v>7222</v>
      </c>
      <c r="R63" s="2382" t="s">
        <v>2393</v>
      </c>
    </row>
    <row r="64" spans="1:18" s="2059" customFormat="1" ht="16.5" thickBot="1">
      <c r="A64" s="1649" t="s">
        <v>1891</v>
      </c>
      <c r="B64" s="784" t="s">
        <v>679</v>
      </c>
      <c r="C64" s="53">
        <f ca="1">ROUND(C55*F64,1)</f>
        <v>0.9</v>
      </c>
      <c r="D64" s="2618" t="s">
        <v>680</v>
      </c>
      <c r="E64" s="784" t="s">
        <v>1748</v>
      </c>
      <c r="F64" s="818">
        <f t="shared" ca="1" si="0"/>
        <v>1E-3</v>
      </c>
      <c r="I64" s="3146" t="s">
        <v>2372</v>
      </c>
      <c r="J64" s="3147">
        <v>50</v>
      </c>
      <c r="K64" s="3147">
        <v>35</v>
      </c>
      <c r="L64" s="3147">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2822</v>
      </c>
      <c r="C66" s="799">
        <f ca="1">C47-C57</f>
        <v>-19</v>
      </c>
      <c r="D66" s="2617" t="s">
        <v>700</v>
      </c>
      <c r="E66" s="2616"/>
      <c r="F66" s="820"/>
      <c r="K66" s="2086"/>
      <c r="O66" s="2377" t="s">
        <v>2380</v>
      </c>
      <c r="P66" s="2378" t="s">
        <v>2410</v>
      </c>
      <c r="Q66" s="2379">
        <f ca="1">C40+J29</f>
        <v>7222</v>
      </c>
      <c r="R66" s="2378" t="s">
        <v>2381</v>
      </c>
    </row>
    <row r="67" spans="1:18" s="2059" customFormat="1" ht="20.25" thickBot="1">
      <c r="A67" s="781" t="s">
        <v>1781</v>
      </c>
      <c r="B67" s="2232" t="s">
        <v>2302</v>
      </c>
      <c r="C67" s="783">
        <f ca="1">ROUND(C66*(1-((1+F69)/(1+F67))^F68)/(F67-F69),0)</f>
        <v>-305</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40</v>
      </c>
      <c r="O68" s="2380" t="s">
        <v>2384</v>
      </c>
      <c r="P68" s="2378" t="s">
        <v>2414</v>
      </c>
      <c r="Q68" s="2384">
        <f ca="1">L51</f>
        <v>3389</v>
      </c>
      <c r="R68" s="2385" t="s">
        <v>2417</v>
      </c>
    </row>
    <row r="69" spans="1:18" ht="20.25" thickBot="1">
      <c r="A69" s="790"/>
      <c r="B69" s="791"/>
      <c r="C69" s="792"/>
      <c r="D69" s="816"/>
      <c r="E69" s="784" t="s">
        <v>710</v>
      </c>
      <c r="F69" s="2350">
        <v>0</v>
      </c>
      <c r="O69" s="2380" t="s">
        <v>2385</v>
      </c>
      <c r="P69" s="2386" t="s">
        <v>2399</v>
      </c>
      <c r="Q69" s="2379">
        <f ca="1">ROUND(Q70-Q71*Q72,0)</f>
        <v>197</v>
      </c>
      <c r="R69" s="2382"/>
    </row>
    <row r="70" spans="1:18" ht="15.75" thickBot="1">
      <c r="A70" s="823" t="s">
        <v>1788</v>
      </c>
      <c r="B70" s="824" t="s">
        <v>1811</v>
      </c>
      <c r="C70" s="825">
        <f ca="1">ROUND(C67*10000/F70,0)</f>
        <v>-1714</v>
      </c>
      <c r="D70" s="826" t="s">
        <v>1812</v>
      </c>
      <c r="E70" s="827" t="s">
        <v>1813</v>
      </c>
      <c r="F70" s="828">
        <f ca="1">F43</f>
        <v>1779.8</v>
      </c>
      <c r="O70" s="2380" t="s">
        <v>2400</v>
      </c>
      <c r="P70" s="2386" t="s">
        <v>2401</v>
      </c>
      <c r="Q70" s="2379">
        <f ca="1">C39</f>
        <v>270</v>
      </c>
      <c r="R70" s="2378" t="s">
        <v>2381</v>
      </c>
    </row>
    <row r="71" spans="1:18" ht="15.75" thickBot="1">
      <c r="O71" s="2380" t="s">
        <v>2402</v>
      </c>
      <c r="P71" s="2386" t="s">
        <v>2403</v>
      </c>
      <c r="Q71" s="2379">
        <f ca="1">C13</f>
        <v>853</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7222</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6" priority="7">
      <formula>$L$48&gt;$J$51</formula>
    </cfRule>
  </conditionalFormatting>
  <conditionalFormatting sqref="I55">
    <cfRule type="expression" dxfId="135" priority="8">
      <formula>$J$51&gt;$L$48</formula>
    </cfRule>
  </conditionalFormatting>
  <conditionalFormatting sqref="I60">
    <cfRule type="expression" dxfId="134" priority="6">
      <formula>$J$51&gt;$L$48</formula>
    </cfRule>
  </conditionalFormatting>
  <conditionalFormatting sqref="K60">
    <cfRule type="expression" dxfId="133" priority="5">
      <formula>$L$48&gt;$J$51</formula>
    </cfRule>
  </conditionalFormatting>
  <conditionalFormatting sqref="C11">
    <cfRule type="expression" dxfId="132" priority="4">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5" workbookViewId="0">
      <selection activeCell="A371" sqref="A371"/>
    </sheetView>
  </sheetViews>
  <sheetFormatPr defaultRowHeight="13.5"/>
  <sheetData/>
  <phoneticPr fontId="228"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3239" bestFit="1" customWidth="1"/>
    <col min="3" max="4" width="12.625" style="3239" customWidth="1"/>
    <col min="5" max="9" width="12.75" style="3239" bestFit="1" customWidth="1"/>
    <col min="10" max="10" width="2.25" style="3240" customWidth="1"/>
    <col min="11" max="12" width="12.625" style="3240" customWidth="1"/>
    <col min="13" max="13" width="12.625" style="3240"/>
    <col min="14" max="14" width="15.625" style="3240" bestFit="1" customWidth="1"/>
    <col min="15" max="19" width="12.75" style="3240" bestFit="1" customWidth="1"/>
    <col min="20" max="26" width="12.625" style="3240"/>
    <col min="27" max="16384" width="12.625" style="3239"/>
  </cols>
  <sheetData>
    <row r="1" spans="1:22" ht="21.75" customHeight="1" thickBot="1">
      <c r="A1" s="3572" t="s">
        <v>3242</v>
      </c>
      <c r="B1" s="3571"/>
      <c r="C1" s="3569" t="s">
        <v>3241</v>
      </c>
      <c r="D1" s="3570" t="s">
        <v>3240</v>
      </c>
      <c r="E1" s="3569" t="s">
        <v>3239</v>
      </c>
      <c r="F1" s="3568" t="s">
        <v>3020</v>
      </c>
      <c r="G1" s="3305"/>
      <c r="H1" s="3305"/>
      <c r="I1" s="3305"/>
      <c r="J1" s="3248"/>
      <c r="K1" s="3248"/>
      <c r="L1" s="3248"/>
      <c r="M1" s="3248"/>
      <c r="N1" s="3248"/>
      <c r="O1" s="3248"/>
      <c r="P1" s="3248"/>
      <c r="Q1" s="3248"/>
      <c r="R1" s="3248"/>
      <c r="S1" s="3248"/>
      <c r="T1" s="3248"/>
      <c r="U1" s="3248"/>
      <c r="V1" s="3248"/>
    </row>
    <row r="2" spans="1:22" ht="21.75" customHeight="1" thickBot="1">
      <c r="A2" s="3920" t="str">
        <f>[1]项目基本情况!K2</f>
        <v>北京市出让国有建设用地使用权</v>
      </c>
      <c r="B2" s="3921"/>
      <c r="C2" s="3922"/>
      <c r="D2" s="3922"/>
      <c r="E2" s="3922"/>
      <c r="F2" s="3922"/>
      <c r="G2" s="3921"/>
      <c r="H2" s="3921"/>
      <c r="I2" s="3923"/>
      <c r="J2" s="3560"/>
      <c r="K2" s="3248"/>
      <c r="L2" s="3248"/>
      <c r="M2" s="3248"/>
      <c r="N2" s="3248"/>
      <c r="O2" s="3248"/>
      <c r="P2" s="3248"/>
      <c r="Q2" s="3248"/>
      <c r="R2" s="3248"/>
      <c r="S2" s="3248"/>
      <c r="T2" s="3248"/>
      <c r="U2" s="3248"/>
      <c r="V2" s="3248"/>
    </row>
    <row r="3" spans="1:22" ht="14.25">
      <c r="A3" s="3924" t="s">
        <v>298</v>
      </c>
      <c r="B3" s="3925"/>
      <c r="C3" s="3925"/>
      <c r="D3" s="3925"/>
      <c r="E3" s="3925"/>
      <c r="F3" s="3925"/>
      <c r="G3" s="3925"/>
      <c r="H3" s="3925"/>
      <c r="I3" s="3925"/>
      <c r="J3" s="3560"/>
      <c r="K3" s="3248"/>
      <c r="L3" s="3248"/>
      <c r="M3" s="3248"/>
      <c r="N3" s="3248"/>
      <c r="O3" s="3248"/>
      <c r="P3" s="3248"/>
      <c r="Q3" s="3248"/>
      <c r="R3" s="3248"/>
      <c r="S3" s="3248"/>
      <c r="T3" s="3248"/>
      <c r="U3" s="3248"/>
      <c r="V3" s="3248"/>
    </row>
    <row r="4" spans="1:22" ht="14.25">
      <c r="A4" s="3567" t="s">
        <v>299</v>
      </c>
      <c r="B4" s="3566" t="s">
        <v>300</v>
      </c>
      <c r="C4" s="3565" t="s">
        <v>3243</v>
      </c>
      <c r="D4" s="3565" t="s">
        <v>3246</v>
      </c>
      <c r="E4" s="3876" t="s">
        <v>3237</v>
      </c>
      <c r="F4" s="3878"/>
      <c r="G4" s="3878"/>
      <c r="H4" s="3878"/>
      <c r="I4" s="3877"/>
      <c r="J4" s="3560"/>
      <c r="K4" s="3248"/>
      <c r="L4" s="3400" t="str">
        <f>IF(ISNUMBER(FIND("比较法",C4)),"比较法",IF(ISNUMBER(FIND("成本法",C4)),"成本法",IF(ISNUMBER(FIND("剩余法",C4)),"剩余法",IF(ISNUMBER(FIND("收益法",C4)),"收益法","基准地价系数修正法"))))</f>
        <v>基准地价系数修正法</v>
      </c>
      <c r="M4" s="3400" t="str">
        <f>IF(ISNUMBER(FIND("比较法",D4)),"比较法",IF(ISNUMBER(FIND("成本法",D4)),"成本法",IF(ISNUMBER(FIND("剩余法",D4)),"剩余法",IF(ISNUMBER(FIND("收益法",D4)),"收益法","基准地价系数修正法"))))</f>
        <v>剩余法</v>
      </c>
      <c r="N4" s="3248"/>
      <c r="O4" s="3248"/>
      <c r="P4" s="3248"/>
      <c r="Q4" s="3248"/>
      <c r="R4" s="3248"/>
      <c r="S4" s="3248"/>
      <c r="T4" s="3248"/>
      <c r="U4" s="3248"/>
      <c r="V4" s="3248"/>
    </row>
    <row r="5" spans="1:22" ht="14.25">
      <c r="A5" s="3910" t="s">
        <v>302</v>
      </c>
      <c r="B5" s="3911">
        <v>25</v>
      </c>
      <c r="C5" s="3912">
        <f>'[1]结果表-住宅'!C5:C7</f>
        <v>50</v>
      </c>
      <c r="D5" s="3914">
        <f>100-C5</f>
        <v>50</v>
      </c>
      <c r="E5" s="3393" t="s">
        <v>3236</v>
      </c>
      <c r="F5" s="3564"/>
      <c r="G5" s="3564"/>
      <c r="H5" s="3564"/>
      <c r="I5" s="3563"/>
      <c r="J5" s="3560"/>
      <c r="K5" s="3248"/>
      <c r="L5" s="3248"/>
      <c r="M5" s="3248"/>
      <c r="N5" s="3248"/>
      <c r="O5" s="3248"/>
      <c r="P5" s="3248"/>
      <c r="Q5" s="3248"/>
      <c r="R5" s="3248"/>
      <c r="S5" s="3248"/>
      <c r="T5" s="3248"/>
      <c r="U5" s="3248"/>
      <c r="V5" s="3248"/>
    </row>
    <row r="6" spans="1:22" ht="14.25">
      <c r="A6" s="3910"/>
      <c r="B6" s="3911"/>
      <c r="C6" s="3915"/>
      <c r="D6" s="3914"/>
      <c r="E6" s="3393" t="s">
        <v>3235</v>
      </c>
      <c r="F6" s="3564"/>
      <c r="G6" s="3564"/>
      <c r="H6" s="3564"/>
      <c r="I6" s="3563"/>
      <c r="J6" s="3560"/>
      <c r="K6" s="3248"/>
      <c r="L6" s="3248"/>
      <c r="M6" s="3248"/>
      <c r="N6" s="3248"/>
      <c r="O6" s="3248"/>
      <c r="P6" s="3248"/>
      <c r="Q6" s="3248"/>
      <c r="R6" s="3248"/>
      <c r="S6" s="3248"/>
      <c r="T6" s="3248"/>
      <c r="U6" s="3248"/>
      <c r="V6" s="3248"/>
    </row>
    <row r="7" spans="1:22" ht="14.25">
      <c r="A7" s="3910"/>
      <c r="B7" s="3911"/>
      <c r="C7" s="3913"/>
      <c r="D7" s="3914"/>
      <c r="E7" s="3393" t="s">
        <v>3234</v>
      </c>
      <c r="F7" s="3564"/>
      <c r="G7" s="3564"/>
      <c r="H7" s="3564"/>
      <c r="I7" s="3563"/>
      <c r="J7" s="3560"/>
      <c r="K7" s="3248"/>
      <c r="L7" s="3248"/>
      <c r="M7" s="3248"/>
      <c r="N7" s="3248"/>
      <c r="O7" s="3248"/>
      <c r="P7" s="3248"/>
      <c r="Q7" s="3248"/>
      <c r="R7" s="3248"/>
      <c r="S7" s="3248"/>
      <c r="T7" s="3248"/>
      <c r="U7" s="3248"/>
      <c r="V7" s="3248"/>
    </row>
    <row r="8" spans="1:22" ht="14.25">
      <c r="A8" s="3910" t="s">
        <v>306</v>
      </c>
      <c r="B8" s="3911">
        <v>15</v>
      </c>
      <c r="C8" s="3912"/>
      <c r="D8" s="3914"/>
      <c r="E8" s="3393" t="s">
        <v>3233</v>
      </c>
      <c r="F8" s="3564"/>
      <c r="G8" s="3564"/>
      <c r="H8" s="3564"/>
      <c r="I8" s="3563"/>
      <c r="J8" s="3560"/>
      <c r="K8" s="3248"/>
      <c r="L8" s="3248"/>
      <c r="M8" s="3248"/>
      <c r="N8" s="3248"/>
      <c r="O8" s="3248"/>
      <c r="P8" s="3248"/>
      <c r="Q8" s="3248"/>
      <c r="R8" s="3248"/>
      <c r="S8" s="3248"/>
      <c r="T8" s="3248"/>
      <c r="U8" s="3248"/>
      <c r="V8" s="3248"/>
    </row>
    <row r="9" spans="1:22" ht="14.25">
      <c r="A9" s="3910"/>
      <c r="B9" s="3911"/>
      <c r="C9" s="3913"/>
      <c r="D9" s="3914"/>
      <c r="E9" s="3393" t="s">
        <v>3232</v>
      </c>
      <c r="F9" s="3564"/>
      <c r="G9" s="3564"/>
      <c r="H9" s="3564"/>
      <c r="I9" s="3563"/>
      <c r="J9" s="3560"/>
      <c r="K9" s="3248"/>
      <c r="L9" s="3248"/>
      <c r="M9" s="3248"/>
      <c r="N9" s="3248"/>
      <c r="O9" s="3248"/>
      <c r="P9" s="3248"/>
      <c r="Q9" s="3248"/>
      <c r="R9" s="3248"/>
      <c r="S9" s="3248"/>
      <c r="T9" s="3248"/>
      <c r="U9" s="3248"/>
      <c r="V9" s="3248"/>
    </row>
    <row r="10" spans="1:22" ht="14.25">
      <c r="A10" s="3910" t="s">
        <v>309</v>
      </c>
      <c r="B10" s="3911">
        <v>15</v>
      </c>
      <c r="C10" s="3912"/>
      <c r="D10" s="3914"/>
      <c r="E10" s="3393" t="s">
        <v>3231</v>
      </c>
      <c r="F10" s="3564"/>
      <c r="G10" s="3564"/>
      <c r="H10" s="3564"/>
      <c r="I10" s="3563"/>
      <c r="J10" s="3560"/>
      <c r="K10" s="3248"/>
      <c r="L10" s="3248"/>
      <c r="M10" s="3248"/>
      <c r="N10" s="3248"/>
      <c r="O10" s="3248"/>
      <c r="P10" s="3248"/>
      <c r="Q10" s="3248"/>
      <c r="R10" s="3248"/>
      <c r="S10" s="3248"/>
      <c r="T10" s="3248"/>
      <c r="U10" s="3248"/>
      <c r="V10" s="3248"/>
    </row>
    <row r="11" spans="1:22" ht="14.25">
      <c r="A11" s="3910"/>
      <c r="B11" s="3911"/>
      <c r="C11" s="3913"/>
      <c r="D11" s="3914"/>
      <c r="E11" s="3393" t="s">
        <v>3230</v>
      </c>
      <c r="F11" s="3564"/>
      <c r="G11" s="3564"/>
      <c r="H11" s="3564"/>
      <c r="I11" s="3563"/>
      <c r="J11" s="3560"/>
      <c r="K11" s="3248"/>
      <c r="L11" s="3248"/>
      <c r="M11" s="3248"/>
      <c r="N11" s="3248"/>
      <c r="O11" s="3248"/>
      <c r="P11" s="3248"/>
      <c r="Q11" s="3248"/>
      <c r="R11" s="3248"/>
      <c r="S11" s="3248"/>
      <c r="T11" s="3248"/>
      <c r="U11" s="3248"/>
      <c r="V11" s="3248"/>
    </row>
    <row r="12" spans="1:22" ht="14.25">
      <c r="A12" s="3910" t="s">
        <v>312</v>
      </c>
      <c r="B12" s="3911">
        <v>15</v>
      </c>
      <c r="C12" s="3912"/>
      <c r="D12" s="3914"/>
      <c r="E12" s="3393" t="s">
        <v>3229</v>
      </c>
      <c r="F12" s="3564"/>
      <c r="G12" s="3564"/>
      <c r="H12" s="3564"/>
      <c r="I12" s="3563"/>
      <c r="J12" s="3560"/>
      <c r="K12" s="3248"/>
      <c r="L12" s="3248"/>
      <c r="M12" s="3248"/>
      <c r="N12" s="3248"/>
      <c r="O12" s="3248"/>
      <c r="P12" s="3248"/>
      <c r="Q12" s="3248"/>
      <c r="R12" s="3248"/>
      <c r="S12" s="3248"/>
      <c r="T12" s="3248"/>
      <c r="U12" s="3248"/>
      <c r="V12" s="3248"/>
    </row>
    <row r="13" spans="1:22" ht="14.25">
      <c r="A13" s="3910"/>
      <c r="B13" s="3911"/>
      <c r="C13" s="3913"/>
      <c r="D13" s="3914"/>
      <c r="E13" s="3393" t="s">
        <v>3228</v>
      </c>
      <c r="F13" s="3564"/>
      <c r="G13" s="3564"/>
      <c r="H13" s="3564"/>
      <c r="I13" s="3563"/>
      <c r="J13" s="3560"/>
      <c r="K13" s="3248"/>
      <c r="L13" s="3248"/>
      <c r="M13" s="3248"/>
      <c r="N13" s="3248"/>
      <c r="O13" s="3248"/>
      <c r="P13" s="3248"/>
      <c r="Q13" s="3248"/>
      <c r="R13" s="3248"/>
      <c r="S13" s="3248"/>
      <c r="T13" s="3248"/>
      <c r="U13" s="3248"/>
      <c r="V13" s="3248"/>
    </row>
    <row r="14" spans="1:22" ht="14.25">
      <c r="A14" s="3910" t="s">
        <v>315</v>
      </c>
      <c r="B14" s="3911">
        <v>30</v>
      </c>
      <c r="C14" s="3912"/>
      <c r="D14" s="3914"/>
      <c r="E14" s="3393" t="s">
        <v>3227</v>
      </c>
      <c r="F14" s="3564"/>
      <c r="G14" s="3564"/>
      <c r="H14" s="3564"/>
      <c r="I14" s="3563"/>
      <c r="J14" s="3560"/>
      <c r="K14" s="3248"/>
      <c r="L14" s="3248"/>
      <c r="M14" s="3248"/>
      <c r="N14" s="3248"/>
      <c r="O14" s="3248"/>
      <c r="P14" s="3248"/>
      <c r="Q14" s="3248"/>
      <c r="R14" s="3248"/>
      <c r="S14" s="3248"/>
      <c r="T14" s="3248"/>
      <c r="U14" s="3248"/>
      <c r="V14" s="3248"/>
    </row>
    <row r="15" spans="1:22" ht="14.25">
      <c r="A15" s="3910"/>
      <c r="B15" s="3911"/>
      <c r="C15" s="3915"/>
      <c r="D15" s="3914"/>
      <c r="E15" s="3393" t="s">
        <v>3226</v>
      </c>
      <c r="F15" s="3564"/>
      <c r="G15" s="3564"/>
      <c r="H15" s="3564"/>
      <c r="I15" s="3563"/>
      <c r="J15" s="3560"/>
      <c r="K15" s="3248"/>
      <c r="L15" s="3248"/>
      <c r="M15" s="3248"/>
      <c r="N15" s="3248"/>
      <c r="O15" s="3248"/>
      <c r="P15" s="3248"/>
      <c r="Q15" s="3248"/>
      <c r="R15" s="3248"/>
      <c r="S15" s="3248"/>
      <c r="T15" s="3248"/>
      <c r="U15" s="3248"/>
      <c r="V15" s="3248"/>
    </row>
    <row r="16" spans="1:22" ht="14.25">
      <c r="A16" s="3910"/>
      <c r="B16" s="3911"/>
      <c r="C16" s="3913"/>
      <c r="D16" s="3914"/>
      <c r="E16" s="3393" t="s">
        <v>3225</v>
      </c>
      <c r="F16" s="3564"/>
      <c r="G16" s="3564"/>
      <c r="H16" s="3564"/>
      <c r="I16" s="3563"/>
      <c r="J16" s="3560"/>
      <c r="K16" s="3248"/>
      <c r="L16" s="3248"/>
      <c r="M16" s="3248"/>
      <c r="N16" s="3248"/>
      <c r="O16" s="3248"/>
      <c r="P16" s="3248"/>
      <c r="Q16" s="3248"/>
      <c r="R16" s="3248"/>
      <c r="S16" s="3248"/>
      <c r="T16" s="3248"/>
      <c r="U16" s="3248"/>
      <c r="V16" s="3248"/>
    </row>
    <row r="17" spans="1:26" ht="15">
      <c r="A17" s="3451" t="s">
        <v>319</v>
      </c>
      <c r="B17" s="3562"/>
      <c r="C17" s="3561">
        <f>SUM(C5:C16)</f>
        <v>50</v>
      </c>
      <c r="D17" s="3561">
        <f>SUM(D5:D16)</f>
        <v>50</v>
      </c>
      <c r="E17" s="3305"/>
      <c r="F17" s="3305"/>
      <c r="G17" s="3305"/>
      <c r="H17" s="3305"/>
      <c r="I17" s="3305"/>
      <c r="J17" s="3560"/>
      <c r="K17" s="3248"/>
      <c r="L17" s="3248"/>
      <c r="M17" s="3248"/>
      <c r="N17" s="3248"/>
      <c r="O17" s="3248"/>
      <c r="P17" s="3248"/>
      <c r="Q17" s="3248"/>
      <c r="R17" s="3248"/>
      <c r="S17" s="3248"/>
      <c r="T17" s="3248"/>
      <c r="U17" s="3248"/>
      <c r="V17" s="3248"/>
    </row>
    <row r="18" spans="1:26" ht="15.75" thickBot="1">
      <c r="A18" s="3559" t="s">
        <v>320</v>
      </c>
      <c r="B18" s="3498"/>
      <c r="C18" s="3558">
        <f>ROUND(C17/SUM(C17:D17),2)</f>
        <v>0.5</v>
      </c>
      <c r="D18" s="3558">
        <f>1-C18</f>
        <v>0.5</v>
      </c>
      <c r="E18" s="3305"/>
      <c r="F18" s="3305"/>
      <c r="G18" s="3305"/>
      <c r="H18" s="3305"/>
      <c r="I18" s="3305"/>
      <c r="J18" s="3248"/>
      <c r="K18" s="3248"/>
      <c r="L18" s="3248"/>
      <c r="M18" s="3248"/>
      <c r="N18" s="3248"/>
      <c r="O18" s="3248"/>
      <c r="P18" s="3248"/>
      <c r="Q18" s="3248"/>
      <c r="R18" s="3248"/>
      <c r="S18" s="3248"/>
      <c r="T18" s="3248"/>
      <c r="U18" s="3248"/>
      <c r="V18" s="3248"/>
    </row>
    <row r="19" spans="1:26" ht="15">
      <c r="A19" s="3520" t="s">
        <v>3224</v>
      </c>
      <c r="B19" s="3535" t="s">
        <v>3215</v>
      </c>
      <c r="C19" s="3557">
        <f ca="1">SUMIF(INDIRECT("'"&amp;C4&amp;"'"&amp;"!A:A"),'结果表-办公'!B19,INDIRECT("'"&amp;C4&amp;"'"&amp;"!B:B"))</f>
        <v>149528</v>
      </c>
      <c r="D19" s="3556">
        <f ca="1">SUMIF(INDIRECT("'"&amp;D4&amp;"'"&amp;"!A:A"),'结果表-办公'!B19,INDIRECT("'"&amp;D4&amp;"'"&amp;"!B:B"))</f>
        <v>156199</v>
      </c>
      <c r="E19" s="3520" t="s">
        <v>3223</v>
      </c>
      <c r="F19" s="3535" t="s">
        <v>3215</v>
      </c>
      <c r="G19" s="3555">
        <f ca="1">ROUND(C19*$C$18+D19*$D$18,0)</f>
        <v>152864</v>
      </c>
      <c r="H19" s="3554" t="s">
        <v>3222</v>
      </c>
      <c r="I19" s="3305"/>
      <c r="J19" s="3248"/>
      <c r="K19" s="3248"/>
      <c r="L19" s="3248"/>
      <c r="M19" s="3248"/>
      <c r="N19" s="3248"/>
      <c r="O19" s="3248"/>
      <c r="P19" s="3248"/>
      <c r="Q19" s="3248"/>
      <c r="R19" s="3248"/>
      <c r="S19" s="3248"/>
      <c r="T19" s="3248"/>
      <c r="U19" s="3248"/>
      <c r="V19" s="3248"/>
    </row>
    <row r="20" spans="1:26" s="3547" customFormat="1" ht="15">
      <c r="A20" s="3551"/>
      <c r="B20" s="3550" t="s">
        <v>3221</v>
      </c>
      <c r="C20" s="3553">
        <f ca="1">SUMIF(INDIRECT("'"&amp;C4&amp;"'"&amp;"!A:A"),'结果表-办公'!B20,INDIRECT("'"&amp;C4&amp;"'"&amp;"!B:B"))</f>
        <v>25849</v>
      </c>
      <c r="D20" s="3552">
        <f ca="1">SUMIF(INDIRECT("'"&amp;D4&amp;"'"&amp;"!A:A"),'结果表-办公'!B20,INDIRECT("'"&amp;D4&amp;"'"&amp;"!B:B"))</f>
        <v>39147</v>
      </c>
      <c r="E20" s="3551"/>
      <c r="F20" s="3550" t="s">
        <v>3221</v>
      </c>
      <c r="G20" s="3549">
        <f ca="1">ROUND(C20*$C$18+D20*$D$18,0)</f>
        <v>32498</v>
      </c>
      <c r="H20" s="3548" t="s">
        <v>3219</v>
      </c>
      <c r="J20" s="3457"/>
      <c r="K20" s="3457"/>
      <c r="L20" s="3457"/>
      <c r="M20" s="3457"/>
      <c r="N20" s="3457"/>
      <c r="O20" s="3457"/>
      <c r="P20" s="3457"/>
      <c r="Q20" s="3457"/>
      <c r="R20" s="3457"/>
      <c r="S20" s="3457"/>
      <c r="T20" s="3457"/>
      <c r="U20" s="3457"/>
      <c r="V20" s="3457"/>
      <c r="W20" s="3457"/>
      <c r="X20" s="3457"/>
      <c r="Y20" s="3457"/>
      <c r="Z20" s="3457"/>
    </row>
    <row r="21" spans="1:26" ht="15" customHeight="1">
      <c r="A21" s="3544"/>
      <c r="B21" s="3543" t="s">
        <v>3220</v>
      </c>
      <c r="C21" s="3546">
        <f ca="1">SUMIF(INDIRECT("'"&amp;C4&amp;"'"&amp;"!A:A"),'结果表-办公'!B21,INDIRECT("'"&amp;C4&amp;"'"&amp;"!B:B"))</f>
        <v>340430</v>
      </c>
      <c r="D21" s="3545">
        <f ca="1">SUMIF(INDIRECT("'"&amp;D4&amp;"'"&amp;"!A:A"),'结果表-办公'!B21,INDIRECT("'"&amp;D4&amp;"'"&amp;"!B:B"))</f>
        <v>380771</v>
      </c>
      <c r="E21" s="3544"/>
      <c r="F21" s="3543" t="s">
        <v>3220</v>
      </c>
      <c r="G21" s="3542">
        <f ca="1">ROUND(C21*$C$18+D21*$D$18,0)</f>
        <v>360601</v>
      </c>
      <c r="H21" s="3504" t="s">
        <v>3219</v>
      </c>
      <c r="I21" s="3305"/>
      <c r="J21" s="3248"/>
      <c r="K21" s="3248"/>
      <c r="L21" s="3248"/>
      <c r="M21" s="3248"/>
      <c r="N21" s="3248"/>
      <c r="O21" s="3248"/>
      <c r="P21" s="3248"/>
      <c r="Q21" s="3248"/>
      <c r="R21" s="3248"/>
      <c r="S21" s="3248"/>
      <c r="T21" s="3248"/>
      <c r="U21" s="3248"/>
      <c r="V21" s="3248"/>
    </row>
    <row r="22" spans="1:26" ht="15.75" thickBot="1">
      <c r="A22" s="3541" t="s">
        <v>3218</v>
      </c>
      <c r="B22" s="3505"/>
      <c r="C22" s="3540"/>
      <c r="D22" s="3539">
        <f ca="1">IF(C19&lt;D19,D19/C19-1,C19/D19-1)</f>
        <v>4.4613717832111766E-2</v>
      </c>
      <c r="E22" s="3494"/>
      <c r="F22" s="3538"/>
      <c r="G22" s="3537">
        <f ca="1">ROUND(G19/('[1]数据-汇总表'!D3/666.67),0)</f>
        <v>557</v>
      </c>
      <c r="H22" s="3536" t="s">
        <v>3217</v>
      </c>
      <c r="I22" s="3305"/>
      <c r="J22" s="3248"/>
      <c r="K22" s="3248"/>
      <c r="L22" s="3248"/>
      <c r="M22" s="3248"/>
      <c r="N22" s="3248"/>
      <c r="O22" s="3248"/>
      <c r="P22" s="3248"/>
      <c r="Q22" s="3248"/>
      <c r="R22" s="3248"/>
      <c r="S22" s="3248"/>
      <c r="T22" s="3248"/>
      <c r="U22" s="3248"/>
      <c r="V22" s="3248"/>
    </row>
    <row r="23" spans="1:26" ht="13.5" thickBot="1">
      <c r="A23" s="3305"/>
      <c r="B23" s="3305"/>
      <c r="C23" s="3305"/>
      <c r="D23" s="3305"/>
      <c r="E23" s="3305"/>
      <c r="F23" s="3305"/>
      <c r="G23" s="3305"/>
      <c r="H23" s="3305"/>
      <c r="I23" s="3305"/>
      <c r="J23" s="3248"/>
      <c r="K23" s="3248"/>
      <c r="L23" s="3248"/>
      <c r="M23" s="3248"/>
      <c r="N23" s="3248"/>
      <c r="O23" s="3248"/>
      <c r="P23" s="3248"/>
      <c r="Q23" s="3248"/>
      <c r="R23" s="3248"/>
      <c r="S23" s="3248"/>
      <c r="T23" s="3248"/>
      <c r="U23" s="3248"/>
      <c r="V23" s="3248"/>
    </row>
    <row r="24" spans="1:26" ht="15" thickBot="1">
      <c r="A24" s="3916" t="s">
        <v>3216</v>
      </c>
      <c r="B24" s="3535" t="s">
        <v>3215</v>
      </c>
      <c r="C24" s="3534">
        <f>IF(B30=0,0,D30)</f>
        <v>0</v>
      </c>
      <c r="D24" s="3533"/>
      <c r="E24" s="3305"/>
      <c r="F24" s="3305"/>
      <c r="G24" s="3305"/>
      <c r="H24" s="3305"/>
      <c r="I24" s="3305"/>
      <c r="J24" s="3248"/>
      <c r="K24" s="3248"/>
      <c r="L24" s="3248"/>
      <c r="M24" s="3248"/>
      <c r="N24" s="3248"/>
      <c r="O24" s="3248"/>
      <c r="P24" s="3248"/>
      <c r="Q24" s="3248"/>
      <c r="R24" s="3248"/>
      <c r="S24" s="3248"/>
      <c r="T24" s="3248"/>
      <c r="U24" s="3248"/>
      <c r="V24" s="3248"/>
    </row>
    <row r="25" spans="1:26" ht="18">
      <c r="A25" s="3917"/>
      <c r="B25" s="3532" t="s">
        <v>331</v>
      </c>
      <c r="C25" s="3531">
        <f>IF(B30=0,0,C30)</f>
        <v>0</v>
      </c>
      <c r="D25" s="3530"/>
      <c r="E25" s="3305"/>
      <c r="F25" s="3305"/>
      <c r="G25" s="3305"/>
      <c r="H25" s="3305"/>
      <c r="I25" s="3305"/>
      <c r="J25" s="3248"/>
      <c r="K25" s="3529" t="str">
        <f ca="1">[1]项目基本情况!B16&amp;"国有建设用地使用权价格："&amp;O38&amp;"万元"</f>
        <v>出让国有建设用地使用权价格：152864万元</v>
      </c>
      <c r="L25" s="3528"/>
      <c r="M25" s="3528"/>
      <c r="N25" s="3528"/>
      <c r="O25" s="3527"/>
      <c r="P25" s="3248"/>
      <c r="Q25" s="3248"/>
      <c r="R25" s="3248"/>
      <c r="S25" s="3248"/>
      <c r="T25" s="3248"/>
      <c r="U25" s="3248"/>
      <c r="V25" s="3248"/>
    </row>
    <row r="26" spans="1:26" s="3303" customFormat="1" ht="18">
      <c r="A26" s="3526" t="s">
        <v>3214</v>
      </c>
      <c r="B26" s="3478" t="s">
        <v>3213</v>
      </c>
      <c r="C26" s="3478" t="s">
        <v>3212</v>
      </c>
      <c r="D26" s="3477" t="s">
        <v>3192</v>
      </c>
      <c r="E26" s="3305"/>
      <c r="F26" s="3305"/>
      <c r="G26" s="3305"/>
      <c r="H26" s="3305"/>
      <c r="I26" s="3305"/>
      <c r="J26" s="3248"/>
      <c r="K26" s="3506" t="str">
        <f ca="1">"大写金额：人民币"&amp;NUMBERSTRING(INT(O38*10000),2)&amp;"元整"</f>
        <v>大写金额：人民币壹拾伍亿贰仟捌佰陆拾肆万元整</v>
      </c>
      <c r="L26" s="3505"/>
      <c r="M26" s="3505"/>
      <c r="N26" s="3505"/>
      <c r="O26" s="3504"/>
      <c r="P26" s="3248"/>
      <c r="Q26" s="3248"/>
      <c r="R26" s="3248"/>
      <c r="S26" s="3248"/>
      <c r="T26" s="3248"/>
      <c r="U26" s="3248"/>
      <c r="V26" s="3248"/>
      <c r="W26" s="3304"/>
      <c r="X26" s="3304"/>
      <c r="Y26" s="3304"/>
      <c r="Z26" s="3304"/>
    </row>
    <row r="27" spans="1:26" ht="18">
      <c r="A27" s="3526"/>
      <c r="B27" s="3478"/>
      <c r="C27" s="3478"/>
      <c r="D27" s="3477"/>
      <c r="E27" s="3305"/>
      <c r="F27" s="3305"/>
      <c r="G27" s="3305"/>
      <c r="H27" s="3305"/>
      <c r="I27" s="3305"/>
      <c r="J27" s="3248"/>
      <c r="K27" s="3506" t="str">
        <f ca="1">"单位面积地价："&amp;M38&amp;"元/平方米"</f>
        <v>单位面积地价：8351元/平方米</v>
      </c>
      <c r="L27" s="3505"/>
      <c r="M27" s="3505"/>
      <c r="N27" s="3505"/>
      <c r="O27" s="3504"/>
      <c r="P27" s="3248"/>
      <c r="Q27" s="3248"/>
      <c r="R27" s="3248"/>
      <c r="S27" s="3248"/>
      <c r="T27" s="3248"/>
      <c r="U27" s="3248"/>
      <c r="V27" s="3248"/>
    </row>
    <row r="28" spans="1:26" ht="18.75" customHeight="1">
      <c r="A28" s="3526"/>
      <c r="B28" s="3478"/>
      <c r="C28" s="3478"/>
      <c r="D28" s="3477"/>
      <c r="E28" s="3305"/>
      <c r="F28" s="3305"/>
      <c r="G28" s="3305"/>
      <c r="H28" s="3305"/>
      <c r="I28" s="3305"/>
      <c r="J28" s="3248"/>
      <c r="K28" s="3506" t="str">
        <f ca="1">"楼面地价："&amp;N38&amp;"元/平方米"</f>
        <v>楼面地价：2153元/平方米</v>
      </c>
      <c r="L28" s="3505"/>
      <c r="M28" s="3505"/>
      <c r="N28" s="3505"/>
      <c r="O28" s="3504"/>
      <c r="P28" s="3248"/>
      <c r="V28" s="3248"/>
    </row>
    <row r="29" spans="1:26" ht="18">
      <c r="A29" s="3526"/>
      <c r="B29" s="3478"/>
      <c r="C29" s="3478"/>
      <c r="D29" s="3477"/>
      <c r="E29" s="3305"/>
      <c r="F29" s="3305"/>
      <c r="G29" s="3305"/>
      <c r="H29" s="3305"/>
      <c r="I29" s="3305"/>
      <c r="J29" s="3248"/>
      <c r="K29" s="3506" t="str">
        <f>IF(OR([1]项目基本情况!E8="抵押价格",[1]项目基本情况!E8="已注销及未注销"),"抵押价格："&amp;O39&amp;"万元","——")</f>
        <v>——</v>
      </c>
      <c r="L29" s="3505"/>
      <c r="M29" s="3505"/>
      <c r="N29" s="3505"/>
      <c r="O29" s="3504"/>
      <c r="P29" s="3248"/>
      <c r="V29" s="3248"/>
    </row>
    <row r="30" spans="1:26" ht="18.75" thickBot="1">
      <c r="A30" s="3525" t="s">
        <v>3211</v>
      </c>
      <c r="B30" s="3471"/>
      <c r="C30" s="3471"/>
      <c r="D30" s="3470"/>
      <c r="E30" s="3524" t="s">
        <v>3210</v>
      </c>
      <c r="F30" s="3305"/>
      <c r="G30" s="3305"/>
      <c r="H30" s="3305"/>
      <c r="I30" s="3305"/>
      <c r="J30" s="3248"/>
      <c r="K30" s="3506" t="str">
        <f>IF(K29="——","——","大写金额：人民币"&amp;NUMBERSTRING(INT(O39*10000),2)&amp;"元整")</f>
        <v>——</v>
      </c>
      <c r="L30" s="3505"/>
      <c r="M30" s="3505"/>
      <c r="N30" s="3505"/>
      <c r="O30" s="3504"/>
      <c r="P30" s="3248"/>
      <c r="V30" s="3248"/>
    </row>
    <row r="31" spans="1:26" ht="24" customHeight="1" thickBot="1">
      <c r="A31" s="3305"/>
      <c r="B31" s="3305"/>
      <c r="C31" s="3305"/>
      <c r="D31" s="3305"/>
      <c r="E31" s="3305"/>
      <c r="F31" s="3305"/>
      <c r="G31" s="3305"/>
      <c r="H31" s="3305"/>
      <c r="I31" s="3305"/>
      <c r="J31" s="3248"/>
      <c r="K31" s="3523" t="str">
        <f>IF([1]项目基本情况!E8="抵押价格","——","抵押担保权已注销时的抵押价格："&amp;O40&amp;"万元")</f>
        <v>抵押担保权已注销时的抵押价格：——万元</v>
      </c>
      <c r="L31" s="3522"/>
      <c r="M31" s="3522"/>
      <c r="N31" s="3522"/>
      <c r="O31" s="3521"/>
      <c r="P31" s="3248"/>
      <c r="V31" s="3248"/>
    </row>
    <row r="32" spans="1:26" ht="18.75" thickBot="1">
      <c r="A32" s="3520" t="s">
        <v>3209</v>
      </c>
      <c r="B32" s="3519" t="s">
        <v>3208</v>
      </c>
      <c r="C32" s="3518">
        <f ca="1">G19-C24</f>
        <v>152864</v>
      </c>
      <c r="D32" s="3517" t="s">
        <v>3207</v>
      </c>
      <c r="E32" s="3305"/>
      <c r="F32" s="3305"/>
      <c r="G32" s="3305"/>
      <c r="H32" s="3305"/>
      <c r="I32" s="3305"/>
      <c r="J32" s="3248"/>
      <c r="K32" s="3516" t="e">
        <f>IF(K31="——","——","大写金额：人民币"&amp;NUMBERSTRING(INT(O40*10000),2)&amp;"元整")</f>
        <v>#VALUE!</v>
      </c>
      <c r="L32" s="3515"/>
      <c r="M32" s="3515"/>
      <c r="N32" s="3515"/>
      <c r="O32" s="3514"/>
      <c r="P32" s="3248"/>
      <c r="V32" s="3248"/>
    </row>
    <row r="33" spans="1:26" ht="18.75" thickBot="1">
      <c r="A33" s="3513" t="s">
        <v>3206</v>
      </c>
      <c r="B33" s="3512" t="s">
        <v>3205</v>
      </c>
      <c r="C33" s="3451">
        <f ca="1">ROUND(C32*10000/'[1]数据-汇总表'!E3,0)</f>
        <v>2153</v>
      </c>
      <c r="D33" s="3511" t="s">
        <v>3201</v>
      </c>
      <c r="E33" s="3916" t="s">
        <v>3204</v>
      </c>
      <c r="F33" s="3510" t="s">
        <v>3203</v>
      </c>
      <c r="G33" s="3509"/>
      <c r="H33" s="3508"/>
      <c r="I33" s="3507"/>
      <c r="J33" s="3248"/>
      <c r="K33" s="3506" t="str">
        <f>IF([1]项目基本情况!E9="——","——","抵押净值："&amp;C46&amp;"万元")</f>
        <v>抵押净值：——万元</v>
      </c>
      <c r="L33" s="3505"/>
      <c r="M33" s="3505"/>
      <c r="N33" s="3505"/>
      <c r="O33" s="3504"/>
      <c r="P33" s="3248"/>
      <c r="V33" s="3248"/>
    </row>
    <row r="34" spans="1:26" s="3303" customFormat="1" ht="18.75" thickBot="1">
      <c r="A34" s="3503"/>
      <c r="B34" s="3502" t="s">
        <v>3202</v>
      </c>
      <c r="C34" s="3451">
        <f ca="1">ROUND(C32*10000/'[1]数据-汇总表'!D3,0)</f>
        <v>8351</v>
      </c>
      <c r="D34" s="3501" t="s">
        <v>3201</v>
      </c>
      <c r="E34" s="3918"/>
      <c r="F34" s="3500" t="s">
        <v>3200</v>
      </c>
      <c r="G34" s="3499"/>
      <c r="H34" s="3498"/>
      <c r="I34" s="3305"/>
      <c r="J34" s="3248"/>
      <c r="K34" s="3497" t="e">
        <f>IF(K33="——","——","大写金额：人民币"&amp;NUMBERSTRING(INT(O41*10000),2)&amp;"元整")</f>
        <v>#VALUE!</v>
      </c>
      <c r="L34" s="3496"/>
      <c r="M34" s="3496"/>
      <c r="N34" s="3496"/>
      <c r="O34" s="3495"/>
      <c r="P34" s="3248"/>
      <c r="Q34" s="3304"/>
      <c r="R34" s="3304"/>
      <c r="S34" s="3304"/>
      <c r="T34" s="3304"/>
      <c r="U34" s="3304"/>
      <c r="V34" s="3248"/>
      <c r="W34" s="3304"/>
      <c r="X34" s="3304"/>
      <c r="Y34" s="3304"/>
      <c r="Z34" s="3304"/>
    </row>
    <row r="35" spans="1:26" ht="15.75" thickBot="1">
      <c r="A35" s="3494"/>
      <c r="B35" s="3493"/>
      <c r="C35" s="3492">
        <f ca="1">ROUND(C32/('[1]数据-汇总表'!D3/666.67),0)</f>
        <v>557</v>
      </c>
      <c r="D35" s="3491" t="s">
        <v>3199</v>
      </c>
      <c r="E35" s="3919"/>
      <c r="F35" s="3490" t="s">
        <v>3198</v>
      </c>
      <c r="G35" s="3489"/>
      <c r="H35" s="3488" t="s">
        <v>3197</v>
      </c>
      <c r="I35" s="3305"/>
      <c r="J35" s="3248"/>
      <c r="K35" s="3907" t="s">
        <v>350</v>
      </c>
      <c r="L35" s="3907" t="s">
        <v>351</v>
      </c>
      <c r="M35" s="3487" t="s">
        <v>352</v>
      </c>
      <c r="N35" s="3907" t="s">
        <v>353</v>
      </c>
      <c r="O35" s="3907" t="s">
        <v>354</v>
      </c>
      <c r="P35" s="3248"/>
      <c r="V35" s="3248"/>
    </row>
    <row r="36" spans="1:26" ht="16.5" customHeight="1">
      <c r="A36" s="3486" t="s">
        <v>3196</v>
      </c>
      <c r="B36" s="3485" t="s">
        <v>3195</v>
      </c>
      <c r="C36" s="3484" t="s">
        <v>3194</v>
      </c>
      <c r="D36" s="3484" t="s">
        <v>3193</v>
      </c>
      <c r="E36" s="3483" t="s">
        <v>3192</v>
      </c>
      <c r="F36" s="3305"/>
      <c r="G36" s="3305"/>
      <c r="H36" s="3305"/>
      <c r="I36" s="3305"/>
      <c r="J36" s="3434"/>
      <c r="K36" s="3908"/>
      <c r="L36" s="3908"/>
      <c r="M36" s="3482" t="s">
        <v>355</v>
      </c>
      <c r="N36" s="3908"/>
      <c r="O36" s="3908"/>
      <c r="P36" s="3248"/>
      <c r="V36" s="3248"/>
    </row>
    <row r="37" spans="1:26" ht="16.5" customHeight="1" thickBot="1">
      <c r="A37" s="3480" t="s">
        <v>3191</v>
      </c>
      <c r="B37" s="3479"/>
      <c r="C37" s="3478"/>
      <c r="D37" s="3478"/>
      <c r="E37" s="3477"/>
      <c r="F37" s="3305"/>
      <c r="G37" s="3305"/>
      <c r="H37" s="3305"/>
      <c r="I37" s="3305"/>
      <c r="J37" s="3434"/>
      <c r="K37" s="3909"/>
      <c r="L37" s="3909"/>
      <c r="M37" s="3481"/>
      <c r="N37" s="3909"/>
      <c r="O37" s="3909"/>
      <c r="P37" s="3248"/>
      <c r="V37" s="3248"/>
    </row>
    <row r="38" spans="1:26" ht="16.5" customHeight="1" thickBot="1">
      <c r="A38" s="3480" t="s">
        <v>3190</v>
      </c>
      <c r="B38" s="3479"/>
      <c r="C38" s="3478"/>
      <c r="D38" s="3478"/>
      <c r="E38" s="3477"/>
      <c r="F38" s="3305"/>
      <c r="G38" s="3305"/>
      <c r="H38" s="3305"/>
      <c r="I38" s="3305"/>
      <c r="J38" s="3434"/>
      <c r="K38" s="3476">
        <f>'[1]数据-汇总表'!D3</f>
        <v>183040.85</v>
      </c>
      <c r="L38" s="3475">
        <f>'[1]数据-汇总表'!E3</f>
        <v>709912</v>
      </c>
      <c r="M38" s="3475">
        <f ca="1">C34</f>
        <v>8351</v>
      </c>
      <c r="N38" s="3475">
        <f ca="1">C33</f>
        <v>2153</v>
      </c>
      <c r="O38" s="3474">
        <f ca="1">C32</f>
        <v>152864</v>
      </c>
      <c r="P38" s="3248"/>
      <c r="V38" s="3248"/>
    </row>
    <row r="39" spans="1:26" ht="16.5" customHeight="1" thickBot="1">
      <c r="A39" s="3473"/>
      <c r="B39" s="3472"/>
      <c r="C39" s="3471"/>
      <c r="D39" s="3471"/>
      <c r="E39" s="3470"/>
      <c r="F39" s="3305"/>
      <c r="G39" s="3305"/>
      <c r="H39" s="3305"/>
      <c r="I39" s="3305"/>
      <c r="J39" s="3434"/>
      <c r="K39" s="3900" t="str">
        <f>MID(A44,3,LEN(A44)-2)</f>
        <v/>
      </c>
      <c r="L39" s="3901"/>
      <c r="M39" s="3901"/>
      <c r="N39" s="3902"/>
      <c r="O39" s="3463" t="str">
        <f>C44</f>
        <v>——</v>
      </c>
      <c r="P39" s="3248"/>
      <c r="V39" s="3248"/>
    </row>
    <row r="40" spans="1:26" ht="19.5" thickBot="1">
      <c r="A40" s="3469" t="s">
        <v>3189</v>
      </c>
      <c r="B40" s="3305"/>
      <c r="C40" s="3305"/>
      <c r="D40" s="3305"/>
      <c r="E40" s="3305"/>
      <c r="F40" s="3305"/>
      <c r="G40" s="3305"/>
      <c r="H40" s="3305"/>
      <c r="I40" s="3305"/>
      <c r="J40" s="3434"/>
      <c r="K40" s="3900" t="str">
        <f>MID(A45,3,LEN(A45)-2)</f>
        <v/>
      </c>
      <c r="L40" s="3901"/>
      <c r="M40" s="3901"/>
      <c r="N40" s="3902"/>
      <c r="O40" s="3463" t="str">
        <f>C45</f>
        <v>——</v>
      </c>
      <c r="P40" s="3248"/>
      <c r="V40" s="3248"/>
    </row>
    <row r="41" spans="1:26" ht="16.5" thickBot="1">
      <c r="A41" s="3468" t="s">
        <v>3188</v>
      </c>
      <c r="B41" s="3467"/>
      <c r="C41" s="3466" t="s">
        <v>3187</v>
      </c>
      <c r="D41" s="3465" t="s">
        <v>3186</v>
      </c>
      <c r="E41" s="3465" t="s">
        <v>3185</v>
      </c>
      <c r="F41" s="3464" t="s">
        <v>3184</v>
      </c>
      <c r="G41" s="3305"/>
      <c r="H41" s="3305"/>
      <c r="I41" s="3305"/>
      <c r="J41" s="3434"/>
      <c r="K41" s="3900" t="str">
        <f>MID(A46,3,LEN(A46)-2)</f>
        <v/>
      </c>
      <c r="L41" s="3901"/>
      <c r="M41" s="3901"/>
      <c r="N41" s="3902"/>
      <c r="O41" s="3463" t="str">
        <f>C46</f>
        <v>——</v>
      </c>
      <c r="P41" s="3248"/>
      <c r="V41" s="3248"/>
    </row>
    <row r="42" spans="1:26" ht="29.25">
      <c r="A42" s="3887" t="s">
        <v>3183</v>
      </c>
      <c r="B42" s="3888"/>
      <c r="C42" s="3451">
        <f ca="1">C32</f>
        <v>152864</v>
      </c>
      <c r="D42" s="3443">
        <f ca="1">C33</f>
        <v>2153</v>
      </c>
      <c r="E42" s="3443">
        <f ca="1">C34</f>
        <v>8351</v>
      </c>
      <c r="F42" s="3442">
        <f ca="1">C35</f>
        <v>557</v>
      </c>
      <c r="G42" s="3305"/>
      <c r="H42" s="3305"/>
      <c r="I42" s="3441"/>
      <c r="J42" s="3434"/>
      <c r="K42" s="3462" t="s">
        <v>361</v>
      </c>
      <c r="L42" s="3461" t="s">
        <v>362</v>
      </c>
      <c r="M42" s="3460" t="s">
        <v>363</v>
      </c>
      <c r="N42" s="3459" t="s">
        <v>364</v>
      </c>
      <c r="O42" s="3458" t="s">
        <v>365</v>
      </c>
      <c r="P42" s="3248"/>
      <c r="V42" s="3248"/>
    </row>
    <row r="43" spans="1:26" ht="30">
      <c r="A43" s="3889" t="s">
        <v>2731</v>
      </c>
      <c r="B43" s="3890"/>
      <c r="C43" s="3451">
        <f>IF(H33="正常操作",G33+G34+G35,G34+G35)</f>
        <v>0</v>
      </c>
      <c r="D43" s="3443" t="s">
        <v>3109</v>
      </c>
      <c r="E43" s="3443" t="s">
        <v>3109</v>
      </c>
      <c r="F43" s="3442" t="s">
        <v>3109</v>
      </c>
      <c r="G43" s="3457" t="s">
        <v>952</v>
      </c>
      <c r="H43" s="3305"/>
      <c r="I43" s="3441"/>
      <c r="J43" s="3434"/>
      <c r="K43" s="3456" t="str">
        <f>C4</f>
        <v>基准地价-办公</v>
      </c>
      <c r="L43" s="3455">
        <f ca="1">IF(L42="估价结果/万元",C19,C20)</f>
        <v>149528</v>
      </c>
      <c r="M43" s="3454">
        <f>C18</f>
        <v>0.5</v>
      </c>
      <c r="N43" s="3453">
        <f ca="1">IF(N42="测算结果/万元",G19,G20)</f>
        <v>152864</v>
      </c>
      <c r="O43" s="3452">
        <f ca="1">IF(O42="最终结果/万元",C32,C33)</f>
        <v>152864</v>
      </c>
      <c r="P43" s="3248"/>
      <c r="V43" s="3248"/>
    </row>
    <row r="44" spans="1:26" ht="18.75" thickBot="1">
      <c r="A44" s="3887" t="str">
        <f>IF(OR([1]项目基本情况!E8="抵押价格",[1]项目基本情况!E8="已注销及未注销"),"3.抵押价格","——")</f>
        <v>——</v>
      </c>
      <c r="B44" s="3888"/>
      <c r="C44" s="3451" t="str">
        <f>IF(A44="——","——",C42-C43)</f>
        <v>——</v>
      </c>
      <c r="D44" s="3443" t="e">
        <f>ROUND(C44*10000/'[1]数据-汇总表'!E3,0)</f>
        <v>#VALUE!</v>
      </c>
      <c r="E44" s="3443" t="e">
        <f>ROUND(C44*10000/'[1]数据-汇总表'!D3,0)</f>
        <v>#VALUE!</v>
      </c>
      <c r="F44" s="3442" t="e">
        <f>ROUND(C44/('[1]数据-汇总表'!D3/666.67),0)</f>
        <v>#VALUE!</v>
      </c>
      <c r="G44" s="3305"/>
      <c r="H44" s="3305"/>
      <c r="I44" s="3441"/>
      <c r="J44" s="3434"/>
      <c r="K44" s="3450" t="str">
        <f>D4</f>
        <v>剩余法-办公</v>
      </c>
      <c r="L44" s="3449">
        <f ca="1">IF(L42="估价结果/万元",D19,D20)</f>
        <v>156199</v>
      </c>
      <c r="M44" s="3448">
        <f>D18</f>
        <v>0.5</v>
      </c>
      <c r="N44" s="3447"/>
      <c r="O44" s="3446"/>
      <c r="P44" s="3248"/>
      <c r="V44" s="3248"/>
    </row>
    <row r="45" spans="1:26" ht="15">
      <c r="A45" s="3891" t="str">
        <f>IF([1]项目基本情况!E8="已注销及未注销","4.抵押担保权已注销时的抵押价格",IF([1]项目基本情况!E8="已注销","3.抵押担保权已注销时的抵押价格","——"))</f>
        <v>——</v>
      </c>
      <c r="B45" s="3892"/>
      <c r="C45" s="3445" t="str">
        <f>IF(A45="——","——",IF([1]项目基本情况!E8="抵押价格","——",C32-G34-G35))</f>
        <v>——</v>
      </c>
      <c r="D45" s="3443" t="e">
        <f>ROUND(C45*10000/'[1]数据-汇总表'!E3,0)</f>
        <v>#VALUE!</v>
      </c>
      <c r="E45" s="3443" t="e">
        <f>ROUND(C45*10000/'[1]数据-汇总表'!D3,0)</f>
        <v>#VALUE!</v>
      </c>
      <c r="F45" s="3442" t="e">
        <f>ROUND(C45/('[1]数据-汇总表'!D3/666.67),0)</f>
        <v>#VALUE!</v>
      </c>
      <c r="G45" s="3305"/>
      <c r="H45" s="3305"/>
      <c r="I45" s="3441"/>
      <c r="J45" s="3434"/>
      <c r="K45" s="3248"/>
      <c r="L45" s="3248"/>
      <c r="M45" s="3248"/>
      <c r="N45" s="3248"/>
      <c r="O45" s="3248"/>
      <c r="P45" s="3248"/>
      <c r="V45" s="3248"/>
    </row>
    <row r="46" spans="1:26" ht="15.75" thickBot="1">
      <c r="A46" s="3893" t="str">
        <f>IF([1]项目基本情况!E9="抵押净值",IF(A45="——","4.抵押净值","5.抵押净值"),"——")</f>
        <v>——</v>
      </c>
      <c r="B46" s="3894"/>
      <c r="C46" s="3444" t="str">
        <f>IF(A46="——","——",O79)</f>
        <v>——</v>
      </c>
      <c r="D46" s="3443" t="e">
        <f>ROUND(C46*10000/'[1]数据-汇总表'!E3,0)</f>
        <v>#VALUE!</v>
      </c>
      <c r="E46" s="3443" t="e">
        <f>ROUND(C46*10000/'[1]数据-汇总表'!D3,0)</f>
        <v>#VALUE!</v>
      </c>
      <c r="F46" s="3442" t="e">
        <f>ROUND(C46/('[1]数据-汇总表'!D3/666.67),0)</f>
        <v>#VALUE!</v>
      </c>
      <c r="G46" s="3305"/>
      <c r="H46" s="3305"/>
      <c r="I46" s="3441"/>
      <c r="J46" s="3434"/>
      <c r="K46" s="3248"/>
      <c r="L46" s="3248"/>
      <c r="M46" s="3248"/>
      <c r="N46" s="3248"/>
      <c r="O46" s="3248"/>
      <c r="P46" s="3248"/>
      <c r="Q46" s="3248"/>
      <c r="R46" s="3248"/>
      <c r="S46" s="3248"/>
      <c r="T46" s="3248"/>
      <c r="U46" s="3248"/>
      <c r="V46" s="3248"/>
    </row>
    <row r="47" spans="1:26" ht="15.75">
      <c r="A47" s="3440" t="s">
        <v>3182</v>
      </c>
      <c r="B47" s="3439"/>
      <c r="C47" s="3438" t="s">
        <v>367</v>
      </c>
      <c r="D47" s="3425"/>
      <c r="E47" s="3425"/>
      <c r="F47" s="3425"/>
      <c r="G47" s="3437"/>
      <c r="H47" s="3436"/>
      <c r="I47" s="3435"/>
      <c r="J47" s="3434"/>
      <c r="K47" s="3305" t="str">
        <f>IF(C43=0,"本次评估"&amp;IF(G43="设定","设定估价对象","")&amp;"不存在"&amp;MID(A43,3,LEN(A43)-2),"本次评估"&amp;IF(G43="设定","设定","")&amp;MID(A43,3,LEN(A43)-2)&amp;"为人民币"&amp;C43&amp;"万元整。")</f>
        <v>本次评估不存在估价师知悉的法定优先受偿款</v>
      </c>
      <c r="L47" s="3248"/>
      <c r="M47" s="3248"/>
      <c r="N47" s="3248"/>
      <c r="O47" s="3248"/>
      <c r="P47" s="3248"/>
      <c r="Q47" s="3248"/>
      <c r="R47" s="3248"/>
      <c r="S47" s="3248"/>
      <c r="T47" s="3248"/>
      <c r="U47" s="3248"/>
      <c r="V47" s="3248"/>
    </row>
    <row r="48" spans="1:26" ht="12.75">
      <c r="A48" s="3433">
        <v>1</v>
      </c>
      <c r="B48" s="3426"/>
      <c r="C48" s="3426"/>
      <c r="D48" s="3425"/>
      <c r="E48" s="3425"/>
      <c r="F48" s="3425"/>
      <c r="G48" s="3425"/>
      <c r="H48" s="3424"/>
      <c r="I48" s="3432"/>
      <c r="J48" s="3434"/>
      <c r="K48" s="3248"/>
      <c r="L48" s="3248"/>
      <c r="M48" s="3248"/>
      <c r="N48" s="3248"/>
      <c r="O48" s="3248"/>
      <c r="P48" s="3248"/>
      <c r="Q48" s="3248"/>
      <c r="R48" s="3248"/>
      <c r="S48" s="3248"/>
      <c r="T48" s="3248"/>
      <c r="U48" s="3248"/>
      <c r="V48" s="3248"/>
    </row>
    <row r="49" spans="1:22" ht="12.75">
      <c r="A49" s="3433">
        <v>2</v>
      </c>
      <c r="B49" s="3426"/>
      <c r="C49" s="3426"/>
      <c r="D49" s="3425"/>
      <c r="E49" s="3425"/>
      <c r="F49" s="3425"/>
      <c r="G49" s="3425"/>
      <c r="H49" s="3424"/>
      <c r="I49" s="3432"/>
      <c r="J49" s="3416"/>
      <c r="K49" s="3248"/>
      <c r="L49" s="3248"/>
      <c r="M49" s="3248"/>
      <c r="N49" s="3248"/>
      <c r="O49" s="3248"/>
      <c r="P49" s="3248"/>
      <c r="Q49" s="3248"/>
      <c r="R49" s="3248"/>
      <c r="S49" s="3248"/>
      <c r="T49" s="3248"/>
      <c r="U49" s="3248"/>
      <c r="V49" s="3248"/>
    </row>
    <row r="50" spans="1:22" ht="12.75">
      <c r="A50" s="3433">
        <v>3</v>
      </c>
      <c r="B50" s="3426"/>
      <c r="C50" s="3426"/>
      <c r="D50" s="3425"/>
      <c r="E50" s="3425"/>
      <c r="F50" s="3425"/>
      <c r="G50" s="3425"/>
      <c r="H50" s="3424"/>
      <c r="I50" s="3432"/>
      <c r="J50" s="3416"/>
      <c r="K50" s="3248"/>
      <c r="L50" s="3248"/>
      <c r="M50" s="3248"/>
      <c r="N50" s="3248"/>
      <c r="O50" s="3248"/>
      <c r="P50" s="3248"/>
      <c r="Q50" s="3248"/>
      <c r="R50" s="3248"/>
      <c r="S50" s="3248"/>
      <c r="T50" s="3248"/>
      <c r="U50" s="3248"/>
      <c r="V50" s="3248"/>
    </row>
    <row r="51" spans="1:22" ht="12.75">
      <c r="A51" s="3431"/>
      <c r="B51" s="3430"/>
      <c r="C51" s="3430"/>
      <c r="D51" s="3429"/>
      <c r="E51" s="3429"/>
      <c r="F51" s="3429"/>
      <c r="G51" s="3429"/>
      <c r="H51" s="3428"/>
      <c r="I51" s="3427"/>
      <c r="J51" s="3416"/>
      <c r="K51" s="3248"/>
      <c r="L51" s="3248"/>
      <c r="M51" s="3248"/>
      <c r="N51" s="3248"/>
      <c r="O51" s="3248"/>
      <c r="P51" s="3248"/>
      <c r="Q51" s="3248"/>
      <c r="R51" s="3248"/>
      <c r="S51" s="3248"/>
      <c r="T51" s="3248"/>
      <c r="U51" s="3248"/>
      <c r="V51" s="3248"/>
    </row>
    <row r="52" spans="1:22" ht="12.75">
      <c r="A52" s="3426"/>
      <c r="B52" s="3426"/>
      <c r="C52" s="3426"/>
      <c r="D52" s="3425"/>
      <c r="E52" s="3425"/>
      <c r="F52" s="3425"/>
      <c r="G52" s="3425"/>
      <c r="H52" s="3424"/>
      <c r="I52" s="3240"/>
      <c r="J52" s="3416"/>
      <c r="K52" s="3248"/>
      <c r="L52" s="3248"/>
      <c r="M52" s="3248"/>
      <c r="N52" s="3248"/>
      <c r="O52" s="3248"/>
      <c r="P52" s="3248"/>
      <c r="Q52" s="3248"/>
      <c r="R52" s="3248"/>
      <c r="S52" s="3248"/>
      <c r="T52" s="3248"/>
      <c r="U52" s="3248"/>
      <c r="V52" s="3248"/>
    </row>
    <row r="53" spans="1:22" ht="12.75">
      <c r="A53" s="3240"/>
      <c r="B53" s="3240"/>
      <c r="C53" s="3240"/>
      <c r="D53" s="3240"/>
      <c r="E53" s="3240"/>
      <c r="F53" s="3423" t="s">
        <v>3181</v>
      </c>
      <c r="G53" s="3422"/>
      <c r="H53" s="3422"/>
      <c r="I53" s="3421" t="s">
        <v>3180</v>
      </c>
      <c r="J53" s="3416"/>
      <c r="K53" s="3248"/>
      <c r="L53" s="3248"/>
      <c r="M53" s="3248"/>
      <c r="N53" s="3248"/>
      <c r="O53" s="3248"/>
      <c r="P53" s="3248"/>
      <c r="Q53" s="3248"/>
      <c r="R53" s="3248"/>
      <c r="S53" s="3248"/>
      <c r="T53" s="3248"/>
      <c r="U53" s="3248"/>
      <c r="V53" s="3248"/>
    </row>
    <row r="54" spans="1:22" ht="12.75">
      <c r="A54" s="3240"/>
      <c r="B54" s="3420" t="s">
        <v>3179</v>
      </c>
      <c r="C54" s="3240"/>
      <c r="D54" s="3240"/>
      <c r="E54" s="3240"/>
      <c r="F54" s="3240"/>
      <c r="G54" s="3240"/>
      <c r="H54" s="3240"/>
      <c r="I54" s="3240"/>
      <c r="J54" s="3416"/>
      <c r="K54" s="3248"/>
      <c r="L54" s="3248"/>
      <c r="M54" s="3248"/>
      <c r="N54" s="3248"/>
      <c r="O54" s="3248"/>
      <c r="P54" s="3248"/>
      <c r="Q54" s="3248"/>
      <c r="R54" s="3248"/>
      <c r="S54" s="3248"/>
      <c r="T54" s="3248"/>
      <c r="U54" s="3248"/>
      <c r="V54" s="3248"/>
    </row>
    <row r="55" spans="1:22" ht="12.75">
      <c r="A55" s="3240"/>
      <c r="B55" s="3240"/>
      <c r="C55" s="3240"/>
      <c r="D55" s="3240"/>
      <c r="E55" s="3240"/>
      <c r="F55" s="3240"/>
      <c r="G55" s="3240"/>
      <c r="H55" s="3240"/>
      <c r="I55" s="3240"/>
      <c r="J55" s="3416"/>
      <c r="K55" s="3248"/>
      <c r="L55" s="3248"/>
      <c r="M55" s="3248"/>
      <c r="N55" s="3248"/>
      <c r="O55" s="3248"/>
      <c r="P55" s="3248"/>
      <c r="Q55" s="3248"/>
      <c r="R55" s="3248"/>
      <c r="S55" s="3248"/>
      <c r="T55" s="3248"/>
      <c r="U55" s="3248"/>
      <c r="V55" s="3248"/>
    </row>
    <row r="56" spans="1:22" ht="12.75">
      <c r="A56" s="3240"/>
      <c r="B56" s="3422"/>
      <c r="C56" s="3422"/>
      <c r="D56" s="3422"/>
      <c r="E56" s="3422"/>
      <c r="F56" s="3422"/>
      <c r="G56" s="3422"/>
      <c r="H56" s="3422"/>
      <c r="I56" s="3421" t="s">
        <v>3177</v>
      </c>
      <c r="J56" s="3416"/>
      <c r="K56" s="3248"/>
      <c r="L56" s="3248"/>
      <c r="M56" s="3248"/>
      <c r="N56" s="3248"/>
      <c r="O56" s="3248"/>
      <c r="P56" s="3248"/>
      <c r="Q56" s="3248"/>
      <c r="R56" s="3248"/>
      <c r="S56" s="3248"/>
      <c r="T56" s="3248"/>
      <c r="U56" s="3248"/>
      <c r="V56" s="3248"/>
    </row>
    <row r="57" spans="1:22" ht="12.75">
      <c r="A57" s="3240"/>
      <c r="B57" s="3420" t="s">
        <v>3178</v>
      </c>
      <c r="C57" s="3240"/>
      <c r="D57" s="3240"/>
      <c r="E57" s="3240"/>
      <c r="F57" s="3240"/>
      <c r="G57" s="3240"/>
      <c r="H57" s="3240"/>
      <c r="I57" s="3240"/>
      <c r="J57" s="3416"/>
      <c r="K57" s="3248"/>
      <c r="L57" s="3248"/>
      <c r="M57" s="3248"/>
      <c r="N57" s="3248"/>
      <c r="O57" s="3248"/>
      <c r="P57" s="3248"/>
      <c r="Q57" s="3248"/>
      <c r="R57" s="3248"/>
      <c r="S57" s="3248"/>
      <c r="T57" s="3248"/>
      <c r="U57" s="3248"/>
      <c r="V57" s="3248"/>
    </row>
    <row r="58" spans="1:22" ht="12.75">
      <c r="A58" s="3240"/>
      <c r="B58" s="3420"/>
      <c r="C58" s="3240"/>
      <c r="D58" s="3240"/>
      <c r="E58" s="3240"/>
      <c r="F58" s="3240"/>
      <c r="G58" s="3240"/>
      <c r="H58" s="3240"/>
      <c r="I58" s="3240"/>
      <c r="J58" s="3416"/>
      <c r="K58" s="3248"/>
      <c r="L58" s="3248"/>
      <c r="M58" s="3248"/>
      <c r="N58" s="3248"/>
      <c r="O58" s="3248"/>
      <c r="P58" s="3248"/>
      <c r="Q58" s="3248"/>
      <c r="R58" s="3248"/>
      <c r="S58" s="3248"/>
      <c r="T58" s="3248"/>
      <c r="U58" s="3248"/>
      <c r="V58" s="3248"/>
    </row>
    <row r="59" spans="1:22" ht="12.75">
      <c r="A59" s="3240"/>
      <c r="B59" s="3422"/>
      <c r="C59" s="3422"/>
      <c r="D59" s="3422"/>
      <c r="E59" s="3422"/>
      <c r="F59" s="3422"/>
      <c r="G59" s="3422"/>
      <c r="H59" s="3422"/>
      <c r="I59" s="3421" t="s">
        <v>3177</v>
      </c>
      <c r="J59" s="3416"/>
      <c r="K59" s="3248"/>
      <c r="L59" s="3248"/>
      <c r="M59" s="3248"/>
      <c r="N59" s="3248"/>
      <c r="O59" s="3248"/>
      <c r="P59" s="3248"/>
      <c r="Q59" s="3248"/>
      <c r="R59" s="3248"/>
      <c r="S59" s="3248"/>
      <c r="T59" s="3248"/>
      <c r="U59" s="3248"/>
      <c r="V59" s="3248"/>
    </row>
    <row r="60" spans="1:22" ht="12.75">
      <c r="A60" s="3240"/>
      <c r="B60" s="3240"/>
      <c r="C60" s="3240"/>
      <c r="D60" s="3240"/>
      <c r="E60" s="3240"/>
      <c r="F60" s="3240"/>
      <c r="G60" s="3240"/>
      <c r="H60" s="3240"/>
      <c r="I60" s="3240"/>
      <c r="J60" s="3416"/>
      <c r="K60" s="3248"/>
      <c r="L60" s="3248"/>
      <c r="M60" s="3248"/>
      <c r="N60" s="3248"/>
      <c r="O60" s="3248"/>
      <c r="P60" s="3248"/>
      <c r="Q60" s="3248"/>
      <c r="R60" s="3248"/>
      <c r="S60" s="3248"/>
      <c r="T60" s="3248"/>
      <c r="U60" s="3248"/>
      <c r="V60" s="3248"/>
    </row>
    <row r="61" spans="1:22" ht="12.75">
      <c r="A61" s="3240"/>
      <c r="B61" s="3420"/>
      <c r="C61" s="3419"/>
      <c r="D61" s="3418"/>
      <c r="E61" s="3418"/>
      <c r="F61" s="3417"/>
      <c r="G61" s="3240"/>
      <c r="H61" s="3240"/>
      <c r="I61" s="3240"/>
      <c r="J61" s="3416"/>
      <c r="K61" s="3248"/>
      <c r="L61" s="3248"/>
      <c r="M61" s="3248"/>
      <c r="N61" s="3248"/>
      <c r="O61" s="3248"/>
      <c r="P61" s="3248"/>
      <c r="Q61" s="3248"/>
      <c r="R61" s="3248"/>
      <c r="S61" s="3248"/>
      <c r="T61" s="3248"/>
      <c r="U61" s="3248"/>
      <c r="V61" s="3248"/>
    </row>
    <row r="62" spans="1:22" ht="18.75">
      <c r="A62" s="3415" t="s">
        <v>3176</v>
      </c>
      <c r="B62" s="3414"/>
      <c r="C62" s="3414"/>
      <c r="D62" s="3413"/>
      <c r="E62" s="3413"/>
      <c r="F62" s="3412"/>
      <c r="G62" s="3412"/>
      <c r="H62" s="3412"/>
      <c r="I62" s="3412"/>
      <c r="J62" s="3411"/>
      <c r="K62" s="3248"/>
      <c r="L62" s="3248"/>
      <c r="M62" s="3248"/>
      <c r="N62" s="3248"/>
      <c r="O62" s="3248"/>
      <c r="P62" s="3248"/>
      <c r="Q62" s="3248"/>
      <c r="R62" s="3248"/>
      <c r="S62" s="3248"/>
      <c r="T62" s="3248"/>
      <c r="U62" s="3248"/>
      <c r="V62" s="3248"/>
    </row>
    <row r="63" spans="1:22" ht="14.25" customHeight="1" thickBot="1">
      <c r="A63" s="3895" t="s">
        <v>3175</v>
      </c>
      <c r="B63" s="3896"/>
      <c r="C63" s="3897"/>
      <c r="D63" s="3410">
        <f ca="1">ROUND(C42*F63,0)</f>
        <v>91718</v>
      </c>
      <c r="E63" s="3409" t="s">
        <v>3174</v>
      </c>
      <c r="F63" s="3408">
        <v>0.6</v>
      </c>
      <c r="G63" s="3407" t="s">
        <v>3173</v>
      </c>
      <c r="H63" s="3305"/>
      <c r="I63" s="3305"/>
      <c r="J63" s="3248"/>
      <c r="K63" s="3248"/>
      <c r="L63" s="3248"/>
      <c r="M63" s="3248"/>
      <c r="N63" s="3248"/>
      <c r="O63" s="3248"/>
      <c r="P63" s="3305"/>
      <c r="Q63" s="3248"/>
      <c r="R63" s="3248"/>
      <c r="S63" s="3248"/>
      <c r="T63" s="3248"/>
      <c r="U63" s="3248"/>
      <c r="V63" s="3248"/>
    </row>
    <row r="64" spans="1:22" ht="14.25" customHeight="1">
      <c r="A64" s="3903" t="s">
        <v>3172</v>
      </c>
      <c r="B64" s="3904"/>
      <c r="C64" s="3904"/>
      <c r="D64" s="3904"/>
      <c r="E64" s="3904"/>
      <c r="F64" s="3904"/>
      <c r="G64" s="3905"/>
      <c r="H64" s="3389"/>
      <c r="I64" s="3400"/>
      <c r="J64" s="3399"/>
      <c r="K64" s="3406" t="s">
        <v>377</v>
      </c>
      <c r="L64" s="3252"/>
      <c r="M64" s="3252"/>
      <c r="N64" s="3252"/>
      <c r="O64" s="3252"/>
      <c r="P64" s="3305"/>
      <c r="Q64" s="3248"/>
      <c r="R64" s="3248"/>
      <c r="S64" s="3248"/>
      <c r="T64" s="3248"/>
      <c r="U64" s="3248"/>
      <c r="V64" s="3248"/>
    </row>
    <row r="65" spans="1:22" ht="12" customHeight="1">
      <c r="A65" s="3405" t="s">
        <v>3171</v>
      </c>
      <c r="B65" s="3404"/>
      <c r="C65" s="3403"/>
      <c r="D65" s="3402" t="s">
        <v>3170</v>
      </c>
      <c r="E65" s="3298" t="s">
        <v>3169</v>
      </c>
      <c r="F65" s="3282" t="s">
        <v>3168</v>
      </c>
      <c r="G65" s="3401" t="s">
        <v>3105</v>
      </c>
      <c r="H65" s="3389"/>
      <c r="I65" s="3400"/>
      <c r="J65" s="3399"/>
      <c r="K65" s="3398"/>
      <c r="L65" s="3397"/>
      <c r="M65" s="3397"/>
      <c r="N65" s="3396" t="s">
        <v>3167</v>
      </c>
      <c r="O65" s="3395"/>
      <c r="P65" s="3394"/>
      <c r="Q65" s="3248"/>
      <c r="R65" s="3248"/>
      <c r="S65" s="3248"/>
      <c r="T65" s="3248"/>
      <c r="U65" s="3248"/>
      <c r="V65" s="3248"/>
    </row>
    <row r="66" spans="1:22" ht="25.5">
      <c r="A66" s="3906" t="s">
        <v>3166</v>
      </c>
      <c r="B66" s="3875"/>
      <c r="C66" s="3875"/>
      <c r="D66" s="3393">
        <f ca="1">IF(H66="情况1",0,IF(H66="情况2",D70,IF(H66="情况3",D71,IF(H66="情况4",D72))))</f>
        <v>4892</v>
      </c>
      <c r="E66" s="3392" t="str">
        <f>IF(H66="情况4","(销售额-原购置价)×税（费）率","销售额×税（费）率")</f>
        <v>销售额×税（费）率</v>
      </c>
      <c r="F66" s="3391">
        <f>IF(H66="情况1","免征",'[1]数据-取费表'!B41)</f>
        <v>5.6000000000000001E-2</v>
      </c>
      <c r="G66" s="3390" t="s">
        <v>3139</v>
      </c>
      <c r="H66" s="3362" t="s">
        <v>388</v>
      </c>
      <c r="I66" s="3389"/>
      <c r="J66" s="3388"/>
      <c r="K66" s="3387">
        <v>1</v>
      </c>
      <c r="L66" s="3898" t="s">
        <v>385</v>
      </c>
      <c r="M66" s="3899"/>
      <c r="N66" s="3386"/>
      <c r="O66" s="3385"/>
      <c r="P66" s="3384"/>
      <c r="Q66" s="3248"/>
      <c r="R66" s="3248"/>
      <c r="S66" s="3248"/>
      <c r="T66" s="3248"/>
      <c r="U66" s="3248"/>
      <c r="V66" s="3248"/>
    </row>
    <row r="67" spans="1:22" ht="25.5" customHeight="1">
      <c r="A67" s="3383" t="s">
        <v>3146</v>
      </c>
      <c r="B67" s="3862" t="s">
        <v>3165</v>
      </c>
      <c r="C67" s="3862"/>
      <c r="D67" s="3382">
        <v>0</v>
      </c>
      <c r="E67" s="3355" t="s">
        <v>3144</v>
      </c>
      <c r="F67" s="3381" t="s">
        <v>1765</v>
      </c>
      <c r="G67" s="3881"/>
      <c r="H67" s="3305"/>
      <c r="I67" s="3363"/>
      <c r="J67" s="3337"/>
      <c r="K67" s="3327">
        <v>2</v>
      </c>
      <c r="L67" s="3884" t="s">
        <v>389</v>
      </c>
      <c r="M67" s="3884"/>
      <c r="N67" s="3380">
        <f>'[1]数据-取费表'!B2</f>
        <v>43388</v>
      </c>
      <c r="O67" s="3380"/>
      <c r="P67" s="3380"/>
      <c r="Q67" s="3248"/>
      <c r="R67" s="3248"/>
      <c r="S67" s="3248"/>
      <c r="T67" s="3248"/>
      <c r="U67" s="3248"/>
      <c r="V67" s="3248"/>
    </row>
    <row r="68" spans="1:22" ht="25.5" customHeight="1">
      <c r="A68" s="3379"/>
      <c r="B68" s="3862" t="s">
        <v>3164</v>
      </c>
      <c r="C68" s="3862"/>
      <c r="D68" s="3378"/>
      <c r="E68" s="3377"/>
      <c r="F68" s="3374"/>
      <c r="G68" s="3882"/>
      <c r="H68" s="3305"/>
      <c r="I68" s="3363"/>
      <c r="J68" s="3337"/>
      <c r="K68" s="3327">
        <v>3</v>
      </c>
      <c r="L68" s="3884" t="s">
        <v>3163</v>
      </c>
      <c r="M68" s="3884"/>
      <c r="N68" s="3376">
        <f ca="1">C42</f>
        <v>152864</v>
      </c>
      <c r="O68" s="3376"/>
      <c r="P68" s="3376"/>
      <c r="Q68" s="3248"/>
      <c r="R68" s="3248"/>
      <c r="S68" s="3248"/>
      <c r="T68" s="3248"/>
      <c r="U68" s="3248"/>
      <c r="V68" s="3248"/>
    </row>
    <row r="69" spans="1:22" ht="12" customHeight="1">
      <c r="A69" s="3375"/>
      <c r="B69" s="3862" t="s">
        <v>3162</v>
      </c>
      <c r="C69" s="3862"/>
      <c r="D69" s="3366"/>
      <c r="E69" s="3365"/>
      <c r="F69" s="3374"/>
      <c r="G69" s="3883"/>
      <c r="H69" s="3305"/>
      <c r="I69" s="3363"/>
      <c r="J69" s="3337"/>
      <c r="K69" s="3373">
        <v>4</v>
      </c>
      <c r="L69" s="3885" t="s">
        <v>3161</v>
      </c>
      <c r="M69" s="3886"/>
      <c r="N69" s="3372" t="str">
        <f>C44</f>
        <v>——</v>
      </c>
      <c r="O69" s="3372"/>
      <c r="P69" s="3372"/>
      <c r="Q69" s="3248"/>
      <c r="R69" s="3248"/>
      <c r="S69" s="3248"/>
      <c r="T69" s="3248"/>
      <c r="U69" s="3248"/>
      <c r="V69" s="3248"/>
    </row>
    <row r="70" spans="1:22" ht="24" customHeight="1">
      <c r="A70" s="3350" t="s">
        <v>3143</v>
      </c>
      <c r="B70" s="3862" t="s">
        <v>3160</v>
      </c>
      <c r="C70" s="3862"/>
      <c r="D70" s="3366">
        <f ca="1">ROUND(D63*'[1]数据-取费表'!B41/(1+'[1]数据-取费表'!C42),0)</f>
        <v>4892</v>
      </c>
      <c r="E70" s="3348" t="s">
        <v>3156</v>
      </c>
      <c r="F70" s="3360">
        <f>'[1]数据-取费表'!B41</f>
        <v>5.6000000000000001E-2</v>
      </c>
      <c r="G70" s="3347"/>
      <c r="H70" s="3305"/>
      <c r="I70" s="3363"/>
      <c r="J70" s="3337"/>
      <c r="K70" s="3371"/>
      <c r="L70" s="3369"/>
      <c r="M70" s="3369"/>
      <c r="N70" s="3370" t="s">
        <v>3159</v>
      </c>
      <c r="O70" s="3369"/>
      <c r="P70" s="3368"/>
      <c r="Q70" s="3248"/>
      <c r="R70" s="3248"/>
      <c r="S70" s="3248"/>
      <c r="T70" s="3248"/>
      <c r="U70" s="3248"/>
      <c r="V70" s="3248"/>
    </row>
    <row r="71" spans="1:22" ht="12" customHeight="1">
      <c r="A71" s="3350" t="s">
        <v>3158</v>
      </c>
      <c r="B71" s="3861" t="s">
        <v>3157</v>
      </c>
      <c r="C71" s="3872"/>
      <c r="D71" s="3366">
        <f ca="1">ROUND(D63*'[1]数据-取费表'!B41/(1+'[1]数据-取费表'!C42),0)</f>
        <v>4892</v>
      </c>
      <c r="E71" s="3348" t="s">
        <v>3156</v>
      </c>
      <c r="F71" s="3360">
        <f>'[1]数据-取费表'!B41</f>
        <v>5.6000000000000001E-2</v>
      </c>
      <c r="G71" s="3347"/>
      <c r="H71" s="3305"/>
      <c r="I71" s="3363"/>
      <c r="J71" s="3337"/>
      <c r="K71" s="3367" t="s">
        <v>399</v>
      </c>
      <c r="L71" s="3873" t="s">
        <v>400</v>
      </c>
      <c r="M71" s="3873"/>
      <c r="N71" s="3367" t="s">
        <v>401</v>
      </c>
      <c r="O71" s="3367" t="s">
        <v>402</v>
      </c>
      <c r="P71" s="3367" t="s">
        <v>403</v>
      </c>
      <c r="Q71" s="3248"/>
      <c r="R71" s="3248"/>
      <c r="S71" s="3248"/>
      <c r="T71" s="3248"/>
      <c r="U71" s="3248"/>
      <c r="V71" s="3248"/>
    </row>
    <row r="72" spans="1:22" ht="12" customHeight="1">
      <c r="A72" s="3350" t="s">
        <v>3155</v>
      </c>
      <c r="B72" s="3861" t="s">
        <v>3154</v>
      </c>
      <c r="C72" s="3872"/>
      <c r="D72" s="3366">
        <f ca="1">C86</f>
        <v>4780</v>
      </c>
      <c r="E72" s="3365" t="s">
        <v>3153</v>
      </c>
      <c r="F72" s="3360">
        <f>'[1]数据-取费表'!B41</f>
        <v>5.6000000000000001E-2</v>
      </c>
      <c r="G72" s="3347"/>
      <c r="H72" s="3364"/>
      <c r="I72" s="3363"/>
      <c r="J72" s="3337"/>
      <c r="K72" s="3327">
        <v>1</v>
      </c>
      <c r="L72" s="3868" t="s">
        <v>3152</v>
      </c>
      <c r="M72" s="3868"/>
      <c r="N72" s="3346">
        <f ca="1">D66</f>
        <v>4892</v>
      </c>
      <c r="O72" s="3358" t="str">
        <f>E66</f>
        <v>销售额×税（费）率</v>
      </c>
      <c r="P72" s="3361">
        <f>F66</f>
        <v>5.6000000000000001E-2</v>
      </c>
      <c r="Q72" s="3248"/>
      <c r="R72" s="3248"/>
      <c r="S72" s="3248"/>
      <c r="T72" s="3248"/>
      <c r="U72" s="3248"/>
      <c r="V72" s="3248"/>
    </row>
    <row r="73" spans="1:22" ht="24" customHeight="1">
      <c r="A73" s="3874" t="s">
        <v>3151</v>
      </c>
      <c r="B73" s="3875"/>
      <c r="C73" s="3875"/>
      <c r="D73" s="3349">
        <f>IF(H73="个人住宅",0,ROUND(D63*I73,0))</f>
        <v>0</v>
      </c>
      <c r="E73" s="3348" t="s">
        <v>3150</v>
      </c>
      <c r="F73" s="3360" t="str">
        <f>IF(H73="正常",I73,"免征")</f>
        <v>免征</v>
      </c>
      <c r="G73" s="3347"/>
      <c r="H73" s="3362" t="s">
        <v>2456</v>
      </c>
      <c r="I73" s="3360">
        <f>'[1]数据-取费表'!B49</f>
        <v>5.0000000000000001E-4</v>
      </c>
      <c r="J73" s="3337"/>
      <c r="K73" s="3327">
        <v>2</v>
      </c>
      <c r="L73" s="3868" t="s">
        <v>3149</v>
      </c>
      <c r="M73" s="3868"/>
      <c r="N73" s="3346">
        <f t="shared" ref="N73:P74" si="0">D73</f>
        <v>0</v>
      </c>
      <c r="O73" s="3358" t="str">
        <f t="shared" si="0"/>
        <v>销售额×税（费）率</v>
      </c>
      <c r="P73" s="3361" t="str">
        <f t="shared" si="0"/>
        <v>免征</v>
      </c>
      <c r="Q73" s="3248"/>
      <c r="R73" s="3248"/>
      <c r="S73" s="3248"/>
      <c r="T73" s="3248"/>
      <c r="U73" s="3248"/>
      <c r="V73" s="3248"/>
    </row>
    <row r="74" spans="1:22" ht="24.75">
      <c r="A74" s="3874" t="s">
        <v>3148</v>
      </c>
      <c r="B74" s="3875"/>
      <c r="C74" s="3875"/>
      <c r="D74" s="3349">
        <f ca="1">IF(H74="个人住宅",D75,D76)</f>
        <v>51257</v>
      </c>
      <c r="E74" s="3348" t="s">
        <v>3141</v>
      </c>
      <c r="F74" s="3360" t="str">
        <f>IF(H74="正常",F76,"免征")</f>
        <v>——</v>
      </c>
      <c r="G74" s="3359" t="s">
        <v>3139</v>
      </c>
      <c r="H74" s="3341" t="s">
        <v>413</v>
      </c>
      <c r="I74" s="3307"/>
      <c r="J74" s="3337"/>
      <c r="K74" s="3327">
        <v>3</v>
      </c>
      <c r="L74" s="3868" t="s">
        <v>3147</v>
      </c>
      <c r="M74" s="3868"/>
      <c r="N74" s="3346">
        <f t="shared" ca="1" si="0"/>
        <v>51257</v>
      </c>
      <c r="O74" s="3358" t="str">
        <f t="shared" si="0"/>
        <v>增值额×税（费）率</v>
      </c>
      <c r="P74" s="3357" t="str">
        <f t="shared" si="0"/>
        <v>——</v>
      </c>
      <c r="Q74" s="3248"/>
      <c r="R74" s="3248"/>
      <c r="S74" s="3248"/>
      <c r="T74" s="3248"/>
      <c r="U74" s="3248"/>
      <c r="V74" s="3248"/>
    </row>
    <row r="75" spans="1:22" ht="24">
      <c r="A75" s="3350" t="s">
        <v>3146</v>
      </c>
      <c r="B75" s="3876" t="s">
        <v>3145</v>
      </c>
      <c r="C75" s="3877"/>
      <c r="D75" s="3356">
        <v>0</v>
      </c>
      <c r="E75" s="3355" t="s">
        <v>3144</v>
      </c>
      <c r="F75" s="3354"/>
      <c r="G75" s="3347"/>
      <c r="H75" s="3307"/>
      <c r="I75" s="3307"/>
      <c r="J75" s="3337"/>
      <c r="K75" s="3327">
        <f>IF(H77="非个人房产","",4)</f>
        <v>4</v>
      </c>
      <c r="L75" s="3868" t="str">
        <f>IF(H77="非个人房产","——","个人所得税")</f>
        <v>个人所得税</v>
      </c>
      <c r="M75" s="3868"/>
      <c r="N75" s="3353">
        <f ca="1">D77</f>
        <v>917</v>
      </c>
      <c r="O75" s="3352" t="str">
        <f>E77</f>
        <v>销售额×税（费）率</v>
      </c>
      <c r="P75" s="3351">
        <f>F77</f>
        <v>0.01</v>
      </c>
      <c r="Q75" s="3248"/>
      <c r="R75" s="3248"/>
      <c r="S75" s="3248"/>
      <c r="T75" s="3248"/>
      <c r="U75" s="3248"/>
      <c r="V75" s="3248"/>
    </row>
    <row r="76" spans="1:22" ht="24.75">
      <c r="A76" s="3350" t="s">
        <v>3143</v>
      </c>
      <c r="B76" s="3876" t="s">
        <v>3142</v>
      </c>
      <c r="C76" s="3878"/>
      <c r="D76" s="3349">
        <f ca="1">IF(H76="转让取得",C99,C115)</f>
        <v>51257</v>
      </c>
      <c r="E76" s="3348" t="s">
        <v>3141</v>
      </c>
      <c r="F76" s="3298" t="s">
        <v>1765</v>
      </c>
      <c r="G76" s="3347"/>
      <c r="H76" s="3341" t="s">
        <v>424</v>
      </c>
      <c r="I76" s="3307"/>
      <c r="J76" s="3337"/>
      <c r="K76" s="3327" t="str">
        <f>IF([1]项目基本情况!K6="上海银行",IF(K75="",4,K75+1),"")</f>
        <v/>
      </c>
      <c r="L76" s="3879" t="str">
        <f>IF([1]项目基本情况!K6="上海银行","其他处置费用","")</f>
        <v/>
      </c>
      <c r="M76" s="3880"/>
      <c r="N76" s="3346" t="str">
        <f>IF([1]项目基本情况!K6="上海银行",N89,"")</f>
        <v/>
      </c>
      <c r="O76" s="3852" t="str">
        <f>IF([1]项目基本情况!K6="上海银行","包含处置中涉及的律师、诉讼、拍卖、评估等费用","")</f>
        <v/>
      </c>
      <c r="P76" s="3853"/>
      <c r="Q76" s="3248"/>
      <c r="R76" s="3248"/>
      <c r="S76" s="3248"/>
      <c r="T76" s="3248"/>
      <c r="U76" s="3248"/>
      <c r="V76" s="3248"/>
    </row>
    <row r="77" spans="1:22" ht="26.25" thickBot="1">
      <c r="A77" s="3869" t="s">
        <v>3140</v>
      </c>
      <c r="B77" s="3870"/>
      <c r="C77" s="3870"/>
      <c r="D77" s="3345">
        <f ca="1">IF(H77="非个人房产","——",IF(H77="个人住宅",0,ROUND(D63*I77,0)))</f>
        <v>917</v>
      </c>
      <c r="E77" s="3344" t="str">
        <f>IF(H77="非个人房产","——","销售额×税（费）率")</f>
        <v>销售额×税（费）率</v>
      </c>
      <c r="F77" s="3343">
        <f>IF(H77="非个人房产","——",IF(H77="个人住宅","免征",I77))</f>
        <v>0.01</v>
      </c>
      <c r="G77" s="3342" t="s">
        <v>3139</v>
      </c>
      <c r="H77" s="3341" t="s">
        <v>2884</v>
      </c>
      <c r="I77" s="3340">
        <v>0.01</v>
      </c>
      <c r="J77" s="3337"/>
      <c r="K77" s="3871">
        <f>IF(AND(K75="",K76=""),4,IF([1]项目基本情况!K6="上海银行",K76+1,K75+1))</f>
        <v>5</v>
      </c>
      <c r="L77" s="3868" t="s">
        <v>182</v>
      </c>
      <c r="M77" s="3335" t="s">
        <v>421</v>
      </c>
      <c r="N77" s="3334"/>
      <c r="O77" s="3333">
        <f ca="1">SUMIF(N72:N76,"&lt;9e307")</f>
        <v>57066</v>
      </c>
      <c r="P77" s="3332"/>
      <c r="Q77" s="3339" t="e">
        <f ca="1">O77/N69</f>
        <v>#VALUE!</v>
      </c>
      <c r="R77" s="3248"/>
      <c r="S77" s="3248"/>
      <c r="T77" s="3248"/>
      <c r="U77" s="3248"/>
      <c r="V77" s="3248"/>
    </row>
    <row r="78" spans="1:22" ht="12" customHeight="1">
      <c r="A78" s="3338"/>
      <c r="B78" s="3305"/>
      <c r="C78" s="3305"/>
      <c r="D78" s="3305"/>
      <c r="E78" s="3307"/>
      <c r="F78" s="3307"/>
      <c r="G78" s="3307"/>
      <c r="H78" s="3306"/>
      <c r="I78" s="3305"/>
      <c r="J78" s="3337"/>
      <c r="K78" s="3871"/>
      <c r="L78" s="3868"/>
      <c r="M78" s="3335" t="s">
        <v>425</v>
      </c>
      <c r="N78" s="3334"/>
      <c r="O78" s="3333" t="str">
        <f ca="1">NUMBERSTRING(INT(O77*10000),2)&amp;"元整"</f>
        <v>伍亿柒仟零陆拾陆万元整</v>
      </c>
      <c r="P78" s="3332"/>
      <c r="Q78" s="3248"/>
      <c r="R78" s="3248"/>
      <c r="S78" s="3248"/>
      <c r="T78" s="3248"/>
      <c r="U78" s="3248"/>
      <c r="V78" s="3248"/>
    </row>
    <row r="79" spans="1:22" ht="13.5" thickBot="1">
      <c r="A79" s="3865" t="s">
        <v>3138</v>
      </c>
      <c r="B79" s="3865"/>
      <c r="C79" s="3865"/>
      <c r="D79" s="3865"/>
      <c r="E79" s="3865"/>
      <c r="F79" s="3307"/>
      <c r="G79" s="3307"/>
      <c r="H79" s="3306"/>
      <c r="I79" s="3305"/>
      <c r="J79" s="3337"/>
      <c r="K79" s="3866">
        <f>K77+1</f>
        <v>6</v>
      </c>
      <c r="L79" s="3868" t="s">
        <v>3137</v>
      </c>
      <c r="M79" s="3335" t="s">
        <v>421</v>
      </c>
      <c r="N79" s="3334"/>
      <c r="O79" s="3333" t="e">
        <f ca="1">N69-O77</f>
        <v>#VALUE!</v>
      </c>
      <c r="P79" s="3332"/>
      <c r="Q79" s="3248"/>
      <c r="R79" s="3248"/>
      <c r="S79" s="3248"/>
      <c r="T79" s="3248"/>
      <c r="U79" s="3248"/>
      <c r="V79" s="3248"/>
    </row>
    <row r="80" spans="1:22" ht="12.75">
      <c r="A80" s="3859" t="s">
        <v>3128</v>
      </c>
      <c r="B80" s="3860"/>
      <c r="C80" s="3286"/>
      <c r="D80" s="3286" t="s">
        <v>3127</v>
      </c>
      <c r="E80" s="3336" t="s">
        <v>3105</v>
      </c>
      <c r="F80" s="3307"/>
      <c r="G80" s="3307"/>
      <c r="H80" s="3306"/>
      <c r="I80" s="3305"/>
      <c r="J80" s="3248"/>
      <c r="K80" s="3867"/>
      <c r="L80" s="3868"/>
      <c r="M80" s="3335" t="s">
        <v>425</v>
      </c>
      <c r="N80" s="3334"/>
      <c r="O80" s="3333" t="e">
        <f ca="1">NUMBERSTRING(INT(O79*10000),2)&amp;"元整"</f>
        <v>#VALUE!</v>
      </c>
      <c r="P80" s="3332"/>
      <c r="Q80" s="3248"/>
      <c r="R80" s="3248"/>
      <c r="S80" s="3248"/>
      <c r="T80" s="3248"/>
      <c r="U80" s="3248"/>
      <c r="V80" s="3248"/>
    </row>
    <row r="81" spans="1:26" ht="13.5" thickBot="1">
      <c r="A81" s="3283" t="s">
        <v>1824</v>
      </c>
      <c r="B81" s="3331" t="s">
        <v>3136</v>
      </c>
      <c r="C81" s="3330">
        <f ca="1">ROUND((C82+C83)/(1+'[1]数据-取费表'!C42),0)</f>
        <v>87350</v>
      </c>
      <c r="D81" s="3329"/>
      <c r="E81" s="3328"/>
      <c r="F81" s="3307"/>
      <c r="G81" s="3307"/>
      <c r="H81" s="3306"/>
      <c r="I81" s="3305"/>
      <c r="J81" s="3248"/>
      <c r="K81" s="3327">
        <f>K79+1</f>
        <v>7</v>
      </c>
      <c r="L81" s="3854" t="s">
        <v>3135</v>
      </c>
      <c r="M81" s="3855"/>
      <c r="N81" s="3326"/>
      <c r="O81" s="3325" t="e">
        <f ca="1">ROUND(O79*10000/'[1]数据-汇总表'!E3,0)</f>
        <v>#VALUE!</v>
      </c>
      <c r="P81" s="3324"/>
      <c r="Q81" s="3248"/>
      <c r="R81" s="3248"/>
      <c r="S81" s="3248"/>
      <c r="T81" s="3248"/>
      <c r="U81" s="3248"/>
      <c r="V81" s="3248"/>
    </row>
    <row r="82" spans="1:26" ht="13.5" thickTop="1">
      <c r="A82" s="3322" t="s">
        <v>1825</v>
      </c>
      <c r="B82" s="3269" t="s">
        <v>3134</v>
      </c>
      <c r="C82" s="3323">
        <f ca="1">D63</f>
        <v>91718</v>
      </c>
      <c r="D82" s="3261" t="s">
        <v>1765</v>
      </c>
      <c r="E82" s="3317"/>
      <c r="F82" s="3307"/>
      <c r="G82" s="3307"/>
      <c r="H82" s="3306"/>
      <c r="I82" s="3305"/>
      <c r="J82" s="3248"/>
      <c r="K82" s="3248"/>
      <c r="L82" s="3248"/>
      <c r="M82" s="3248"/>
      <c r="N82" s="3248"/>
      <c r="O82" s="3248"/>
      <c r="P82" s="3248"/>
      <c r="Q82" s="3248"/>
      <c r="R82" s="3248"/>
      <c r="S82" s="3248"/>
      <c r="T82" s="3248"/>
      <c r="U82" s="3248"/>
      <c r="V82" s="3248"/>
    </row>
    <row r="83" spans="1:26" ht="12.75">
      <c r="A83" s="3322" t="s">
        <v>1826</v>
      </c>
      <c r="B83" s="3269" t="s">
        <v>3133</v>
      </c>
      <c r="C83" s="3321">
        <v>0</v>
      </c>
      <c r="D83" s="3261"/>
      <c r="E83" s="3317"/>
      <c r="F83" s="3307"/>
      <c r="G83" s="3307"/>
      <c r="H83" s="3306"/>
      <c r="I83" s="3305"/>
      <c r="J83" s="3248"/>
      <c r="K83" s="3856" t="s">
        <v>2874</v>
      </c>
      <c r="L83" s="3300" t="s">
        <v>2875</v>
      </c>
      <c r="M83" s="3302" t="e">
        <f>IF(N69&gt;10000,N69*0.5%,IF(AND(N69&gt;1000,N69&lt;=10000),N69*1%,IF(AND(N69&gt;100,N69&lt;=1000),N69*3%,IF(AND(N69&gt;10,N69&lt;=100),N69*5%,N69*8%))))</f>
        <v>#VALUE!</v>
      </c>
      <c r="N83" s="3298" t="e">
        <f>ROUND(M83,1)</f>
        <v>#VALUE!</v>
      </c>
      <c r="O83" s="3301"/>
      <c r="P83" s="3248"/>
      <c r="Q83" s="3248"/>
      <c r="R83" s="3248"/>
      <c r="S83" s="3248"/>
      <c r="T83" s="3248"/>
      <c r="U83" s="3248"/>
      <c r="V83" s="3248"/>
    </row>
    <row r="84" spans="1:26" ht="12.75">
      <c r="A84" s="3283" t="s">
        <v>1827</v>
      </c>
      <c r="B84" s="3263" t="s">
        <v>3132</v>
      </c>
      <c r="C84" s="3320">
        <v>2000</v>
      </c>
      <c r="D84" s="3319" t="s">
        <v>1765</v>
      </c>
      <c r="E84" s="3318" t="s">
        <v>2942</v>
      </c>
      <c r="F84" s="3307"/>
      <c r="G84" s="3307"/>
      <c r="H84" s="3306"/>
      <c r="I84" s="3305"/>
      <c r="J84" s="3248"/>
      <c r="K84" s="3856"/>
      <c r="L84" s="3300" t="s">
        <v>2876</v>
      </c>
      <c r="M84" s="3302" t="e">
        <f>IF(N69&gt;2000,N69*0.5%,IF(AND(N69&gt;1000,N69&lt;=2000),N69*0.6%,IF(AND(N69&gt;500,N69&lt;=1000),N69*0.7%,IF(AND(N69&gt;200,N69&lt;=500),N69*0.8%,IF(AND(N69&gt;100,N69&lt;=200),N69*0.9%,IF(AND(N69&gt;50,N69&lt;=100),N69*1%,IF(AND(N69&gt;20,N69&lt;=50),N69*1.5%,IF(AND(N69&gt;10,N69&lt;=20),N69*2%,IF(AND(N69&gt;1,N69&lt;=10),N69*2.5%)))))))))</f>
        <v>#VALUE!</v>
      </c>
      <c r="N84" s="3298" t="e">
        <f>ROUND(M84,1)</f>
        <v>#VALUE!</v>
      </c>
      <c r="O84" s="3248" t="s">
        <v>2877</v>
      </c>
      <c r="P84" s="3248"/>
      <c r="Q84" s="3248"/>
      <c r="R84" s="3248"/>
      <c r="S84" s="3248"/>
      <c r="T84" s="3248"/>
      <c r="U84" s="3248"/>
      <c r="V84" s="3248"/>
    </row>
    <row r="85" spans="1:26" ht="12.75">
      <c r="A85" s="3283" t="s">
        <v>1828</v>
      </c>
      <c r="B85" s="3263" t="s">
        <v>3131</v>
      </c>
      <c r="C85" s="3266">
        <f ca="1">C81-C84</f>
        <v>85350</v>
      </c>
      <c r="D85" s="3261" t="s">
        <v>1765</v>
      </c>
      <c r="E85" s="3317"/>
      <c r="F85" s="3307"/>
      <c r="G85" s="3307"/>
      <c r="H85" s="3306"/>
      <c r="I85" s="3305"/>
      <c r="J85" s="3248"/>
      <c r="K85" s="3856"/>
      <c r="L85" s="3300" t="s">
        <v>2878</v>
      </c>
      <c r="M85" s="3302" t="e">
        <f>IF(N69&gt;1000,N69*0.1%,IF(AND(N69&gt;500,N69&lt;=1000),N69*0.5%,IF(AND(N69&gt;50,N69&lt;=500),N69*1%,IF(AND(N69&gt;1,N69&lt;=50),N69*1.5%))))</f>
        <v>#VALUE!</v>
      </c>
      <c r="N85" s="3298" t="e">
        <f>ROUND(M85,1)</f>
        <v>#VALUE!</v>
      </c>
      <c r="O85" s="3248" t="s">
        <v>2877</v>
      </c>
      <c r="P85" s="3248"/>
      <c r="Q85" s="3248"/>
      <c r="R85" s="3248"/>
      <c r="S85" s="3248"/>
      <c r="T85" s="3248"/>
      <c r="U85" s="3248"/>
      <c r="V85" s="3248"/>
    </row>
    <row r="86" spans="1:26" ht="13.5" thickBot="1">
      <c r="A86" s="3316" t="s">
        <v>1829</v>
      </c>
      <c r="B86" s="3257" t="s">
        <v>3130</v>
      </c>
      <c r="C86" s="3315">
        <f ca="1">IF(C85&lt;=0,0,ROUND(C85*D86,0))</f>
        <v>4780</v>
      </c>
      <c r="D86" s="3314">
        <f>'[1]数据-取费表'!B41</f>
        <v>5.6000000000000001E-2</v>
      </c>
      <c r="E86" s="3313"/>
      <c r="F86" s="3307"/>
      <c r="G86" s="3307"/>
      <c r="H86" s="3306"/>
      <c r="I86" s="3305"/>
      <c r="J86" s="3248"/>
      <c r="K86" s="3856"/>
      <c r="L86" s="3300" t="s">
        <v>2879</v>
      </c>
      <c r="M86" s="3302" t="e">
        <f>N69*0.5%</f>
        <v>#VALUE!</v>
      </c>
      <c r="N86" s="3298" t="e">
        <f>IF(M86&gt;0.5,0.5,ROUND(M86,0))</f>
        <v>#VALUE!</v>
      </c>
      <c r="O86" s="3248" t="s">
        <v>2880</v>
      </c>
      <c r="P86" s="3248"/>
      <c r="Q86" s="3248"/>
      <c r="R86" s="3248"/>
      <c r="S86" s="3248"/>
      <c r="T86" s="3248"/>
      <c r="U86" s="3248"/>
      <c r="V86" s="3248"/>
    </row>
    <row r="87" spans="1:26" s="3303" customFormat="1" ht="14.25" customHeight="1">
      <c r="A87" s="3312"/>
      <c r="B87" s="3311"/>
      <c r="C87" s="3310"/>
      <c r="D87" s="3309"/>
      <c r="E87" s="3308"/>
      <c r="F87" s="3307"/>
      <c r="G87" s="3307"/>
      <c r="H87" s="3306"/>
      <c r="I87" s="3305"/>
      <c r="J87" s="3248"/>
      <c r="K87" s="3856"/>
      <c r="L87" s="3300" t="s">
        <v>2881</v>
      </c>
      <c r="M87" s="3302" t="e">
        <f>IF(N69&gt;=10000,(8.25+(N69-10000)*0.01%),IF(AND(N69&gt;=8000,N69&lt;10000),(7.85+(N69-8000)*0.02%),IF(AND(N69&gt;=5000,N69&lt;8000),(6.65+(N69-5000)*0.04%),IF(AND(N69&gt;=2000,N69&lt;5000),(4.25+(PN69-2000)*0.08%),IF(AND(N69&gt;=1000,N69&lt;2000),(2.75+(N69-1000)*0.15%),IF(AND(N69&gt;=100,N69&lt;1000),(0.5+(N69-100)*0.25%),IF(AND(N69&gt;0,N69&lt;100),N69*0.5%)))))))</f>
        <v>#VALUE!</v>
      </c>
      <c r="N87" s="3298" t="e">
        <f>ROUND(M87*0.9,1)</f>
        <v>#VALUE!</v>
      </c>
      <c r="O87" s="3301"/>
      <c r="P87" s="3305"/>
      <c r="Q87" s="3248"/>
      <c r="R87" s="3248"/>
      <c r="S87" s="3248"/>
      <c r="T87" s="3248"/>
      <c r="U87" s="3248"/>
      <c r="V87" s="3248"/>
      <c r="W87" s="3304"/>
      <c r="X87" s="3304"/>
      <c r="Y87" s="3304"/>
      <c r="Z87" s="3304"/>
    </row>
    <row r="88" spans="1:26" s="3249" customFormat="1" ht="15" thickBot="1">
      <c r="A88" s="3857" t="s">
        <v>3129</v>
      </c>
      <c r="B88" s="3858"/>
      <c r="C88" s="3858"/>
      <c r="D88" s="3858"/>
      <c r="E88" s="3858"/>
      <c r="F88" s="3858"/>
      <c r="G88" s="3858"/>
      <c r="H88" s="3858"/>
      <c r="I88" s="1315"/>
      <c r="J88" s="2036"/>
      <c r="K88" s="3856"/>
      <c r="L88" s="3300" t="s">
        <v>2882</v>
      </c>
      <c r="M88" s="3302" t="e">
        <f>IF(N69&gt;10000,N69*0.5%,IF(AND(N69&gt;5000,N69&lt;=10000),N69*1%,IF(AND(N69&gt;1000,N69&lt;=5000),N69*2%,IF(AND(N69&gt;200,N69&lt;=1000),N69*3%,N69*5%))))</f>
        <v>#VALUE!</v>
      </c>
      <c r="N88" s="3298" t="e">
        <f>ROUND(M88,1)</f>
        <v>#VALUE!</v>
      </c>
      <c r="O88" s="3301"/>
      <c r="P88" s="3252"/>
      <c r="Q88" s="3251"/>
      <c r="R88" s="3251"/>
      <c r="S88" s="3251"/>
      <c r="T88" s="3251"/>
      <c r="U88" s="3251"/>
      <c r="V88" s="3251"/>
      <c r="W88" s="3250"/>
      <c r="X88" s="3250"/>
      <c r="Y88" s="3250"/>
      <c r="Z88" s="3250"/>
    </row>
    <row r="89" spans="1:26" s="3249" customFormat="1" ht="14.25">
      <c r="A89" s="3859" t="s">
        <v>3128</v>
      </c>
      <c r="B89" s="3860"/>
      <c r="C89" s="3286"/>
      <c r="D89" s="3286" t="s">
        <v>3127</v>
      </c>
      <c r="E89" s="3285" t="s">
        <v>3105</v>
      </c>
      <c r="F89" s="3284"/>
      <c r="G89" s="3284"/>
      <c r="H89" s="393"/>
      <c r="I89" s="1316"/>
      <c r="J89" s="2038"/>
      <c r="K89" s="3856"/>
      <c r="L89" s="3300" t="s">
        <v>27</v>
      </c>
      <c r="M89" s="3299"/>
      <c r="N89" s="3298" t="e">
        <f>ROUND(SUM(N83:N88),0)</f>
        <v>#VALUE!</v>
      </c>
      <c r="O89" s="3297" t="e">
        <f>N89/N69</f>
        <v>#VALUE!</v>
      </c>
      <c r="P89" s="3251"/>
      <c r="Q89" s="3251"/>
      <c r="R89" s="3251"/>
      <c r="S89" s="3251"/>
      <c r="T89" s="3251"/>
      <c r="U89" s="3251"/>
      <c r="V89" s="3251"/>
      <c r="W89" s="3250"/>
      <c r="X89" s="3250"/>
      <c r="Y89" s="3250"/>
      <c r="Z89" s="3250"/>
    </row>
    <row r="90" spans="1:26" s="3249" customFormat="1" ht="14.25">
      <c r="A90" s="3283" t="s">
        <v>1824</v>
      </c>
      <c r="B90" s="3263" t="s">
        <v>3104</v>
      </c>
      <c r="C90" s="3266">
        <f ca="1">ROUND(D63/(1+'[1]数据-取费表'!C42),0)</f>
        <v>87350</v>
      </c>
      <c r="D90" s="3261" t="s">
        <v>1765</v>
      </c>
      <c r="E90" s="3265"/>
      <c r="F90" s="3259"/>
      <c r="G90" s="3259"/>
      <c r="H90" s="394"/>
      <c r="I90" s="1316"/>
      <c r="J90" s="2038"/>
      <c r="K90" s="3251"/>
      <c r="L90" s="3251"/>
      <c r="M90" s="3251"/>
      <c r="N90" s="3251"/>
      <c r="O90" s="3251"/>
      <c r="P90" s="3251"/>
      <c r="Q90" s="3251"/>
      <c r="R90" s="3251"/>
      <c r="S90" s="3251"/>
      <c r="T90" s="3251"/>
      <c r="U90" s="3251"/>
      <c r="V90" s="3251"/>
      <c r="W90" s="3250"/>
      <c r="X90" s="3250"/>
      <c r="Y90" s="3250"/>
      <c r="Z90" s="3250"/>
    </row>
    <row r="91" spans="1:26" s="3249" customFormat="1" ht="14.25">
      <c r="A91" s="3283" t="s">
        <v>1827</v>
      </c>
      <c r="B91" s="3282" t="s">
        <v>3103</v>
      </c>
      <c r="C91" s="3266">
        <f ca="1">C92+C96</f>
        <v>3085</v>
      </c>
      <c r="D91" s="3261" t="s">
        <v>1765</v>
      </c>
      <c r="E91" s="3265"/>
      <c r="F91" s="3259"/>
      <c r="G91" s="3259"/>
      <c r="H91" s="394"/>
      <c r="I91" s="1316"/>
      <c r="J91" s="2038"/>
      <c r="K91" s="3251"/>
      <c r="L91" s="3251"/>
      <c r="M91" s="3251"/>
      <c r="N91" s="3251"/>
      <c r="O91" s="3251"/>
      <c r="P91" s="3251"/>
      <c r="Q91" s="3251"/>
      <c r="R91" s="3251"/>
      <c r="S91" s="3251"/>
      <c r="T91" s="3251"/>
      <c r="U91" s="3251"/>
      <c r="V91" s="3251"/>
      <c r="W91" s="3250"/>
      <c r="X91" s="3250"/>
      <c r="Y91" s="3250"/>
      <c r="Z91" s="3250"/>
    </row>
    <row r="92" spans="1:26" s="3249" customFormat="1" ht="24">
      <c r="A92" s="3277" t="s">
        <v>1825</v>
      </c>
      <c r="B92" s="3269" t="s">
        <v>3126</v>
      </c>
      <c r="C92" s="3261">
        <f>ROUND(IF(G95="2016年5月1日后购买",C93/(1+'[1]数据-取费表'!C30)+C94+C95,C93+C94+C95),0)</f>
        <v>2561</v>
      </c>
      <c r="D92" s="3261" t="s">
        <v>1765</v>
      </c>
      <c r="E92" s="3265"/>
      <c r="F92" s="3259"/>
      <c r="G92" s="3259"/>
      <c r="H92" s="394"/>
      <c r="I92" s="1316"/>
      <c r="J92" s="2038"/>
      <c r="K92" s="3251"/>
      <c r="L92" s="3251"/>
      <c r="M92" s="3251"/>
      <c r="N92" s="3251"/>
      <c r="O92" s="3251"/>
      <c r="P92" s="3251"/>
      <c r="Q92" s="3251"/>
      <c r="R92" s="3251"/>
      <c r="S92" s="3251"/>
      <c r="T92" s="3251"/>
      <c r="U92" s="3251"/>
      <c r="V92" s="3251"/>
      <c r="W92" s="3250"/>
      <c r="X92" s="3250"/>
      <c r="Y92" s="3250"/>
      <c r="Z92" s="3250"/>
    </row>
    <row r="93" spans="1:26" s="3249" customFormat="1" ht="14.25">
      <c r="A93" s="3277" t="s">
        <v>1832</v>
      </c>
      <c r="B93" s="3269" t="s">
        <v>3125</v>
      </c>
      <c r="C93" s="3296">
        <v>2000</v>
      </c>
      <c r="D93" s="3261" t="s">
        <v>1765</v>
      </c>
      <c r="E93" s="397" t="s">
        <v>3124</v>
      </c>
      <c r="F93" s="398" t="s">
        <v>444</v>
      </c>
      <c r="G93" s="397" t="s">
        <v>3123</v>
      </c>
      <c r="H93" s="3295">
        <v>5</v>
      </c>
      <c r="I93" s="3252"/>
      <c r="J93" s="3251"/>
      <c r="K93" s="3251"/>
      <c r="L93" s="3251"/>
      <c r="M93" s="3251"/>
      <c r="N93" s="3251"/>
      <c r="O93" s="3251"/>
      <c r="P93" s="3251"/>
      <c r="Q93" s="3251"/>
      <c r="R93" s="3251"/>
      <c r="S93" s="3251"/>
      <c r="T93" s="3251"/>
      <c r="U93" s="3251"/>
      <c r="V93" s="3251"/>
      <c r="W93" s="3250"/>
      <c r="X93" s="3250"/>
      <c r="Y93" s="3250"/>
      <c r="Z93" s="3250"/>
    </row>
    <row r="94" spans="1:26" s="3249" customFormat="1" ht="24.75" customHeight="1">
      <c r="A94" s="3277" t="s">
        <v>1833</v>
      </c>
      <c r="B94" s="3294" t="s">
        <v>3122</v>
      </c>
      <c r="C94" s="3261">
        <f>IF(F93="购房发票",ROUND(C93*H93*5%,0),0)</f>
        <v>500</v>
      </c>
      <c r="D94" s="3293">
        <v>0.05</v>
      </c>
      <c r="E94" s="3861" t="s">
        <v>3121</v>
      </c>
      <c r="F94" s="3862"/>
      <c r="G94" s="3862"/>
      <c r="H94" s="3863"/>
      <c r="I94" s="1316"/>
      <c r="J94" s="2038"/>
      <c r="K94" s="3251"/>
      <c r="L94" s="3251"/>
      <c r="M94" s="3251"/>
      <c r="N94" s="3251"/>
      <c r="O94" s="3251"/>
      <c r="P94" s="3251"/>
      <c r="Q94" s="3251"/>
      <c r="R94" s="3251"/>
      <c r="S94" s="3251"/>
      <c r="T94" s="3251"/>
      <c r="U94" s="3251"/>
      <c r="V94" s="3251"/>
      <c r="W94" s="3250"/>
      <c r="X94" s="3250"/>
      <c r="Y94" s="3250"/>
      <c r="Z94" s="3250"/>
    </row>
    <row r="95" spans="1:26" s="3249" customFormat="1" ht="24.75" customHeight="1">
      <c r="A95" s="3277" t="s">
        <v>1834</v>
      </c>
      <c r="B95" s="3269" t="s">
        <v>3120</v>
      </c>
      <c r="C95" s="3261">
        <f>ROUND(IF(G95="个人买卖住房",0,IF(G95="2016年5月1日前购买",C93*D95,C93*D95/(1+'[1]数据-取费表'!C42))),0)</f>
        <v>61</v>
      </c>
      <c r="D95" s="3292">
        <f>'[1]数据-取费表'!B48+'[1]数据-取费表'!B49</f>
        <v>3.0499999999999999E-2</v>
      </c>
      <c r="E95" s="3260" t="s">
        <v>3119</v>
      </c>
      <c r="F95" s="3291"/>
      <c r="G95" s="3290" t="s">
        <v>2430</v>
      </c>
      <c r="H95" s="3289" t="str">
        <f>IF(G95="个人买卖住房","免征印花税"," ")</f>
        <v xml:space="preserve"> </v>
      </c>
      <c r="I95" s="1316"/>
      <c r="J95" s="2038"/>
      <c r="K95" s="3251"/>
      <c r="L95" s="3251"/>
      <c r="M95" s="3251"/>
      <c r="N95" s="3251"/>
      <c r="O95" s="3251"/>
      <c r="P95" s="3251"/>
      <c r="Q95" s="3251"/>
      <c r="R95" s="3251"/>
      <c r="S95" s="3251"/>
      <c r="T95" s="3251"/>
      <c r="U95" s="3251"/>
      <c r="V95" s="3251"/>
      <c r="W95" s="3250"/>
      <c r="X95" s="3250"/>
      <c r="Y95" s="3250"/>
      <c r="Z95" s="3250"/>
    </row>
    <row r="96" spans="1:26" s="3249" customFormat="1" ht="24.75" customHeight="1">
      <c r="A96" s="3277" t="s">
        <v>3118</v>
      </c>
      <c r="B96" s="3269" t="s">
        <v>3117</v>
      </c>
      <c r="C96" s="3268">
        <f ca="1">ROUND(D63*D96/(1+'[1]数据-取费表'!C42),0)</f>
        <v>524</v>
      </c>
      <c r="D96" s="3267">
        <f>'[1]数据-取费表'!B43</f>
        <v>6.000000000000001E-3</v>
      </c>
      <c r="E96" s="3864" t="s">
        <v>3116</v>
      </c>
      <c r="F96" s="3850"/>
      <c r="G96" s="3850"/>
      <c r="H96" s="3851"/>
      <c r="I96" s="1317"/>
      <c r="J96" s="2039"/>
      <c r="K96" s="3251"/>
      <c r="L96" s="3251"/>
      <c r="M96" s="3251"/>
      <c r="N96" s="3251"/>
      <c r="O96" s="3251"/>
      <c r="P96" s="3251"/>
      <c r="Q96" s="3251"/>
      <c r="R96" s="3251"/>
      <c r="S96" s="3251"/>
      <c r="T96" s="3251"/>
      <c r="U96" s="3251"/>
      <c r="V96" s="3251"/>
      <c r="W96" s="3250"/>
      <c r="X96" s="3250"/>
      <c r="Y96" s="3250"/>
      <c r="Z96" s="3250"/>
    </row>
    <row r="97" spans="1:26" s="3249" customFormat="1" ht="14.25">
      <c r="A97" s="3264" t="s">
        <v>3115</v>
      </c>
      <c r="B97" s="3263" t="s">
        <v>3114</v>
      </c>
      <c r="C97" s="3266">
        <f ca="1">C90-C91</f>
        <v>84265</v>
      </c>
      <c r="D97" s="3261" t="s">
        <v>3109</v>
      </c>
      <c r="E97" s="3265"/>
      <c r="F97" s="3259"/>
      <c r="G97" s="3259"/>
      <c r="H97" s="394"/>
      <c r="I97" s="1316"/>
      <c r="J97" s="2038"/>
      <c r="K97" s="3251"/>
      <c r="L97" s="3251"/>
      <c r="M97" s="3251"/>
      <c r="N97" s="3251"/>
      <c r="O97" s="3251"/>
      <c r="P97" s="3251"/>
      <c r="Q97" s="3251"/>
      <c r="R97" s="3251"/>
      <c r="S97" s="3251"/>
      <c r="T97" s="3251"/>
      <c r="U97" s="3251"/>
      <c r="V97" s="3251"/>
      <c r="W97" s="3250"/>
      <c r="X97" s="3250"/>
      <c r="Y97" s="3250"/>
      <c r="Z97" s="3250"/>
    </row>
    <row r="98" spans="1:26" s="3249" customFormat="1" ht="24">
      <c r="A98" s="3264" t="s">
        <v>3113</v>
      </c>
      <c r="B98" s="3263" t="s">
        <v>3112</v>
      </c>
      <c r="C98" s="3262">
        <f ca="1">IF(C97&lt;=0,0,C97/C91)</f>
        <v>27.314424635332252</v>
      </c>
      <c r="D98" s="3261" t="s">
        <v>3109</v>
      </c>
      <c r="E98" s="3260" t="str">
        <f ca="1">IF(C98&gt;=200%,"增值额超过扣除项目金额200%",IF(C98&gt;=100%,"增值额超过扣除项目金额100%，未超过200%",IF(C98&gt;=50%,"增值额超过扣除项目金额50%，未超过100%",IF(C98&lt;50%,"增值额未超过扣除项目金额50%"))))</f>
        <v>增值额超过扣除项目金额200%</v>
      </c>
      <c r="F98" s="3259"/>
      <c r="G98" s="3259"/>
      <c r="H98" s="394"/>
      <c r="I98" s="1316"/>
      <c r="J98" s="2038"/>
      <c r="K98" s="3251"/>
      <c r="L98" s="3251"/>
      <c r="M98" s="3251"/>
      <c r="N98" s="3251"/>
      <c r="O98" s="3251"/>
      <c r="P98" s="3251"/>
      <c r="Q98" s="3251"/>
      <c r="R98" s="3251"/>
      <c r="S98" s="3251"/>
      <c r="T98" s="3251"/>
      <c r="U98" s="3251"/>
      <c r="V98" s="3251"/>
      <c r="W98" s="3250"/>
      <c r="X98" s="3250"/>
      <c r="Y98" s="3250"/>
      <c r="Z98" s="3250"/>
    </row>
    <row r="99" spans="1:26" s="3249" customFormat="1" ht="24.75" thickBot="1">
      <c r="A99" s="3258" t="s">
        <v>3111</v>
      </c>
      <c r="B99" s="3257" t="s">
        <v>3110</v>
      </c>
      <c r="C99" s="3256">
        <f ca="1">ROUND(IF(C97&lt;=0,0,IF(C98&gt;=200%,C97*60%-C91*35%,IF(C98&gt;=100%,C97*50%-C91*15%,IF(C98&gt;=50%,C97*40%-C91*5%,IF(C98&lt;50%,C97*30%,0))))),0)</f>
        <v>49479</v>
      </c>
      <c r="D99" s="3255" t="s">
        <v>3109</v>
      </c>
      <c r="E99" s="32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53"/>
      <c r="G99" s="3253"/>
      <c r="H99" s="412"/>
      <c r="I99" s="1316"/>
      <c r="J99" s="2038"/>
      <c r="K99" s="3251"/>
      <c r="L99" s="3251"/>
      <c r="M99" s="3251"/>
      <c r="N99" s="3251"/>
      <c r="O99" s="3251"/>
      <c r="P99" s="3251"/>
      <c r="Q99" s="3251"/>
      <c r="R99" s="3251"/>
      <c r="S99" s="3251"/>
      <c r="T99" s="3251"/>
      <c r="U99" s="3251"/>
      <c r="V99" s="3251"/>
      <c r="W99" s="3250"/>
      <c r="X99" s="3250"/>
      <c r="Y99" s="3250"/>
      <c r="Z99" s="3250"/>
    </row>
    <row r="100" spans="1:26" s="3249" customFormat="1" ht="7.5" customHeight="1">
      <c r="A100" s="3288"/>
      <c r="B100" s="3287"/>
      <c r="C100" s="3252"/>
      <c r="D100" s="3252"/>
      <c r="E100" s="3287"/>
      <c r="F100" s="3287"/>
      <c r="G100" s="3287"/>
      <c r="H100" s="1320"/>
      <c r="I100" s="1317"/>
      <c r="J100" s="2039"/>
      <c r="K100" s="3251"/>
      <c r="L100" s="3251"/>
      <c r="M100" s="3251"/>
      <c r="N100" s="3251"/>
      <c r="O100" s="3251"/>
      <c r="P100" s="3251"/>
      <c r="Q100" s="3251"/>
      <c r="R100" s="3251"/>
      <c r="S100" s="3251"/>
      <c r="T100" s="3251"/>
      <c r="U100" s="3251"/>
      <c r="V100" s="3251"/>
      <c r="W100" s="3250"/>
      <c r="X100" s="3250"/>
      <c r="Y100" s="3250"/>
      <c r="Z100" s="3250"/>
    </row>
    <row r="101" spans="1:26" s="3249" customFormat="1" ht="15" thickBot="1">
      <c r="A101" s="3857" t="s">
        <v>3108</v>
      </c>
      <c r="B101" s="3858"/>
      <c r="C101" s="3858"/>
      <c r="D101" s="3858"/>
      <c r="E101" s="3858"/>
      <c r="F101" s="3858"/>
      <c r="G101" s="3858"/>
      <c r="H101" s="3858"/>
      <c r="I101" s="3252"/>
      <c r="J101" s="3251"/>
      <c r="K101" s="3251"/>
      <c r="L101" s="3251"/>
      <c r="M101" s="3251"/>
      <c r="N101" s="3251"/>
      <c r="O101" s="3251"/>
      <c r="P101" s="3251"/>
      <c r="Q101" s="3251"/>
      <c r="R101" s="3251"/>
      <c r="S101" s="3251"/>
      <c r="T101" s="3251"/>
      <c r="U101" s="3251"/>
      <c r="V101" s="3251"/>
      <c r="W101" s="3250"/>
      <c r="X101" s="3250"/>
      <c r="Y101" s="3250"/>
      <c r="Z101" s="3250"/>
    </row>
    <row r="102" spans="1:26" s="3249" customFormat="1" ht="14.25">
      <c r="A102" s="3859" t="s">
        <v>3107</v>
      </c>
      <c r="B102" s="3860"/>
      <c r="C102" s="3286"/>
      <c r="D102" s="3286" t="s">
        <v>3106</v>
      </c>
      <c r="E102" s="3285" t="s">
        <v>3105</v>
      </c>
      <c r="F102" s="3284"/>
      <c r="G102" s="3284"/>
      <c r="H102" s="413"/>
      <c r="I102" s="3252"/>
      <c r="J102" s="3251"/>
      <c r="K102" s="3251"/>
      <c r="L102" s="3251"/>
      <c r="M102" s="3251"/>
      <c r="N102" s="3251"/>
      <c r="O102" s="3251"/>
      <c r="P102" s="3251"/>
      <c r="Q102" s="3251"/>
      <c r="R102" s="3251"/>
      <c r="S102" s="3251"/>
      <c r="T102" s="3251"/>
      <c r="U102" s="3251"/>
      <c r="V102" s="3251"/>
      <c r="W102" s="3250"/>
      <c r="X102" s="3250"/>
      <c r="Y102" s="3250"/>
      <c r="Z102" s="3250"/>
    </row>
    <row r="103" spans="1:26" s="3249" customFormat="1" ht="14.25">
      <c r="A103" s="3283" t="s">
        <v>1824</v>
      </c>
      <c r="B103" s="3263" t="s">
        <v>3104</v>
      </c>
      <c r="C103" s="3266">
        <f ca="1">ROUND(D63/(1+'[1]数据-取费表'!C42),0)</f>
        <v>87350</v>
      </c>
      <c r="D103" s="3261" t="s">
        <v>1765</v>
      </c>
      <c r="E103" s="3265"/>
      <c r="F103" s="3259"/>
      <c r="G103" s="3259"/>
      <c r="H103" s="414"/>
      <c r="I103" s="3252"/>
      <c r="J103" s="3251"/>
      <c r="K103" s="3251"/>
      <c r="L103" s="3251"/>
      <c r="M103" s="3251"/>
      <c r="N103" s="3251"/>
      <c r="O103" s="3251"/>
      <c r="P103" s="3251"/>
      <c r="Q103" s="3251"/>
      <c r="R103" s="3251"/>
      <c r="S103" s="3251"/>
      <c r="T103" s="3251"/>
      <c r="U103" s="3251"/>
      <c r="V103" s="3251"/>
      <c r="W103" s="3250"/>
      <c r="X103" s="3250"/>
      <c r="Y103" s="3250"/>
      <c r="Z103" s="3250"/>
    </row>
    <row r="104" spans="1:26" s="3249" customFormat="1" ht="14.25">
      <c r="A104" s="3283" t="s">
        <v>1827</v>
      </c>
      <c r="B104" s="3282" t="s">
        <v>3103</v>
      </c>
      <c r="C104" s="3266">
        <f ca="1">IF(H106="仅含出让金",C105+C108+C109+C110+C111+C112,C105+C109+C110+C111+C112)</f>
        <v>1214</v>
      </c>
      <c r="D104" s="3281"/>
      <c r="E104" s="3265"/>
      <c r="F104" s="3259"/>
      <c r="G104" s="3259"/>
      <c r="H104" s="414"/>
      <c r="I104" s="3252"/>
      <c r="J104" s="3251"/>
      <c r="K104" s="3251"/>
      <c r="L104" s="3251"/>
      <c r="M104" s="3251"/>
      <c r="N104" s="3251"/>
      <c r="O104" s="3251"/>
      <c r="P104" s="3251"/>
      <c r="Q104" s="3251"/>
      <c r="R104" s="3251"/>
      <c r="S104" s="3251"/>
      <c r="T104" s="3251"/>
      <c r="U104" s="3251"/>
      <c r="V104" s="3251"/>
      <c r="W104" s="3250"/>
      <c r="X104" s="3250"/>
      <c r="Y104" s="3250"/>
      <c r="Z104" s="3250"/>
    </row>
    <row r="105" spans="1:26" s="3249" customFormat="1" ht="14.25">
      <c r="A105" s="3277" t="s">
        <v>1825</v>
      </c>
      <c r="B105" s="3269" t="s">
        <v>3102</v>
      </c>
      <c r="C105" s="3268">
        <f>C106+C107</f>
        <v>572</v>
      </c>
      <c r="D105" s="3267"/>
      <c r="E105" s="3280"/>
      <c r="F105" s="3274"/>
      <c r="G105" s="3274"/>
      <c r="H105" s="3273"/>
      <c r="I105" s="3252"/>
      <c r="J105" s="3251"/>
      <c r="K105" s="3251"/>
      <c r="L105" s="3251"/>
      <c r="M105" s="3251"/>
      <c r="N105" s="3251"/>
      <c r="O105" s="3251"/>
      <c r="P105" s="3251"/>
      <c r="Q105" s="3251"/>
      <c r="R105" s="3251"/>
      <c r="S105" s="3251"/>
      <c r="T105" s="3251"/>
      <c r="U105" s="3251"/>
      <c r="V105" s="3251"/>
      <c r="W105" s="3250"/>
      <c r="X105" s="3250"/>
      <c r="Y105" s="3250"/>
      <c r="Z105" s="3250"/>
    </row>
    <row r="106" spans="1:26" s="3249" customFormat="1" ht="14.25">
      <c r="A106" s="3277" t="s">
        <v>1832</v>
      </c>
      <c r="B106" s="3269" t="s">
        <v>3101</v>
      </c>
      <c r="C106" s="3276">
        <v>555</v>
      </c>
      <c r="D106" s="3267"/>
      <c r="E106" s="3275" t="s">
        <v>3100</v>
      </c>
      <c r="F106" s="3274"/>
      <c r="G106" s="3279" t="s">
        <v>3099</v>
      </c>
      <c r="H106" s="3278" t="s">
        <v>2440</v>
      </c>
      <c r="I106" s="3252"/>
      <c r="J106" s="3251"/>
      <c r="K106" s="3251"/>
      <c r="L106" s="3251"/>
      <c r="M106" s="3251"/>
      <c r="N106" s="3251"/>
      <c r="O106" s="3251"/>
      <c r="P106" s="3251"/>
      <c r="Q106" s="3251"/>
      <c r="R106" s="3251"/>
      <c r="S106" s="3251"/>
      <c r="T106" s="3251"/>
      <c r="U106" s="3251"/>
      <c r="V106" s="3251"/>
      <c r="W106" s="3250"/>
      <c r="X106" s="3250"/>
      <c r="Y106" s="3250"/>
      <c r="Z106" s="3250"/>
    </row>
    <row r="107" spans="1:26" s="3249" customFormat="1" ht="14.25">
      <c r="A107" s="3277" t="s">
        <v>1833</v>
      </c>
      <c r="B107" s="3269" t="s">
        <v>3098</v>
      </c>
      <c r="C107" s="3268">
        <f>ROUND(C106*D107,0)</f>
        <v>17</v>
      </c>
      <c r="D107" s="3267">
        <f>'[1]数据-取费表'!B48+'[1]数据-取费表'!B49</f>
        <v>3.0499999999999999E-2</v>
      </c>
      <c r="E107" s="3275" t="s">
        <v>3097</v>
      </c>
      <c r="F107" s="3274"/>
      <c r="G107" s="3274"/>
      <c r="H107" s="3273"/>
      <c r="I107" s="3252"/>
      <c r="J107" s="3251"/>
      <c r="K107" s="3251"/>
      <c r="L107" s="3251"/>
      <c r="M107" s="3251"/>
      <c r="N107" s="3251"/>
      <c r="O107" s="3251"/>
      <c r="P107" s="3251"/>
      <c r="Q107" s="3251"/>
      <c r="R107" s="3251"/>
      <c r="S107" s="3251"/>
      <c r="T107" s="3251"/>
      <c r="U107" s="3251"/>
      <c r="V107" s="3251"/>
      <c r="W107" s="3250"/>
      <c r="X107" s="3250"/>
      <c r="Y107" s="3250"/>
      <c r="Z107" s="3250"/>
    </row>
    <row r="108" spans="1:26" s="3249" customFormat="1" ht="14.25">
      <c r="A108" s="3277" t="s">
        <v>1826</v>
      </c>
      <c r="B108" s="3269" t="s">
        <v>3096</v>
      </c>
      <c r="C108" s="3276"/>
      <c r="D108" s="3267"/>
      <c r="E108" s="3275" t="str">
        <f>IF(H106="-","土地取得成本中已包含该笔费用"," ")</f>
        <v xml:space="preserve"> </v>
      </c>
      <c r="F108" s="3274"/>
      <c r="G108" s="3274"/>
      <c r="H108" s="3273"/>
      <c r="I108" s="3252"/>
      <c r="J108" s="3251"/>
      <c r="K108" s="3251"/>
      <c r="L108" s="3251"/>
      <c r="M108" s="3251"/>
      <c r="N108" s="3251"/>
      <c r="O108" s="3251"/>
      <c r="P108" s="3251"/>
      <c r="Q108" s="3251"/>
      <c r="R108" s="3251"/>
      <c r="S108" s="3251"/>
      <c r="T108" s="3251"/>
      <c r="U108" s="3251"/>
      <c r="V108" s="3251"/>
      <c r="W108" s="3250"/>
      <c r="X108" s="3250"/>
      <c r="Y108" s="3250"/>
      <c r="Z108" s="3250"/>
    </row>
    <row r="109" spans="1:26" s="3249" customFormat="1" ht="24" customHeight="1">
      <c r="A109" s="3270" t="s">
        <v>3095</v>
      </c>
      <c r="B109" s="3269" t="s">
        <v>3094</v>
      </c>
      <c r="C109" s="3268">
        <f>IF(H109="——",IF(F1="现房",'[1]剩余法-现房'!C18,'[1]剩余法-待开发'!C18),I109)</f>
        <v>55</v>
      </c>
      <c r="D109" s="3267"/>
      <c r="E109" s="3849" t="s">
        <v>3093</v>
      </c>
      <c r="F109" s="3850"/>
      <c r="G109" s="3850"/>
      <c r="H109" s="3272" t="s">
        <v>2280</v>
      </c>
      <c r="I109" s="3271">
        <v>55</v>
      </c>
      <c r="J109" s="3251"/>
      <c r="K109" s="3251"/>
      <c r="L109" s="3251"/>
      <c r="M109" s="3251"/>
      <c r="N109" s="3251"/>
      <c r="O109" s="3251"/>
      <c r="P109" s="3251"/>
      <c r="Q109" s="3251"/>
      <c r="R109" s="3251"/>
      <c r="S109" s="3251"/>
      <c r="T109" s="3251"/>
      <c r="U109" s="3251"/>
      <c r="V109" s="3251"/>
      <c r="W109" s="3250"/>
      <c r="X109" s="3250"/>
      <c r="Y109" s="3250"/>
      <c r="Z109" s="3250"/>
    </row>
    <row r="110" spans="1:26" s="3249" customFormat="1" ht="25.5" customHeight="1">
      <c r="A110" s="3270" t="s">
        <v>3092</v>
      </c>
      <c r="B110" s="3269" t="s">
        <v>3091</v>
      </c>
      <c r="C110" s="3268">
        <f>ROUND((C105+C108+C109)*D110,0)</f>
        <v>63</v>
      </c>
      <c r="D110" s="3267">
        <v>0.1</v>
      </c>
      <c r="E110" s="3849" t="s">
        <v>3090</v>
      </c>
      <c r="F110" s="3850"/>
      <c r="G110" s="3850"/>
      <c r="H110" s="3851"/>
      <c r="I110" s="3252"/>
      <c r="J110" s="3251"/>
      <c r="K110" s="3251"/>
      <c r="L110" s="3251"/>
      <c r="M110" s="3251"/>
      <c r="N110" s="3251"/>
      <c r="O110" s="3251"/>
      <c r="P110" s="3251"/>
      <c r="Q110" s="3251"/>
      <c r="R110" s="3251"/>
      <c r="S110" s="3251"/>
      <c r="T110" s="3251"/>
      <c r="U110" s="3251"/>
      <c r="V110" s="3251"/>
      <c r="W110" s="3250"/>
      <c r="X110" s="3250"/>
      <c r="Y110" s="3250"/>
      <c r="Z110" s="3250"/>
    </row>
    <row r="111" spans="1:26" s="3249" customFormat="1" ht="25.5" customHeight="1">
      <c r="A111" s="3270" t="s">
        <v>3089</v>
      </c>
      <c r="B111" s="3269" t="s">
        <v>3088</v>
      </c>
      <c r="C111" s="3268">
        <f ca="1">ROUND(D63*D111/(1+'[1]数据-取费表'!C42),0)</f>
        <v>524</v>
      </c>
      <c r="D111" s="3267">
        <f>'[1]数据-取费表'!B43</f>
        <v>6.000000000000001E-3</v>
      </c>
      <c r="E111" s="3864" t="s">
        <v>3087</v>
      </c>
      <c r="F111" s="3850"/>
      <c r="G111" s="3850"/>
      <c r="H111" s="3851"/>
      <c r="I111" s="3252"/>
      <c r="J111" s="3251"/>
      <c r="K111" s="3251"/>
      <c r="L111" s="3251"/>
      <c r="M111" s="3251"/>
      <c r="N111" s="3251"/>
      <c r="O111" s="3251"/>
      <c r="P111" s="3251"/>
      <c r="Q111" s="3251"/>
      <c r="R111" s="3251"/>
      <c r="S111" s="3251"/>
      <c r="T111" s="3251"/>
      <c r="U111" s="3251"/>
      <c r="V111" s="3251"/>
      <c r="W111" s="3250"/>
      <c r="X111" s="3250"/>
      <c r="Y111" s="3250"/>
      <c r="Z111" s="3250"/>
    </row>
    <row r="112" spans="1:26" s="3249" customFormat="1" ht="25.5" customHeight="1">
      <c r="A112" s="3270" t="s">
        <v>1842</v>
      </c>
      <c r="B112" s="3269" t="s">
        <v>3086</v>
      </c>
      <c r="C112" s="3268">
        <f>ROUND(C108*D112,0)</f>
        <v>0</v>
      </c>
      <c r="D112" s="3267">
        <v>0.2</v>
      </c>
      <c r="E112" s="3849" t="s">
        <v>3085</v>
      </c>
      <c r="F112" s="3850"/>
      <c r="G112" s="3850"/>
      <c r="H112" s="3851"/>
      <c r="I112" s="3252"/>
      <c r="J112" s="3251"/>
      <c r="K112" s="3251"/>
      <c r="L112" s="3251"/>
      <c r="M112" s="3251"/>
      <c r="N112" s="3251"/>
      <c r="O112" s="3251"/>
      <c r="P112" s="3251"/>
      <c r="Q112" s="3251"/>
      <c r="R112" s="3251"/>
      <c r="S112" s="3251"/>
      <c r="T112" s="3251"/>
      <c r="U112" s="3251"/>
      <c r="V112" s="3251"/>
      <c r="W112" s="3250"/>
      <c r="X112" s="3250"/>
      <c r="Y112" s="3250"/>
      <c r="Z112" s="3250"/>
    </row>
    <row r="113" spans="1:26" s="3249" customFormat="1" ht="14.25">
      <c r="A113" s="3264" t="s">
        <v>1828</v>
      </c>
      <c r="B113" s="3263" t="s">
        <v>3084</v>
      </c>
      <c r="C113" s="3266">
        <f ca="1">ROUND(C103-C104,0)</f>
        <v>86136</v>
      </c>
      <c r="D113" s="3261" t="s">
        <v>3079</v>
      </c>
      <c r="E113" s="3265"/>
      <c r="F113" s="3259"/>
      <c r="G113" s="3259"/>
      <c r="H113" s="414"/>
      <c r="I113" s="3252"/>
      <c r="J113" s="3251"/>
      <c r="K113" s="3251"/>
      <c r="L113" s="3251"/>
      <c r="M113" s="3251"/>
      <c r="N113" s="3251"/>
      <c r="O113" s="3251"/>
      <c r="P113" s="3251"/>
      <c r="Q113" s="3251"/>
      <c r="R113" s="3251"/>
      <c r="S113" s="3251"/>
      <c r="T113" s="3251"/>
      <c r="U113" s="3251"/>
      <c r="V113" s="3251"/>
      <c r="W113" s="3250"/>
      <c r="X113" s="3250"/>
      <c r="Y113" s="3250"/>
      <c r="Z113" s="3250"/>
    </row>
    <row r="114" spans="1:26" s="3249" customFormat="1" ht="24">
      <c r="A114" s="3264" t="s">
        <v>3083</v>
      </c>
      <c r="B114" s="3263" t="s">
        <v>3082</v>
      </c>
      <c r="C114" s="3262">
        <f ca="1">IF(C113&lt;=0,0,C113/C104)</f>
        <v>70.952224052718293</v>
      </c>
      <c r="D114" s="3261" t="s">
        <v>3079</v>
      </c>
      <c r="E114" s="3260" t="str">
        <f ca="1">IF(C114&gt;=200%,"增值额超过扣除项目金额200%",IF(C114&gt;=100%,"增值额超过扣除项目金额100%，未超过200%",IF(C114&gt;=50%,"增值额超过扣除项目金额50%，未超过100%",IF(C114&lt;50%,"增值额未超过扣除项目金额50%"))))</f>
        <v>增值额超过扣除项目金额200%</v>
      </c>
      <c r="F114" s="3259"/>
      <c r="G114" s="3259"/>
      <c r="H114" s="414"/>
      <c r="I114" s="3252"/>
      <c r="J114" s="3251"/>
      <c r="K114" s="3251"/>
      <c r="L114" s="3251"/>
      <c r="M114" s="3251"/>
      <c r="N114" s="3251"/>
      <c r="O114" s="3251"/>
      <c r="P114" s="3251"/>
      <c r="Q114" s="3251"/>
      <c r="R114" s="3251"/>
      <c r="S114" s="3251"/>
      <c r="T114" s="3251"/>
      <c r="U114" s="3251"/>
      <c r="V114" s="3251"/>
      <c r="W114" s="3250"/>
      <c r="X114" s="3250"/>
      <c r="Y114" s="3250"/>
      <c r="Z114" s="3250"/>
    </row>
    <row r="115" spans="1:26" s="3249" customFormat="1" ht="24.75" thickBot="1">
      <c r="A115" s="3258" t="s">
        <v>3081</v>
      </c>
      <c r="B115" s="3257" t="s">
        <v>3080</v>
      </c>
      <c r="C115" s="3256">
        <f ca="1">ROUND(IF(C113&lt;=0,0,IF(C114&gt;=200%,C113*60%-C104*35%,IF(C114&gt;=100%,C113*50%-C104*15%,IF(C114&gt;=50%,C113*40%-C104*5%,IF(C114&lt;50%,C113*30%,0))))),0)</f>
        <v>51257</v>
      </c>
      <c r="D115" s="3255" t="s">
        <v>3079</v>
      </c>
      <c r="E115" s="325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253"/>
      <c r="G115" s="3253"/>
      <c r="H115" s="420"/>
      <c r="I115" s="3252"/>
      <c r="J115" s="3251"/>
      <c r="K115" s="3251"/>
      <c r="L115" s="3251"/>
      <c r="M115" s="3251"/>
      <c r="N115" s="3251"/>
      <c r="O115" s="3251"/>
      <c r="P115" s="3251"/>
      <c r="Q115" s="3251"/>
      <c r="R115" s="3251"/>
      <c r="S115" s="3251"/>
      <c r="T115" s="3251"/>
      <c r="U115" s="3251"/>
      <c r="V115" s="3251"/>
      <c r="W115" s="3250"/>
      <c r="X115" s="3250"/>
      <c r="Y115" s="3250"/>
      <c r="Z115" s="3250"/>
    </row>
    <row r="116" spans="1:26" s="3241" customFormat="1" ht="21.75" customHeight="1">
      <c r="J116" s="3247"/>
      <c r="K116" s="3248"/>
      <c r="L116" s="3248"/>
      <c r="M116" s="3248"/>
      <c r="N116" s="3248"/>
      <c r="O116" s="3248"/>
    </row>
    <row r="117" spans="1:26" s="3241" customFormat="1" ht="21.75" customHeight="1">
      <c r="J117" s="3247"/>
    </row>
    <row r="118" spans="1:26" s="3241" customFormat="1" ht="21.75" customHeight="1">
      <c r="J118" s="3247"/>
    </row>
    <row r="119" spans="1:26" s="3241" customFormat="1" ht="21.75" customHeight="1">
      <c r="J119" s="3247"/>
    </row>
    <row r="120" spans="1:26" s="3241" customFormat="1" ht="21.75" customHeight="1">
      <c r="J120" s="3247"/>
    </row>
    <row r="121" spans="1:26" s="3241" customFormat="1" ht="21.75" customHeight="1"/>
    <row r="122" spans="1:26" s="3241" customFormat="1" ht="21.75" customHeight="1">
      <c r="J122" s="3246"/>
    </row>
    <row r="123" spans="1:26" s="3241" customFormat="1" ht="21.75" customHeight="1"/>
    <row r="124" spans="1:26" s="3241" customFormat="1" ht="21.75" customHeight="1"/>
    <row r="125" spans="1:26" s="3241" customFormat="1" ht="21.75" customHeight="1">
      <c r="J125" s="3246"/>
    </row>
    <row r="126" spans="1:26" s="3241" customFormat="1" ht="21.75" customHeight="1"/>
    <row r="127" spans="1:26" s="3241" customFormat="1" ht="21.75" customHeight="1"/>
    <row r="128" spans="1:26" s="3241" customFormat="1" ht="21.75" customHeight="1">
      <c r="J128" s="3246"/>
    </row>
    <row r="129" spans="2:6" s="3241" customFormat="1" ht="21.75" customHeight="1"/>
    <row r="130" spans="2:6" s="3241" customFormat="1" ht="21.75" customHeight="1">
      <c r="B130" s="3245"/>
      <c r="C130" s="3244"/>
      <c r="D130" s="3243"/>
      <c r="E130" s="3243"/>
      <c r="F130" s="3242"/>
    </row>
    <row r="131" spans="2:6" s="3241" customFormat="1" ht="21.75" customHeight="1"/>
    <row r="132" spans="2:6" s="3241" customFormat="1" ht="21.75" customHeight="1"/>
    <row r="133" spans="2:6" s="3241" customFormat="1" ht="21.75" customHeight="1"/>
    <row r="134" spans="2:6" s="3241" customFormat="1" ht="21.75" customHeight="1"/>
    <row r="135" spans="2:6" s="3241" customFormat="1" ht="21.75" customHeight="1"/>
    <row r="136" spans="2:6" s="3241" customFormat="1" ht="21.75" customHeight="1"/>
    <row r="137" spans="2:6" s="3241" customFormat="1" ht="21.75" customHeight="1"/>
    <row r="138" spans="2:6" s="3241" customFormat="1" ht="21.75" customHeight="1"/>
    <row r="139" spans="2:6" s="3241" customFormat="1" ht="21.75" customHeight="1"/>
    <row r="140" spans="2:6" s="3241" customFormat="1" ht="21.75" customHeight="1"/>
    <row r="141" spans="2:6" s="3241" customFormat="1" ht="21.75" customHeight="1"/>
    <row r="142" spans="2:6" s="3241" customFormat="1" ht="21.75" customHeight="1"/>
    <row r="143" spans="2:6" s="3241" customFormat="1" ht="21.75" customHeight="1"/>
    <row r="144" spans="2:6" s="3241" customFormat="1" ht="21.75" customHeight="1"/>
    <row r="145" s="3241" customFormat="1" ht="21.75" customHeight="1"/>
    <row r="146" s="3241" customFormat="1" ht="21.75" customHeight="1"/>
    <row r="147" s="3241" customFormat="1" ht="21.75" customHeight="1"/>
    <row r="148" s="3241" customFormat="1" ht="21.75" customHeight="1"/>
    <row r="149" s="3241" customFormat="1" ht="21.75" customHeight="1"/>
    <row r="150" s="3241" customFormat="1" ht="21.75" customHeight="1"/>
    <row r="151" s="3241" customFormat="1" ht="21.75" customHeight="1"/>
    <row r="152" s="3241" customFormat="1" ht="21.75" customHeight="1"/>
    <row r="153" s="3241" customFormat="1" ht="21.75" customHeight="1"/>
    <row r="154" s="3241" customFormat="1" ht="21.75" customHeight="1"/>
    <row r="155" s="3241" customFormat="1" ht="21.75" customHeight="1"/>
    <row r="156" s="3241" customFormat="1" ht="21.75" customHeight="1"/>
    <row r="157" s="3241" customFormat="1" ht="21.75" customHeight="1"/>
    <row r="158" s="3241" customFormat="1" ht="21.75" customHeight="1"/>
    <row r="159" s="3241" customFormat="1" ht="21.75" customHeight="1"/>
    <row r="160" s="3241" customFormat="1" ht="21.75" customHeight="1"/>
    <row r="161" s="3241" customFormat="1" ht="21.75" customHeight="1"/>
    <row r="162" s="3241" customFormat="1" ht="21.75" customHeight="1"/>
    <row r="163" s="3241" customFormat="1" ht="21.75" customHeight="1"/>
    <row r="164" s="3241" customFormat="1" ht="21.75" customHeight="1"/>
    <row r="165" s="3241" customFormat="1" ht="21.75" customHeight="1"/>
    <row r="166" s="3241" customFormat="1" ht="21.75" customHeight="1"/>
    <row r="167" s="3241" customFormat="1" ht="21.75" customHeight="1"/>
    <row r="168" s="3241" customFormat="1" ht="21.75" customHeight="1"/>
    <row r="169" s="3241" customFormat="1" ht="21.75" customHeight="1"/>
    <row r="170" s="3241" customFormat="1" ht="21.75" customHeight="1"/>
    <row r="171" s="3241" customFormat="1" ht="21.75" customHeight="1"/>
    <row r="172" s="3241" customFormat="1" ht="21.75" customHeight="1"/>
    <row r="173" s="3241" customFormat="1" ht="21.75" customHeight="1"/>
    <row r="174" s="3241" customFormat="1" ht="21.75" customHeight="1"/>
    <row r="175" s="3241" customFormat="1" ht="21.75" customHeight="1"/>
    <row r="176" s="3241" customFormat="1" ht="21.75" customHeight="1"/>
    <row r="177" spans="11:15" s="3241" customFormat="1" ht="21.75" customHeight="1"/>
    <row r="178" spans="11:15" s="3241" customFormat="1" ht="21.75" customHeight="1"/>
    <row r="179" spans="11:15" s="3241" customFormat="1" ht="21.75" customHeight="1"/>
    <row r="180" spans="11:15" s="3241" customFormat="1" ht="21.75" customHeight="1"/>
    <row r="181" spans="11:15" s="3241" customFormat="1" ht="21.75" customHeight="1"/>
    <row r="182" spans="11:15" s="3241" customFormat="1" ht="21.75" customHeight="1"/>
    <row r="183" spans="11:15" s="3241" customFormat="1" ht="21.75" customHeight="1"/>
    <row r="184" spans="11:15" s="3241" customFormat="1" ht="21.75" customHeight="1"/>
    <row r="185" spans="11:15" s="3240" customFormat="1" ht="21.75" customHeight="1">
      <c r="K185" s="3241"/>
      <c r="L185" s="3241"/>
      <c r="M185" s="3241"/>
      <c r="N185" s="3241"/>
      <c r="O185" s="3241"/>
    </row>
    <row r="186" spans="11:15" s="3240" customFormat="1" ht="21.75" customHeight="1"/>
    <row r="187" spans="11:15" s="3240" customFormat="1" ht="21.75" customHeight="1"/>
    <row r="188" spans="11:15" s="3240" customFormat="1" ht="21.75" customHeight="1"/>
    <row r="189" spans="11:15" s="3240" customFormat="1" ht="21.75" customHeight="1"/>
    <row r="190" spans="11:15" s="3240" customFormat="1" ht="21.75" customHeight="1"/>
    <row r="191" spans="11:15" s="3240" customFormat="1" ht="21.75" customHeight="1"/>
    <row r="192" spans="11:15" s="3240" customFormat="1" ht="21.75" customHeight="1"/>
    <row r="193" s="3240" customFormat="1" ht="21.75" customHeight="1"/>
    <row r="194" s="3240" customFormat="1" ht="21.75" customHeight="1"/>
    <row r="195" s="3240" customFormat="1" ht="21.75" customHeight="1"/>
    <row r="196" s="3240" customFormat="1" ht="21.75" customHeight="1"/>
    <row r="197" s="3240" customFormat="1" ht="21.75" customHeight="1"/>
    <row r="198" s="3240" customFormat="1" ht="21.75" customHeight="1"/>
    <row r="199" s="3240" customFormat="1" ht="21.75" customHeight="1"/>
    <row r="200" s="3240" customFormat="1" ht="21.75" customHeight="1"/>
    <row r="201" s="3240" customFormat="1" ht="21.75" customHeight="1"/>
    <row r="202" s="3240" customFormat="1" ht="21.75" customHeight="1"/>
    <row r="203" s="3240" customFormat="1" ht="21.75" customHeight="1"/>
    <row r="204" s="3240" customFormat="1" ht="21.75" customHeight="1"/>
    <row r="205" s="3240" customFormat="1" ht="21.75" customHeight="1"/>
    <row r="206" s="3240"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29" priority="10" stopIfTrue="1" operator="equal">
      <formula>25</formula>
    </cfRule>
  </conditionalFormatting>
  <conditionalFormatting sqref="C8:C9">
    <cfRule type="cellIs" dxfId="128" priority="9" stopIfTrue="1" operator="equal">
      <formula>15</formula>
    </cfRule>
  </conditionalFormatting>
  <conditionalFormatting sqref="C14:C16">
    <cfRule type="cellIs" dxfId="127" priority="8" stopIfTrue="1" operator="equal">
      <formula>30</formula>
    </cfRule>
  </conditionalFormatting>
  <conditionalFormatting sqref="D5:D7">
    <cfRule type="cellIs" dxfId="126" priority="7" stopIfTrue="1" operator="equal">
      <formula>25</formula>
    </cfRule>
  </conditionalFormatting>
  <conditionalFormatting sqref="D8:D9">
    <cfRule type="cellIs" dxfId="125" priority="6" stopIfTrue="1" operator="equal">
      <formula>15</formula>
    </cfRule>
  </conditionalFormatting>
  <conditionalFormatting sqref="C10:D13">
    <cfRule type="cellIs" dxfId="124" priority="5" stopIfTrue="1" operator="equal">
      <formula>15</formula>
    </cfRule>
  </conditionalFormatting>
  <conditionalFormatting sqref="D14:D16">
    <cfRule type="cellIs" dxfId="123" priority="4" stopIfTrue="1" operator="equal">
      <formula>30</formula>
    </cfRule>
  </conditionalFormatting>
  <conditionalFormatting sqref="C108">
    <cfRule type="expression" dxfId="122" priority="3" stopIfTrue="1">
      <formula>$H$106&lt;&gt;"仅含出让金"</formula>
    </cfRule>
  </conditionalFormatting>
  <conditionalFormatting sqref="C109">
    <cfRule type="expression" dxfId="121" priority="2" stopIfTrue="1">
      <formula>$H$109="由企业提供"</formula>
    </cfRule>
  </conditionalFormatting>
  <conditionalFormatting sqref="I33">
    <cfRule type="expression" dxfId="120"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N118"/>
  <sheetViews>
    <sheetView topLeftCell="A7" zoomScale="90" zoomScaleNormal="90" workbookViewId="0">
      <selection activeCell="C62" sqref="C6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992</v>
      </c>
      <c r="D1" s="1521">
        <f>SUM(D29:D30,D33:D39)</f>
        <v>57845.659999999996</v>
      </c>
      <c r="E1" s="1406" t="s">
        <v>2428</v>
      </c>
      <c r="F1" s="2431">
        <f>'数据-汇总表'!D19+'数据-汇总表'!D21</f>
        <v>4392.33</v>
      </c>
      <c r="G1" s="1401"/>
      <c r="H1" s="1401"/>
      <c r="I1" s="1401"/>
      <c r="J1" s="1401"/>
      <c r="K1" s="1401"/>
      <c r="L1" s="1882" t="s">
        <v>2239</v>
      </c>
      <c r="M1" s="1883">
        <f>SUMPRODUCT((区片价!B5:B9=I2)*(区片价!C3:F3=E2)*(区片价!C5:F9))</f>
        <v>29210</v>
      </c>
      <c r="N1" s="1884">
        <f>SUMPRODUCT((因素修正幅度!B5:B9=I2)*(因素修正幅度!C3:F3=E2)*(因素修正幅度!C5:F9))</f>
        <v>9.0999999999999998E-2</v>
      </c>
      <c r="O1" s="2189"/>
      <c r="P1" s="2189"/>
      <c r="Q1" s="2189"/>
      <c r="R1" s="2914" t="s">
        <v>2762</v>
      </c>
      <c r="S1" s="2914" t="s">
        <v>1636</v>
      </c>
      <c r="T1" s="2914" t="s">
        <v>2784</v>
      </c>
      <c r="U1" s="2914" t="s">
        <v>2785</v>
      </c>
      <c r="V1" s="2914" t="s">
        <v>993</v>
      </c>
      <c r="W1" s="2189"/>
      <c r="X1" s="2189"/>
      <c r="Y1" s="2189"/>
      <c r="Z1" s="2189"/>
      <c r="AA1" s="2189"/>
      <c r="AB1" s="2189"/>
      <c r="AC1" s="2190"/>
    </row>
    <row r="2" spans="1:39" ht="15.75">
      <c r="A2" s="1406" t="s">
        <v>920</v>
      </c>
      <c r="B2" s="1038">
        <f ca="1">C26</f>
        <v>149528</v>
      </c>
      <c r="C2" s="1407" t="s">
        <v>921</v>
      </c>
      <c r="D2" s="1408" t="s">
        <v>898</v>
      </c>
      <c r="E2" s="1409" t="s">
        <v>1678</v>
      </c>
      <c r="F2" s="1408" t="s">
        <v>899</v>
      </c>
      <c r="G2" s="1652" t="str">
        <f>IF(E2="商业",项目基本情况!B43,IF(E2="办公",项目基本情况!C43,IF(E2="住宅",项目基本情况!D43,项目基本情况!E43)))</f>
        <v>一级</v>
      </c>
      <c r="H2" s="1408" t="s">
        <v>926</v>
      </c>
      <c r="I2" s="1653" t="str">
        <f>IF(E2="商业",项目基本情况!B44,IF(E2="办公",项目基本情况!C44,IF(E2="住宅",项目基本情况!D44,项目基本情况!E44)))</f>
        <v>Ⅰ—02</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1.9361999999999999</v>
      </c>
      <c r="T2" s="2915">
        <f ca="1">ROUND($C$5*$C$18*$C$19*$C$20*S2*$C$24,0)</f>
        <v>73257</v>
      </c>
      <c r="U2" s="2904"/>
      <c r="V2" s="2915">
        <f ca="1">ROUND(T2*U2/10000,0)</f>
        <v>0</v>
      </c>
      <c r="W2" s="2189"/>
      <c r="X2" s="2189"/>
      <c r="Y2" s="2189"/>
      <c r="Z2" s="2189"/>
      <c r="AA2" s="2189"/>
      <c r="AB2" s="2189"/>
      <c r="AC2" s="2190"/>
    </row>
    <row r="3" spans="1:39" ht="15.75">
      <c r="A3" s="1411" t="s">
        <v>1688</v>
      </c>
      <c r="B3" s="1038">
        <f ca="1">ROUND(B2*10000/D1,0)</f>
        <v>25849</v>
      </c>
      <c r="C3" s="1407" t="s">
        <v>927</v>
      </c>
      <c r="D3" s="1408" t="s">
        <v>928</v>
      </c>
      <c r="E3" s="1412" t="s">
        <v>3026</v>
      </c>
      <c r="F3" s="1413" t="s">
        <v>3005</v>
      </c>
      <c r="G3" s="1039">
        <f>IF(F3="宗地容积率",'数据-汇总表'!I4,IF(F3="估价对象容积率",'数据-汇总表'!I6,'数据-汇总表'!I7))</f>
        <v>6.8</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1.4198</v>
      </c>
      <c r="T3" s="2915">
        <f t="shared" ref="T3:T16" ca="1" si="0">ROUND($C$5*$C$18*$C$19*$C$20*S3*$C$24,0)</f>
        <v>53719</v>
      </c>
      <c r="U3" s="2904"/>
      <c r="V3" s="2915">
        <f t="shared" ref="V3:V16" ca="1" si="1">ROUND(T3*U3/10000,0)</f>
        <v>0</v>
      </c>
      <c r="W3" s="2189"/>
      <c r="X3" s="2189"/>
      <c r="Y3" s="2189"/>
      <c r="Z3" s="2189"/>
      <c r="AA3" s="2189"/>
      <c r="AB3" s="2189"/>
      <c r="AC3" s="2190"/>
    </row>
    <row r="4" spans="1:39" ht="28.5">
      <c r="A4" s="1891" t="s">
        <v>2281</v>
      </c>
      <c r="B4" s="2432">
        <f ca="1">ROUND(B2*10000/F1,0)</f>
        <v>340430</v>
      </c>
      <c r="C4" s="1894" t="s">
        <v>2255</v>
      </c>
      <c r="D4" s="1894">
        <f ca="1">ROUND(B2/(F1/666.67),0)</f>
        <v>22695</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1.1594</v>
      </c>
      <c r="T4" s="2915">
        <f t="shared" ca="1" si="0"/>
        <v>43866</v>
      </c>
      <c r="U4" s="2904"/>
      <c r="V4" s="2915">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29210</v>
      </c>
      <c r="D5" s="3096">
        <f>ROUND(IF(F16="增加",C6+C16,C6-C16),0)</f>
        <v>29210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0.96220000000000006</v>
      </c>
      <c r="T5" s="2915">
        <f t="shared" ca="1" si="0"/>
        <v>36405</v>
      </c>
      <c r="U5" s="2904"/>
      <c r="V5" s="2915">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SUMIF(L1:L12,'基准地价-办公'!G2,M1:M12)</f>
        <v>29210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0.8417</v>
      </c>
      <c r="T6" s="2915">
        <f t="shared" ca="1" si="0"/>
        <v>31846</v>
      </c>
      <c r="U6" s="2904"/>
      <c r="V6" s="2915">
        <f t="shared" ca="1" si="1"/>
        <v>0</v>
      </c>
      <c r="W6" s="2189"/>
      <c r="X6" s="2189"/>
      <c r="Y6" s="2189"/>
      <c r="Z6" s="2189"/>
      <c r="AA6" s="2189"/>
      <c r="AB6" s="2189"/>
      <c r="AC6" s="2191"/>
      <c r="AD6" s="1419"/>
      <c r="AE6" s="1419"/>
      <c r="AF6" s="1419"/>
      <c r="AG6" s="1419"/>
      <c r="AH6" s="1419"/>
      <c r="AI6" s="1419"/>
      <c r="AJ6" s="1420"/>
    </row>
    <row r="7" spans="1:39" ht="24">
      <c r="A7" s="3935" t="str">
        <f>IF(E2="商业",IF(C8="不临58条商业街","",2),"")</f>
        <v/>
      </c>
      <c r="B7" s="1427" t="s">
        <v>932</v>
      </c>
      <c r="C7" s="1043">
        <f>IF(C8="不临58条商业街",1,ROUND(1+(1.6*E8+1.2*E9+0.8*E10+0.4*E11)*C9,4))</f>
        <v>1</v>
      </c>
      <c r="D7" s="1428" t="s">
        <v>933</v>
      </c>
      <c r="E7" s="1044">
        <v>60</v>
      </c>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0.76080000000000003</v>
      </c>
      <c r="T7" s="2915">
        <f t="shared" ca="1" si="0"/>
        <v>28785</v>
      </c>
      <c r="U7" s="2904"/>
      <c r="V7" s="2915">
        <f t="shared" ca="1" si="1"/>
        <v>0</v>
      </c>
      <c r="W7" s="3186" t="s">
        <v>2765</v>
      </c>
      <c r="X7" s="2905" t="str">
        <f>G2</f>
        <v>一级</v>
      </c>
      <c r="Y7" s="2905" t="s">
        <v>2766</v>
      </c>
      <c r="Z7" s="2906">
        <f>G3</f>
        <v>6.8</v>
      </c>
      <c r="AA7" s="2192"/>
      <c r="AB7" s="2192"/>
      <c r="AC7" s="2193"/>
      <c r="AD7" s="2907"/>
      <c r="AE7" s="2907"/>
      <c r="AF7" s="2907"/>
      <c r="AG7" s="2907"/>
      <c r="AH7" s="2907"/>
      <c r="AI7" s="2907"/>
      <c r="AJ7" s="2908"/>
    </row>
    <row r="8" spans="1:39" ht="25.5">
      <c r="A8" s="3936"/>
      <c r="B8" s="1414" t="s">
        <v>934</v>
      </c>
      <c r="C8" s="1529" t="s">
        <v>3006</v>
      </c>
      <c r="D8" s="1045" t="s">
        <v>935</v>
      </c>
      <c r="E8" s="1046">
        <f>ROUND(C11/E7,4)</f>
        <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f t="shared" ca="1" si="0"/>
        <v>0</v>
      </c>
      <c r="U8" s="2904"/>
      <c r="V8" s="2915">
        <f t="shared" ca="1" si="1"/>
        <v>0</v>
      </c>
      <c r="W8" s="3927" t="s">
        <v>2783</v>
      </c>
      <c r="X8" s="3928"/>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936"/>
      <c r="B9" s="1414" t="s">
        <v>937</v>
      </c>
      <c r="C9" s="1047">
        <f>SUMIF(修正!C59:C119,C8,修正!E59:E119)</f>
        <v>0</v>
      </c>
      <c r="D9" s="1048" t="s">
        <v>938</v>
      </c>
      <c r="E9" s="1048">
        <f>ROUND(C11/E7,4)</f>
        <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f t="shared" ca="1" si="0"/>
        <v>0</v>
      </c>
      <c r="U9" s="2904"/>
      <c r="V9" s="2915">
        <f t="shared" ca="1" si="1"/>
        <v>0</v>
      </c>
      <c r="W9" s="3926" t="s">
        <v>2779</v>
      </c>
      <c r="X9" s="2909" t="s">
        <v>2780</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936"/>
      <c r="B10" s="1414" t="s">
        <v>940</v>
      </c>
      <c r="C10" s="1048">
        <f>SUMIF(修正!C59:C119,C8,修正!F59:F119)</f>
        <v>0</v>
      </c>
      <c r="D10" s="1048" t="s">
        <v>941</v>
      </c>
      <c r="E10" s="1048">
        <f>ROUND(C11/E7,4)</f>
        <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f t="shared" ca="1" si="0"/>
        <v>0</v>
      </c>
      <c r="U10" s="2904"/>
      <c r="V10" s="2915">
        <f t="shared" ca="1" si="1"/>
        <v>0</v>
      </c>
      <c r="W10" s="3926"/>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936"/>
      <c r="B11" s="1435" t="s">
        <v>943</v>
      </c>
      <c r="C11" s="1049">
        <f>C10/4</f>
        <v>0</v>
      </c>
      <c r="D11" s="1049" t="s">
        <v>944</v>
      </c>
      <c r="E11" s="1049">
        <f>ROUND(C11/E7,4)</f>
        <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f t="shared" ca="1" si="0"/>
        <v>0</v>
      </c>
      <c r="U11" s="2904"/>
      <c r="V11" s="2915">
        <f t="shared" ca="1" si="1"/>
        <v>0</v>
      </c>
      <c r="W11" s="3926" t="s">
        <v>2781</v>
      </c>
      <c r="X11" s="1048" t="s">
        <v>2766</v>
      </c>
      <c r="Y11" s="1653">
        <f>$G$3</f>
        <v>6.8</v>
      </c>
      <c r="Z11" s="1653">
        <f t="shared" ref="Z11:AJ11" si="3">$G$3</f>
        <v>6.8</v>
      </c>
      <c r="AA11" s="1653">
        <f t="shared" si="3"/>
        <v>6.8</v>
      </c>
      <c r="AB11" s="1653">
        <f t="shared" si="3"/>
        <v>6.8</v>
      </c>
      <c r="AC11" s="1653">
        <f t="shared" si="3"/>
        <v>6.8</v>
      </c>
      <c r="AD11" s="1653">
        <f t="shared" si="3"/>
        <v>6.8</v>
      </c>
      <c r="AE11" s="1653">
        <f t="shared" si="3"/>
        <v>6.8</v>
      </c>
      <c r="AF11" s="1653">
        <f t="shared" si="3"/>
        <v>6.8</v>
      </c>
      <c r="AG11" s="1653">
        <f t="shared" si="3"/>
        <v>6.8</v>
      </c>
      <c r="AH11" s="1653">
        <f t="shared" si="3"/>
        <v>6.8</v>
      </c>
      <c r="AI11" s="1653">
        <f t="shared" si="3"/>
        <v>6.8</v>
      </c>
      <c r="AJ11" s="1653">
        <f t="shared" si="3"/>
        <v>6.8</v>
      </c>
    </row>
    <row r="12" spans="1:39" ht="25.5" thickBot="1">
      <c r="A12" s="3935" t="s">
        <v>1872</v>
      </c>
      <c r="B12" s="1439" t="s">
        <v>946</v>
      </c>
      <c r="C12" s="1043">
        <f>ROUND(C15*D15*E15*F15*G15*H15*I15*J15,4)</f>
        <v>1.21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f t="shared" ca="1" si="0"/>
        <v>0</v>
      </c>
      <c r="U12" s="2904"/>
      <c r="V12" s="2915">
        <f t="shared" ca="1" si="1"/>
        <v>0</v>
      </c>
      <c r="W12" s="3926"/>
      <c r="X12" s="2912" t="s">
        <v>2782</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937"/>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5">
        <v>12</v>
      </c>
      <c r="S13" s="2904"/>
      <c r="T13" s="2915">
        <f t="shared" ca="1" si="0"/>
        <v>0</v>
      </c>
      <c r="U13" s="2904"/>
      <c r="V13" s="2915">
        <f t="shared" ca="1" si="1"/>
        <v>0</v>
      </c>
      <c r="W13" s="3926"/>
      <c r="X13" s="2912"/>
      <c r="Y13" s="2911">
        <f>(-0.163*(Y12^2)-0.59*Y12+7617)*(10^(-4))/Y11</f>
        <v>0.11201470588235295</v>
      </c>
      <c r="Z13" s="2911">
        <f t="shared" ref="Z13:AJ13" si="5">(-0.163*(Z12^2)-0.59*Z12+7617)*(10^(-4))/Z11</f>
        <v>0.11201470588235295</v>
      </c>
      <c r="AA13" s="2911">
        <f t="shared" si="5"/>
        <v>0.11201470588235295</v>
      </c>
      <c r="AB13" s="2911">
        <f t="shared" si="5"/>
        <v>0.11201470588235295</v>
      </c>
      <c r="AC13" s="2911">
        <f t="shared" si="5"/>
        <v>0.11201470588235295</v>
      </c>
      <c r="AD13" s="2911">
        <f t="shared" si="5"/>
        <v>0.11201470588235295</v>
      </c>
      <c r="AE13" s="2911">
        <f t="shared" si="5"/>
        <v>0.11201470588235295</v>
      </c>
      <c r="AF13" s="2911">
        <f t="shared" si="5"/>
        <v>0.11201470588235295</v>
      </c>
      <c r="AG13" s="2911">
        <f t="shared" si="5"/>
        <v>0.11201470588235295</v>
      </c>
      <c r="AH13" s="2911">
        <f t="shared" si="5"/>
        <v>0.11201470588235295</v>
      </c>
      <c r="AI13" s="2911">
        <f t="shared" si="5"/>
        <v>0.11201470588235295</v>
      </c>
      <c r="AJ13" s="2911">
        <f t="shared" si="5"/>
        <v>0.11201470588235295</v>
      </c>
    </row>
    <row r="14" spans="1:39" ht="12.75" customHeight="1" thickBot="1">
      <c r="A14" s="3937"/>
      <c r="B14" s="1451"/>
      <c r="C14" s="1452" t="s">
        <v>3008</v>
      </c>
      <c r="D14" s="1453" t="s">
        <v>3008</v>
      </c>
      <c r="E14" s="1453" t="s">
        <v>3007</v>
      </c>
      <c r="F14" s="1454" t="s">
        <v>3288</v>
      </c>
      <c r="G14" s="1455" t="s">
        <v>949</v>
      </c>
      <c r="H14" s="1456"/>
      <c r="I14" s="1457"/>
      <c r="J14" s="1458"/>
      <c r="K14" s="1401"/>
      <c r="L14" s="2189"/>
      <c r="M14" s="2189"/>
      <c r="N14" s="2189"/>
      <c r="O14" s="2189"/>
      <c r="P14" s="2189"/>
      <c r="Q14" s="2189"/>
      <c r="R14" s="2915">
        <v>13</v>
      </c>
      <c r="S14" s="2904"/>
      <c r="T14" s="2915">
        <f t="shared" ca="1" si="0"/>
        <v>0</v>
      </c>
      <c r="U14" s="2904"/>
      <c r="V14" s="2915">
        <f t="shared" ca="1" si="1"/>
        <v>0</v>
      </c>
      <c r="W14" s="2189"/>
      <c r="X14" s="2189"/>
      <c r="Y14" s="2189"/>
      <c r="Z14" s="2189"/>
      <c r="AA14" s="2189"/>
      <c r="AB14" s="2189"/>
      <c r="AC14" s="2190"/>
    </row>
    <row r="15" spans="1:39" ht="13.5" customHeight="1" thickBot="1">
      <c r="A15" s="3938"/>
      <c r="B15" s="1459" t="s">
        <v>1701</v>
      </c>
      <c r="C15" s="1051">
        <f>IF(C14="有",1.1,1)</f>
        <v>1</v>
      </c>
      <c r="D15" s="1051">
        <f>IF(D14="有",1.1,1)</f>
        <v>1</v>
      </c>
      <c r="E15" s="1051">
        <f>IF(E14="有",1.1,1)</f>
        <v>1.1000000000000001</v>
      </c>
      <c r="F15" s="1051">
        <f>IF(F14="500米范围内",1.2,IF(F14="500-1000米",1.1,1))</f>
        <v>1.1000000000000001</v>
      </c>
      <c r="G15" s="1052">
        <v>1</v>
      </c>
      <c r="H15" s="1052">
        <v>1</v>
      </c>
      <c r="I15" s="1052">
        <v>1</v>
      </c>
      <c r="J15" s="1053">
        <v>1</v>
      </c>
      <c r="K15" s="1401"/>
      <c r="L15" s="1598" t="s">
        <v>898</v>
      </c>
      <c r="M15" s="1428" t="s">
        <v>976</v>
      </c>
      <c r="N15" s="1428" t="s">
        <v>979</v>
      </c>
      <c r="O15" s="1428" t="s">
        <v>902</v>
      </c>
      <c r="P15" s="1476" t="s">
        <v>986</v>
      </c>
      <c r="Q15" s="2189"/>
      <c r="R15" s="2915">
        <v>14</v>
      </c>
      <c r="S15" s="2904"/>
      <c r="T15" s="2915">
        <f t="shared" ca="1" si="0"/>
        <v>0</v>
      </c>
      <c r="U15" s="2904"/>
      <c r="V15" s="2915">
        <f t="shared" ca="1" si="1"/>
        <v>0</v>
      </c>
      <c r="W15" s="2189"/>
      <c r="X15" s="2189"/>
      <c r="Y15" s="2189"/>
      <c r="Z15" s="2189"/>
      <c r="AA15" s="2189"/>
      <c r="AB15" s="2189"/>
      <c r="AC15" s="2190"/>
    </row>
    <row r="16" spans="1:39" ht="24">
      <c r="A16" s="3935" t="s">
        <v>1839</v>
      </c>
      <c r="B16" s="1427" t="s">
        <v>950</v>
      </c>
      <c r="C16" s="1054">
        <f>ROUND(SUM(G17:J17)/C17,0)</f>
        <v>0</v>
      </c>
      <c r="D16" s="1460" t="s">
        <v>951</v>
      </c>
      <c r="E16" s="1461" t="s">
        <v>3336</v>
      </c>
      <c r="F16" s="1462" t="s">
        <v>3337</v>
      </c>
      <c r="G16" s="1463" t="s">
        <v>952</v>
      </c>
      <c r="H16" s="1463"/>
      <c r="I16" s="1463"/>
      <c r="J16" s="1463"/>
      <c r="K16" s="1401"/>
      <c r="L16" s="1464" t="s">
        <v>988</v>
      </c>
      <c r="M16" s="1047">
        <v>0.25</v>
      </c>
      <c r="N16" s="1047">
        <v>0.2</v>
      </c>
      <c r="O16" s="1047">
        <v>0.15</v>
      </c>
      <c r="P16" s="1539">
        <v>0.1</v>
      </c>
      <c r="Q16" s="2192"/>
      <c r="R16" s="2915">
        <v>15</v>
      </c>
      <c r="S16" s="2904"/>
      <c r="T16" s="2915">
        <f t="shared" ca="1" si="0"/>
        <v>0</v>
      </c>
      <c r="U16" s="2904"/>
      <c r="V16" s="2915">
        <f t="shared" ca="1" si="1"/>
        <v>0</v>
      </c>
      <c r="W16" s="2192"/>
      <c r="X16" s="2192"/>
      <c r="Y16" s="2192"/>
      <c r="Z16" s="2192"/>
      <c r="AA16" s="2192"/>
      <c r="AB16" s="2192"/>
      <c r="AC16" s="2193"/>
    </row>
    <row r="17" spans="1:40" ht="13.5" thickBot="1">
      <c r="A17" s="3936"/>
      <c r="B17" s="1465" t="s">
        <v>953</v>
      </c>
      <c r="C17" s="1055">
        <f>SUMPRODUCT((修正!A2:A5=E2)*(修正!B1:M1=G2)*(修正!B2:M5))</f>
        <v>3.5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1827</v>
      </c>
      <c r="B18" s="2750" t="s">
        <v>956</v>
      </c>
      <c r="C18" s="2751">
        <f>SUMIF(修正!C18:C39,E3,修正!E18:E39)</f>
        <v>1</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1828</v>
      </c>
      <c r="B19" s="1470" t="s">
        <v>957</v>
      </c>
      <c r="C19" s="1057">
        <f>ROUND(IF(H19="按公示增长率计算",SUMPRODUCT((地价!A3:A25=YEAR(G19)&amp;"-"&amp;ROUNDUP(MONTH(G19)/3,0))*(地价!X2:AB2=E2)*(地价!X3:AB25)),IF(H19="地价指数",M20/M19,(1+I19)^O19)),4)</f>
        <v>1.3686</v>
      </c>
      <c r="D19" s="1474" t="s">
        <v>958</v>
      </c>
      <c r="E19" s="1058">
        <v>41640</v>
      </c>
      <c r="F19" s="1474" t="s">
        <v>959</v>
      </c>
      <c r="G19" s="1059">
        <f>'数据-取费表'!B2</f>
        <v>43552</v>
      </c>
      <c r="H19" s="1475" t="s">
        <v>3009</v>
      </c>
      <c r="I19" s="2762" t="str">
        <f>IF(H19="季度增幅（自定义）",SUMIF(N21:N24,E2,O21:O24),"")</f>
        <v/>
      </c>
      <c r="J19" s="1471"/>
      <c r="K19" s="1481"/>
      <c r="L19" s="3015" t="s">
        <v>2841</v>
      </c>
      <c r="M19" s="3016">
        <f>ROUND(SUMIF(地价!B2:F2,E2,地价!B25:F25),0)</f>
        <v>258</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1829</v>
      </c>
      <c r="B20" s="2757" t="s">
        <v>972</v>
      </c>
      <c r="C20" s="2758">
        <f ca="1">ROUND(POWER(1+G20,J20-I20)*(POWER(1+G20,I20)-1)/(POWER(1+G20,J20)-1),4)</f>
        <v>0.90490000000000004</v>
      </c>
      <c r="D20" s="2759" t="s">
        <v>973</v>
      </c>
      <c r="E20" s="3071">
        <f ca="1">存贷款利率!I4/100</f>
        <v>4.3499999999999997E-2</v>
      </c>
      <c r="F20" s="2759" t="s">
        <v>974</v>
      </c>
      <c r="G20" s="2760">
        <f ca="1">SUMIF(M15:P15,E2,M17:P17)</f>
        <v>5.1999999999999998E-2</v>
      </c>
      <c r="H20" s="2759" t="s">
        <v>975</v>
      </c>
      <c r="I20" s="2749">
        <f>SUMIF('数据-取费表'!C6:C15,E2,'数据-取费表'!F6:F15)/COUNTIF('数据-取费表'!C6:C15,E2)</f>
        <v>35.32</v>
      </c>
      <c r="J20" s="2761">
        <f>IF(E2="住宅",70,IF(E2="商业",40,50))</f>
        <v>50</v>
      </c>
      <c r="K20" s="1481"/>
      <c r="L20" s="3017" t="s">
        <v>2842</v>
      </c>
      <c r="M20" s="3018">
        <f>ROUND(SUMPRODUCT((地价!A4:A25=YEAR(G19)&amp;"-"&amp;ROUNDUP(MONTH(G19)/3,0))*(地价!B2:F2=E2)*(地价!B4:F25)),0)</f>
        <v>345</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3010</v>
      </c>
      <c r="C21" s="1158">
        <f>IF(B21="容积率修正",IF(G3&lt;=10,D22,J22),C23)</f>
        <v>0.87450000000000006</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0.87450000000000006</v>
      </c>
      <c r="E22" s="1039">
        <f>ROUNDDOWN(G3,1)</f>
        <v>6.8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1039">
        <f>ROUNDUP(G3,1)</f>
        <v>6.8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0.87450000000000006</v>
      </c>
      <c r="I22" s="1060" t="s">
        <v>978</v>
      </c>
      <c r="J22" s="1060" t="str">
        <f>IF(G3&gt;10,D113,"——")</f>
        <v>——</v>
      </c>
      <c r="K22" s="1481"/>
      <c r="L22" s="1481"/>
      <c r="M22" s="1481"/>
      <c r="N22" s="1478" t="s">
        <v>979</v>
      </c>
      <c r="O22" s="1542"/>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0.76019999999999999</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2">
        <f>SUMIF(A44:A87,E2,B44:B87)</f>
        <v>1.0459000000000001</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89"/>
      <c r="B26" s="1483" t="s">
        <v>987</v>
      </c>
      <c r="C26" s="1063">
        <f ca="1">E29+SUM(E33:E39)</f>
        <v>149528</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4">
        <f ca="1">E30+SUM(I33:I39)</f>
        <v>4378</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3">
        <f ca="1">ROUND(C5*C18*C19*C20*C21*C24,0)</f>
        <v>33087</v>
      </c>
      <c r="D29" s="1504">
        <f>'数据-汇总表'!E19</f>
        <v>39900.839999999997</v>
      </c>
      <c r="E29" s="1849">
        <f ca="1">ROUND(C29*D29/10000,0)</f>
        <v>132020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8272</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941" t="s">
        <v>2963</v>
      </c>
      <c r="B33" s="1524" t="s">
        <v>1000</v>
      </c>
      <c r="C33" s="1063">
        <f ca="1">ROUND(D5*C19*C20*C24*F33,0)</f>
        <v>30268</v>
      </c>
      <c r="D33" s="1537"/>
      <c r="E33" s="1048">
        <f ca="1">ROUND(C33*D33/10000,0)</f>
        <v>0</v>
      </c>
      <c r="F33" s="1048">
        <f>SUMIF(修正!A45:A56,G2,修正!B45:B56)</f>
        <v>0.8</v>
      </c>
      <c r="G33" s="1048">
        <f t="shared" ref="G33" ca="1" si="6">ROUND(IF(E2="工业",C33*$M$39,C33*$M$38),0)</f>
        <v>7567</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942"/>
      <c r="B34" s="1445" t="s">
        <v>1001</v>
      </c>
      <c r="C34" s="1063">
        <f ca="1">ROUND(D5*C19*C20*C24*F34,0)</f>
        <v>18918</v>
      </c>
      <c r="D34" s="1537"/>
      <c r="E34" s="1048">
        <f t="shared" ref="E34:E39" ca="1" si="7">ROUND(C34*D34/10000,0)</f>
        <v>0</v>
      </c>
      <c r="F34" s="1048">
        <f>SUMIF(修正!A45:A56,G2,修正!C45:C56)</f>
        <v>0.5</v>
      </c>
      <c r="G34" s="1048">
        <f ca="1">ROUND(IF(E2="工业",C34*$M$39,C34*$M$38),0)</f>
        <v>4730</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942"/>
      <c r="B35" s="1445" t="s">
        <v>1002</v>
      </c>
      <c r="C35" s="1063">
        <f ca="1">ROUND(D5*C19*C20*C24*F35,0)</f>
        <v>13621</v>
      </c>
      <c r="D35" s="1537"/>
      <c r="E35" s="1048">
        <f t="shared" ca="1" si="7"/>
        <v>0</v>
      </c>
      <c r="F35" s="1048">
        <f>SUMIF(修正!A45:A56,G2,修正!D45:D56)</f>
        <v>0.36</v>
      </c>
      <c r="G35" s="1048">
        <f ca="1">ROUND(IF(E2="工业",C35*$M$39,C35*$M$38),0)</f>
        <v>3405</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943"/>
      <c r="B36" s="1445" t="s">
        <v>1003</v>
      </c>
      <c r="C36" s="1063">
        <f ca="1">ROUND(D5*C19*C20*C24*F36,0)</f>
        <v>11351</v>
      </c>
      <c r="D36" s="1537"/>
      <c r="E36" s="1048">
        <f t="shared" ca="1" si="7"/>
        <v>0</v>
      </c>
      <c r="F36" s="1048">
        <f>SUMIF(修正!A45:A56,G2,修正!E45:E56)</f>
        <v>0.3</v>
      </c>
      <c r="G36" s="1048">
        <f ca="1">ROUND(IF(E2="工业",C36*$M$39,C36*$M$38),0)</f>
        <v>2838</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11351</v>
      </c>
      <c r="D37" s="1537">
        <f>'数据-汇总表'!E21</f>
        <v>2822.18</v>
      </c>
      <c r="E37" s="1048">
        <f t="shared" ca="1" si="7"/>
        <v>3203</v>
      </c>
      <c r="F37" s="1063">
        <f>SUMIF(修正!A45:A56,G2,修正!F45:F56)</f>
        <v>0.3</v>
      </c>
      <c r="G37" s="1048">
        <f ca="1">ROUND(IF(E2="工业",C37*$M$39,C37*$M$38),0)</f>
        <v>2838</v>
      </c>
      <c r="H37" s="1048">
        <f t="shared" si="8"/>
        <v>2822.18</v>
      </c>
      <c r="I37" s="1048">
        <f t="shared" ca="1" si="9"/>
        <v>801</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11351</v>
      </c>
      <c r="D38" s="1537"/>
      <c r="E38" s="1048">
        <f t="shared" ca="1" si="7"/>
        <v>0</v>
      </c>
      <c r="F38" s="1063">
        <f>SUMIF(修正!A45:A56,G2,修正!G45:G56)</f>
        <v>0.3</v>
      </c>
      <c r="G38" s="1048">
        <f ca="1">ROUND(IF(E2="工业",C38*$M$39,C38*$M$38),0)</f>
        <v>2838</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9459</v>
      </c>
      <c r="D39" s="1538">
        <f>'数据-汇总表'!E22</f>
        <v>15122.64</v>
      </c>
      <c r="E39" s="1051">
        <f t="shared" ca="1" si="7"/>
        <v>14305</v>
      </c>
      <c r="F39" s="1065">
        <f>SUMIF(修正!A45:A56,G2,修正!H45:H56)</f>
        <v>0.25</v>
      </c>
      <c r="G39" s="1051">
        <f ca="1">ROUND(IF(E2="工业",C39*$M$39,C39*$M$38),0)</f>
        <v>2365</v>
      </c>
      <c r="H39" s="1051">
        <f t="shared" si="8"/>
        <v>15122.64</v>
      </c>
      <c r="I39" s="1051">
        <f t="shared" ca="1" si="9"/>
        <v>3577</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4" t="s">
        <v>2990</v>
      </c>
      <c r="C41" s="839">
        <f ca="1">ROUND(POWER(1+E41,H41-G41)*(POWER(1+E41,G41)-1)/(POWER(1+E41,H41)-1),4)</f>
        <v>0.90490000000000004</v>
      </c>
      <c r="D41" s="378" t="s">
        <v>2988</v>
      </c>
      <c r="E41" s="3173">
        <f ca="1">G20</f>
        <v>5.1999999999999998E-2</v>
      </c>
      <c r="F41" s="378" t="s">
        <v>2989</v>
      </c>
      <c r="G41" s="396">
        <f>I20</f>
        <v>35.32</v>
      </c>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976</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3"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2"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979</v>
      </c>
      <c r="B56" s="2404">
        <f>1+E58</f>
        <v>1.0459000000000001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2251</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390" t="str">
        <f>估价对象房地状况!C17</f>
        <v>估价对象位于XX商圈，周边办公楼项目较多，入驻率高，办公集聚程度较好</v>
      </c>
      <c r="C58" s="1050" t="s">
        <v>3011</v>
      </c>
      <c r="D58" s="2396">
        <f t="shared" ref="D58:D66" si="15">SUMIF($J$57:$N$57,C58,J58:N58)</f>
        <v>1.09E-2</v>
      </c>
      <c r="E58" s="2415">
        <f>ROUND(SUM(D58:D66),4)</f>
        <v>4.5900000000000003E-2</v>
      </c>
      <c r="F58" s="2416">
        <f>IF(E2="办公",SUMIF(L1:L12,G2,N1:N12),"——")</f>
        <v>9.0999999999999998E-2</v>
      </c>
      <c r="G58" s="2394">
        <f>H58</f>
        <v>1.09E-2</v>
      </c>
      <c r="H58" s="2440">
        <f>IFERROR(ROUNDDOWN($F$58*I58/2,4),"——")</f>
        <v>1.09E-2</v>
      </c>
      <c r="I58" s="2414">
        <v>0.24</v>
      </c>
      <c r="J58" s="2417">
        <f t="shared" ref="J58:J66" si="16">K58+$G58</f>
        <v>2.18E-2</v>
      </c>
      <c r="K58" s="2417">
        <f t="shared" ref="K58:K66" si="17">$L58+$G58</f>
        <v>1.09E-2</v>
      </c>
      <c r="L58" s="2417">
        <v>0</v>
      </c>
      <c r="M58" s="2417">
        <f t="shared" ref="M58:N66" si="18">L58-$G58</f>
        <v>-1.09E-2</v>
      </c>
      <c r="N58" s="2417">
        <f t="shared" si="18"/>
        <v>-2.18E-2</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387" t="str">
        <f>估价对象房地状况!C18</f>
        <v>估价对象周边道路状况、公共交通通达情况、停车便捷程度，综合评价交通便捷度较好</v>
      </c>
      <c r="C59" s="1050" t="s">
        <v>3011</v>
      </c>
      <c r="D59" s="2396">
        <f t="shared" si="15"/>
        <v>1.3649999999999999E-2</v>
      </c>
      <c r="E59" s="2418"/>
      <c r="F59" s="2416"/>
      <c r="G59" s="2394">
        <f t="shared" ref="G59:G66" si="19">H59</f>
        <v>1.3649999999999999E-2</v>
      </c>
      <c r="H59" s="2395">
        <f t="shared" ref="H59:H66" si="20">IFERROR($F$58*I59/2,"——")</f>
        <v>1.3649999999999999E-2</v>
      </c>
      <c r="I59" s="2414">
        <v>0.3</v>
      </c>
      <c r="J59" s="2417">
        <f t="shared" si="16"/>
        <v>2.7299999999999998E-2</v>
      </c>
      <c r="K59" s="2417">
        <f t="shared" si="17"/>
        <v>1.3649999999999999E-2</v>
      </c>
      <c r="L59" s="2417">
        <v>0</v>
      </c>
      <c r="M59" s="2417">
        <f t="shared" si="18"/>
        <v>-1.3649999999999999E-2</v>
      </c>
      <c r="N59" s="2417">
        <f t="shared" si="18"/>
        <v>-2.7299999999999998E-2</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t="s">
        <v>3011</v>
      </c>
      <c r="D60" s="2396">
        <f t="shared" si="15"/>
        <v>3.64E-3</v>
      </c>
      <c r="E60" s="2418"/>
      <c r="F60" s="2416"/>
      <c r="G60" s="2394">
        <f t="shared" si="19"/>
        <v>3.64E-3</v>
      </c>
      <c r="H60" s="2395">
        <f t="shared" si="20"/>
        <v>3.64E-3</v>
      </c>
      <c r="I60" s="2414">
        <v>0.08</v>
      </c>
      <c r="J60" s="2417">
        <f t="shared" si="16"/>
        <v>7.28E-3</v>
      </c>
      <c r="K60" s="2417">
        <f t="shared" si="17"/>
        <v>3.64E-3</v>
      </c>
      <c r="L60" s="2417">
        <v>0</v>
      </c>
      <c r="M60" s="2417">
        <f t="shared" si="18"/>
        <v>-3.64E-3</v>
      </c>
      <c r="N60" s="2417">
        <f t="shared" si="18"/>
        <v>-7.28E-3</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3" t="s">
        <v>2939</v>
      </c>
      <c r="C61" s="1050" t="s">
        <v>3011</v>
      </c>
      <c r="D61" s="2396">
        <f t="shared" si="15"/>
        <v>1.82E-3</v>
      </c>
      <c r="E61" s="2418"/>
      <c r="F61" s="2416"/>
      <c r="G61" s="2394">
        <f t="shared" si="19"/>
        <v>1.82E-3</v>
      </c>
      <c r="H61" s="2395">
        <f t="shared" si="20"/>
        <v>1.82E-3</v>
      </c>
      <c r="I61" s="2414">
        <v>0.04</v>
      </c>
      <c r="J61" s="2417">
        <f t="shared" si="16"/>
        <v>3.64E-3</v>
      </c>
      <c r="K61" s="2417">
        <f t="shared" si="17"/>
        <v>1.82E-3</v>
      </c>
      <c r="L61" s="2417">
        <v>0</v>
      </c>
      <c r="M61" s="2417">
        <f t="shared" si="18"/>
        <v>-1.82E-3</v>
      </c>
      <c r="N61" s="2417">
        <f t="shared" si="18"/>
        <v>-3.64E-3</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t="s">
        <v>3013</v>
      </c>
      <c r="D62" s="2396">
        <f t="shared" si="15"/>
        <v>0</v>
      </c>
      <c r="E62" s="2418"/>
      <c r="F62" s="2416"/>
      <c r="G62" s="2394">
        <f t="shared" si="19"/>
        <v>2.2750000000000001E-3</v>
      </c>
      <c r="H62" s="2395">
        <f t="shared" si="20"/>
        <v>2.2750000000000001E-3</v>
      </c>
      <c r="I62" s="2414">
        <v>0.05</v>
      </c>
      <c r="J62" s="2417">
        <f t="shared" si="16"/>
        <v>4.5500000000000002E-3</v>
      </c>
      <c r="K62" s="2417">
        <f t="shared" si="17"/>
        <v>2.2750000000000001E-3</v>
      </c>
      <c r="L62" s="2417">
        <v>0</v>
      </c>
      <c r="M62" s="2417">
        <f t="shared" si="18"/>
        <v>-2.2750000000000001E-3</v>
      </c>
      <c r="N62" s="2417">
        <f t="shared" si="18"/>
        <v>-4.5500000000000002E-3</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2" t="s">
        <v>2938</v>
      </c>
      <c r="C63" s="1050" t="s">
        <v>3011</v>
      </c>
      <c r="D63" s="2396">
        <f t="shared" si="15"/>
        <v>2.2750000000000001E-3</v>
      </c>
      <c r="E63" s="2418"/>
      <c r="F63" s="2416"/>
      <c r="G63" s="2394">
        <f t="shared" si="19"/>
        <v>2.2750000000000001E-3</v>
      </c>
      <c r="H63" s="2395">
        <f t="shared" si="20"/>
        <v>2.2750000000000001E-3</v>
      </c>
      <c r="I63" s="2414">
        <v>0.05</v>
      </c>
      <c r="J63" s="2417">
        <f t="shared" si="16"/>
        <v>4.5500000000000002E-3</v>
      </c>
      <c r="K63" s="2417">
        <f t="shared" si="17"/>
        <v>2.2750000000000001E-3</v>
      </c>
      <c r="L63" s="2417">
        <v>0</v>
      </c>
      <c r="M63" s="2417">
        <f t="shared" si="18"/>
        <v>-2.2750000000000001E-3</v>
      </c>
      <c r="N63" s="2417">
        <f t="shared" si="18"/>
        <v>-4.5500000000000002E-3</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t="str">
        <f>估价对象房地状况!C21</f>
        <v>估价对象所在区域公共配套设施齐备情况</v>
      </c>
      <c r="C64" s="1050" t="s">
        <v>3011</v>
      </c>
      <c r="D64" s="2396">
        <f t="shared" si="15"/>
        <v>2.7299999999999998E-3</v>
      </c>
      <c r="E64" s="2418"/>
      <c r="F64" s="2416"/>
      <c r="G64" s="2394">
        <f t="shared" si="19"/>
        <v>2.7299999999999998E-3</v>
      </c>
      <c r="H64" s="2395">
        <f t="shared" si="20"/>
        <v>2.7299999999999998E-3</v>
      </c>
      <c r="I64" s="2414">
        <v>0.06</v>
      </c>
      <c r="J64" s="2417">
        <f t="shared" si="16"/>
        <v>5.4599999999999996E-3</v>
      </c>
      <c r="K64" s="2417">
        <f t="shared" si="17"/>
        <v>2.7299999999999998E-3</v>
      </c>
      <c r="L64" s="2417">
        <v>0</v>
      </c>
      <c r="M64" s="2417">
        <f t="shared" si="18"/>
        <v>-2.7299999999999998E-3</v>
      </c>
      <c r="N64" s="2417">
        <f t="shared" si="18"/>
        <v>-5.4599999999999996E-3</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t="str">
        <f>估价对象房地状况!C22</f>
        <v>估价对象所在区域基础设施水平</v>
      </c>
      <c r="C65" s="1050" t="s">
        <v>3012</v>
      </c>
      <c r="D65" s="2396">
        <f t="shared" si="15"/>
        <v>1.0919999999999999E-2</v>
      </c>
      <c r="E65" s="2418"/>
      <c r="F65" s="2416"/>
      <c r="G65" s="2394">
        <f t="shared" si="19"/>
        <v>5.4599999999999996E-3</v>
      </c>
      <c r="H65" s="2395">
        <f t="shared" si="20"/>
        <v>5.4599999999999996E-3</v>
      </c>
      <c r="I65" s="2414">
        <v>0.12</v>
      </c>
      <c r="J65" s="2417">
        <f t="shared" si="16"/>
        <v>1.0919999999999999E-2</v>
      </c>
      <c r="K65" s="2417">
        <f t="shared" si="17"/>
        <v>5.4599999999999996E-3</v>
      </c>
      <c r="L65" s="2417">
        <v>0</v>
      </c>
      <c r="M65" s="2417">
        <f t="shared" si="18"/>
        <v>-5.4599999999999996E-3</v>
      </c>
      <c r="N65" s="2417">
        <f t="shared" si="18"/>
        <v>-1.0919999999999999E-2</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50" t="s">
        <v>3013</v>
      </c>
      <c r="D66" s="2396">
        <f t="shared" si="15"/>
        <v>0</v>
      </c>
      <c r="E66" s="2422"/>
      <c r="F66" s="2416"/>
      <c r="G66" s="2394">
        <f t="shared" si="19"/>
        <v>2.7299999999999998E-3</v>
      </c>
      <c r="H66" s="2395">
        <f t="shared" si="20"/>
        <v>2.7299999999999998E-3</v>
      </c>
      <c r="I66" s="2421">
        <v>0.06</v>
      </c>
      <c r="J66" s="2417">
        <f t="shared" si="16"/>
        <v>5.4599999999999996E-3</v>
      </c>
      <c r="K66" s="2417">
        <f t="shared" si="17"/>
        <v>2.7299999999999998E-3</v>
      </c>
      <c r="L66" s="2417">
        <v>0</v>
      </c>
      <c r="M66" s="2417">
        <f t="shared" si="18"/>
        <v>-2.7299999999999998E-3</v>
      </c>
      <c r="N66" s="2417">
        <f t="shared" si="18"/>
        <v>-5.4599999999999996E-3</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902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387"/>
      <c r="C68" s="2409" t="s">
        <v>1011</v>
      </c>
      <c r="D68" s="2410" t="s">
        <v>1012</v>
      </c>
      <c r="E68" s="2411" t="s">
        <v>1014</v>
      </c>
      <c r="F68" s="2412" t="s">
        <v>2251</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390" t="str">
        <f>估价对象房地状况!C15</f>
        <v>估价对象周边居住用地比例、居住小区规模和社区发展完善程度，综合评价居住社区成熟度一般</v>
      </c>
      <c r="C69" s="1159"/>
      <c r="D69" s="2396">
        <f t="shared" ref="D69:D77" si="21">SUMIF($J$68:$N$68,C69,J69:N69)</f>
        <v>0</v>
      </c>
      <c r="E69" s="2415">
        <f>ROUND(SUM(D69:D77),4)</f>
        <v>0</v>
      </c>
      <c r="F69" s="2416" t="str">
        <f>IF(E2="住宅",SUMIF(L1:L12,G2,N1:N12),"——")</f>
        <v>——</v>
      </c>
      <c r="G69" s="2397"/>
      <c r="H69" s="2441" t="str">
        <f t="shared" ref="H69:H77" si="22">IFERROR(ROUNDDOWN($F$69*I69/2,4),"——")</f>
        <v>——</v>
      </c>
      <c r="I69" s="2414">
        <v>0.14000000000000001</v>
      </c>
      <c r="J69" s="2417">
        <f t="shared" ref="J69:J77" si="23">K69+$G69</f>
        <v>0</v>
      </c>
      <c r="K69" s="2417">
        <f t="shared" ref="K69:K77" si="24">$L69+$G69</f>
        <v>0</v>
      </c>
      <c r="L69" s="2417">
        <v>0</v>
      </c>
      <c r="M69" s="2417">
        <f t="shared" ref="M69:N77" si="25">L69-$G69</f>
        <v>0</v>
      </c>
      <c r="N69" s="2417">
        <f t="shared" si="25"/>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1022</v>
      </c>
      <c r="B70" s="2387" t="str">
        <f>估价对象房地状况!C18</f>
        <v>估价对象周边道路状况、公共交通通达情况、停车便捷程度，综合评价交通便捷度较好</v>
      </c>
      <c r="C70" s="1159"/>
      <c r="D70" s="2396">
        <f t="shared" si="21"/>
        <v>0</v>
      </c>
      <c r="E70" s="2424"/>
      <c r="F70" s="2425"/>
      <c r="G70" s="2397"/>
      <c r="H70" s="2441" t="str">
        <f t="shared" si="22"/>
        <v>——</v>
      </c>
      <c r="I70" s="2414">
        <v>0.3</v>
      </c>
      <c r="J70" s="2417">
        <f t="shared" si="23"/>
        <v>0</v>
      </c>
      <c r="K70" s="2417">
        <f t="shared" si="24"/>
        <v>0</v>
      </c>
      <c r="L70" s="2417">
        <v>0</v>
      </c>
      <c r="M70" s="2417">
        <f t="shared" si="25"/>
        <v>0</v>
      </c>
      <c r="N70" s="2417">
        <f t="shared" si="25"/>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387">
        <f>估价对象房地状况!C19</f>
        <v>0</v>
      </c>
      <c r="C71" s="1159"/>
      <c r="D71" s="2396">
        <f t="shared" si="21"/>
        <v>0</v>
      </c>
      <c r="E71" s="2424"/>
      <c r="F71" s="2425"/>
      <c r="G71" s="2397"/>
      <c r="H71" s="2441" t="str">
        <f t="shared" si="22"/>
        <v>——</v>
      </c>
      <c r="I71" s="2414">
        <v>0.08</v>
      </c>
      <c r="J71" s="2417">
        <f t="shared" si="23"/>
        <v>0</v>
      </c>
      <c r="K71" s="2417">
        <f t="shared" si="24"/>
        <v>0</v>
      </c>
      <c r="L71" s="2417">
        <v>0</v>
      </c>
      <c r="M71" s="2417">
        <f t="shared" si="25"/>
        <v>0</v>
      </c>
      <c r="N71" s="2417">
        <f t="shared" si="25"/>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387">
        <f>估价对象房地状况!C24</f>
        <v>0</v>
      </c>
      <c r="C72" s="1159"/>
      <c r="D72" s="2396">
        <f t="shared" si="21"/>
        <v>0</v>
      </c>
      <c r="E72" s="2424"/>
      <c r="F72" s="2425"/>
      <c r="G72" s="2397"/>
      <c r="H72" s="2441" t="str">
        <f t="shared" si="22"/>
        <v>——</v>
      </c>
      <c r="I72" s="2414">
        <v>0.04</v>
      </c>
      <c r="J72" s="2417">
        <f t="shared" si="23"/>
        <v>0</v>
      </c>
      <c r="K72" s="2417">
        <f t="shared" si="24"/>
        <v>0</v>
      </c>
      <c r="L72" s="2417">
        <v>0</v>
      </c>
      <c r="M72" s="2417">
        <f t="shared" si="25"/>
        <v>0</v>
      </c>
      <c r="N72" s="2417">
        <f t="shared" si="25"/>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388" t="str">
        <f>估价对象房地状况!C21</f>
        <v>估价对象所在区域公共配套设施齐备情况</v>
      </c>
      <c r="C73" s="1159"/>
      <c r="D73" s="2396">
        <f t="shared" si="21"/>
        <v>0</v>
      </c>
      <c r="E73" s="2424"/>
      <c r="F73" s="2425"/>
      <c r="G73" s="2397"/>
      <c r="H73" s="2441" t="str">
        <f t="shared" si="22"/>
        <v>——</v>
      </c>
      <c r="I73" s="2414">
        <v>0.08</v>
      </c>
      <c r="J73" s="2417">
        <f t="shared" si="23"/>
        <v>0</v>
      </c>
      <c r="K73" s="2417">
        <f t="shared" si="24"/>
        <v>0</v>
      </c>
      <c r="L73" s="2417">
        <v>0</v>
      </c>
      <c r="M73" s="2417">
        <f t="shared" si="25"/>
        <v>0</v>
      </c>
      <c r="N73" s="2417">
        <f t="shared" si="25"/>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388" t="str">
        <f>估价对象房地状况!C22</f>
        <v>估价对象所在区域基础设施水平</v>
      </c>
      <c r="C74" s="1159"/>
      <c r="D74" s="2396">
        <f t="shared" si="21"/>
        <v>0</v>
      </c>
      <c r="E74" s="2424"/>
      <c r="F74" s="2425"/>
      <c r="G74" s="2397"/>
      <c r="H74" s="2441" t="str">
        <f t="shared" si="22"/>
        <v>——</v>
      </c>
      <c r="I74" s="2414">
        <v>0.12</v>
      </c>
      <c r="J74" s="2417">
        <f t="shared" si="23"/>
        <v>0</v>
      </c>
      <c r="K74" s="2417">
        <f t="shared" si="24"/>
        <v>0</v>
      </c>
      <c r="L74" s="2417">
        <v>0</v>
      </c>
      <c r="M74" s="2417">
        <f t="shared" si="25"/>
        <v>0</v>
      </c>
      <c r="N74" s="2417">
        <f t="shared" si="25"/>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72" t="s">
        <v>2938</v>
      </c>
      <c r="C75" s="1159"/>
      <c r="D75" s="2396">
        <f t="shared" si="21"/>
        <v>0</v>
      </c>
      <c r="E75" s="2424"/>
      <c r="F75" s="2425"/>
      <c r="G75" s="2397"/>
      <c r="H75" s="2441" t="str">
        <f t="shared" si="22"/>
        <v>——</v>
      </c>
      <c r="I75" s="2414">
        <v>0.05</v>
      </c>
      <c r="J75" s="2417">
        <f t="shared" si="23"/>
        <v>0</v>
      </c>
      <c r="K75" s="2417">
        <f t="shared" si="24"/>
        <v>0</v>
      </c>
      <c r="L75" s="2417">
        <v>0</v>
      </c>
      <c r="M75" s="2417">
        <f t="shared" si="25"/>
        <v>0</v>
      </c>
      <c r="N75" s="2417">
        <f t="shared" si="25"/>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390" t="str">
        <f>估价对象房地状况!C20</f>
        <v>区域自然环境：；人文环境；综合评价环境状况一般</v>
      </c>
      <c r="C76" s="1159"/>
      <c r="D76" s="2396">
        <f t="shared" si="21"/>
        <v>0</v>
      </c>
      <c r="E76" s="2424"/>
      <c r="F76" s="2425"/>
      <c r="G76" s="2397"/>
      <c r="H76" s="2441" t="str">
        <f t="shared" si="22"/>
        <v>——</v>
      </c>
      <c r="I76" s="2414">
        <v>0.15</v>
      </c>
      <c r="J76" s="2417">
        <f t="shared" si="23"/>
        <v>0</v>
      </c>
      <c r="K76" s="2417">
        <f t="shared" si="24"/>
        <v>0</v>
      </c>
      <c r="L76" s="2417">
        <v>0</v>
      </c>
      <c r="M76" s="2417">
        <f t="shared" si="25"/>
        <v>0</v>
      </c>
      <c r="N76" s="2417">
        <f t="shared" si="25"/>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9"/>
      <c r="D77" s="2396">
        <f t="shared" si="21"/>
        <v>0</v>
      </c>
      <c r="E77" s="2426"/>
      <c r="F77" s="2425"/>
      <c r="G77" s="2397"/>
      <c r="H77" s="2441" t="str">
        <f t="shared" si="22"/>
        <v>——</v>
      </c>
      <c r="I77" s="2421">
        <v>0.04</v>
      </c>
      <c r="J77" s="2417">
        <f t="shared" si="23"/>
        <v>0</v>
      </c>
      <c r="K77" s="2417">
        <f t="shared" si="24"/>
        <v>0</v>
      </c>
      <c r="L77" s="2417">
        <v>0</v>
      </c>
      <c r="M77" s="2417">
        <f t="shared" si="25"/>
        <v>0</v>
      </c>
      <c r="N77" s="2417">
        <f t="shared" si="25"/>
        <v>0</v>
      </c>
      <c r="AC77" s="1405"/>
      <c r="AD77" s="1404"/>
      <c r="AJ77" s="1403"/>
      <c r="AN77" s="1404"/>
    </row>
    <row r="78" spans="1:40" ht="15">
      <c r="A78" s="2403" t="s">
        <v>986</v>
      </c>
      <c r="B78" s="2404">
        <f>1+E80</f>
        <v>1</v>
      </c>
      <c r="C78" s="2423"/>
      <c r="D78" s="2406"/>
      <c r="E78" s="2407"/>
      <c r="F78" s="2408"/>
      <c r="G78" s="2402"/>
      <c r="H78" s="2402"/>
      <c r="I78" s="2402"/>
      <c r="J78" s="1066"/>
      <c r="K78" s="1066"/>
      <c r="L78" s="1066"/>
      <c r="M78" s="1066"/>
      <c r="N78" s="1066"/>
      <c r="AC78" s="1405"/>
      <c r="AD78" s="1404"/>
      <c r="AJ78" s="1403"/>
      <c r="AN78" s="1404"/>
    </row>
    <row r="79" spans="1:40" ht="24">
      <c r="A79" s="1067" t="s">
        <v>1009</v>
      </c>
      <c r="B79" s="2387"/>
      <c r="C79" s="2409" t="s">
        <v>1011</v>
      </c>
      <c r="D79" s="2410" t="s">
        <v>1012</v>
      </c>
      <c r="E79" s="2411" t="s">
        <v>1014</v>
      </c>
      <c r="F79" s="2412" t="s">
        <v>2251</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7" t="s">
        <v>1038</v>
      </c>
      <c r="B80" s="2387" t="str">
        <f>估价对象房地状况!G15</f>
        <v>估价对象位于XX开发区，园区建设成熟度XX，产业集聚程度XX</v>
      </c>
      <c r="C80" s="1050"/>
      <c r="D80" s="2396">
        <f t="shared" ref="D80:D87" si="26">SUMIF($J$79:$N$79,C80,J80:N80)</f>
        <v>0</v>
      </c>
      <c r="E80" s="2415">
        <f>ROUND(SUM(D80:D87),4)</f>
        <v>0</v>
      </c>
      <c r="F80" s="2416" t="str">
        <f>IF(E2="工业",SUMIF(L1:L12,G2,N1:N12),"——")</f>
        <v>——</v>
      </c>
      <c r="G80" s="2394"/>
      <c r="H80" s="2440" t="str">
        <f t="shared" ref="H80:H87" si="27">IFERROR(ROUNDDOWN($F$80*I80/2,4),"——")</f>
        <v>——</v>
      </c>
      <c r="I80" s="2414">
        <v>0.26</v>
      </c>
      <c r="J80" s="2417">
        <f t="shared" ref="J80:J87" si="28">K80+$G80</f>
        <v>0</v>
      </c>
      <c r="K80" s="2417">
        <f t="shared" ref="K80:K87" si="29">$L80+$G80</f>
        <v>0</v>
      </c>
      <c r="L80" s="2417">
        <v>0</v>
      </c>
      <c r="M80" s="2417">
        <f t="shared" ref="M80:N87" si="30">L80-$G80</f>
        <v>0</v>
      </c>
      <c r="N80" s="2417">
        <f t="shared" si="30"/>
        <v>0</v>
      </c>
      <c r="AC80" s="1405"/>
      <c r="AD80" s="1404"/>
      <c r="AJ80" s="1403"/>
      <c r="AN80" s="1404"/>
    </row>
    <row r="81" spans="1:40" ht="48">
      <c r="A81" s="1067" t="s">
        <v>1022</v>
      </c>
      <c r="B81" s="2387" t="str">
        <f>估价对象房地状况!G16</f>
        <v>估价对象周边道路状况、公共交通通达情况、停车便捷程度，综合评价交通便捷度较好</v>
      </c>
      <c r="C81" s="1050"/>
      <c r="D81" s="2396">
        <f t="shared" si="26"/>
        <v>0</v>
      </c>
      <c r="E81" s="2424"/>
      <c r="F81" s="2425"/>
      <c r="G81" s="2394"/>
      <c r="H81" s="2440" t="str">
        <f t="shared" si="27"/>
        <v>——</v>
      </c>
      <c r="I81" s="2414">
        <v>0.33</v>
      </c>
      <c r="J81" s="2417">
        <f t="shared" si="28"/>
        <v>0</v>
      </c>
      <c r="K81" s="2417">
        <f t="shared" si="29"/>
        <v>0</v>
      </c>
      <c r="L81" s="2417">
        <v>0</v>
      </c>
      <c r="M81" s="2417">
        <f t="shared" si="30"/>
        <v>0</v>
      </c>
      <c r="N81" s="2417">
        <f t="shared" si="30"/>
        <v>0</v>
      </c>
      <c r="AC81" s="1405"/>
      <c r="AD81" s="1404"/>
      <c r="AJ81" s="1403"/>
      <c r="AN81" s="1404"/>
    </row>
    <row r="82" spans="1:40" ht="24">
      <c r="A82" s="1067" t="s">
        <v>1023</v>
      </c>
      <c r="B82" s="2387">
        <f>估价对象房地状况!G17</f>
        <v>0</v>
      </c>
      <c r="C82" s="1050"/>
      <c r="D82" s="2396">
        <f t="shared" si="26"/>
        <v>0</v>
      </c>
      <c r="E82" s="2424"/>
      <c r="F82" s="2425"/>
      <c r="G82" s="2394"/>
      <c r="H82" s="2440" t="str">
        <f t="shared" si="27"/>
        <v>——</v>
      </c>
      <c r="I82" s="2414">
        <v>0.05</v>
      </c>
      <c r="J82" s="2417">
        <f t="shared" si="28"/>
        <v>0</v>
      </c>
      <c r="K82" s="2417">
        <f t="shared" si="29"/>
        <v>0</v>
      </c>
      <c r="L82" s="2417">
        <v>0</v>
      </c>
      <c r="M82" s="2417">
        <f t="shared" si="30"/>
        <v>0</v>
      </c>
      <c r="N82" s="2417">
        <f t="shared" si="30"/>
        <v>0</v>
      </c>
      <c r="AC82" s="1405"/>
      <c r="AD82" s="1404"/>
      <c r="AJ82" s="1403"/>
      <c r="AN82" s="1404"/>
    </row>
    <row r="83" spans="1:40" ht="14.25">
      <c r="A83" s="1067" t="s">
        <v>1035</v>
      </c>
      <c r="B83" s="2387">
        <f>估价对象房地状况!G22</f>
        <v>0</v>
      </c>
      <c r="C83" s="1050"/>
      <c r="D83" s="2396">
        <f t="shared" si="26"/>
        <v>0</v>
      </c>
      <c r="E83" s="2424"/>
      <c r="F83" s="2425"/>
      <c r="G83" s="2394"/>
      <c r="H83" s="2440" t="str">
        <f t="shared" si="27"/>
        <v>——</v>
      </c>
      <c r="I83" s="2414">
        <v>0.04</v>
      </c>
      <c r="J83" s="2417">
        <f t="shared" si="28"/>
        <v>0</v>
      </c>
      <c r="K83" s="2417">
        <f t="shared" si="29"/>
        <v>0</v>
      </c>
      <c r="L83" s="2417">
        <v>0</v>
      </c>
      <c r="M83" s="2417">
        <f t="shared" si="30"/>
        <v>0</v>
      </c>
      <c r="N83" s="2417">
        <f t="shared" si="30"/>
        <v>0</v>
      </c>
      <c r="AC83" s="1405"/>
      <c r="AD83" s="1404"/>
      <c r="AJ83" s="1403"/>
      <c r="AN83" s="1404"/>
    </row>
    <row r="84" spans="1:40" ht="24">
      <c r="A84" s="1067" t="s">
        <v>1027</v>
      </c>
      <c r="B84" s="2388" t="str">
        <f>估价对象房地状况!G19</f>
        <v>估价对象所在区域公共配套设施齐备情况</v>
      </c>
      <c r="C84" s="1050"/>
      <c r="D84" s="2396">
        <f t="shared" si="26"/>
        <v>0</v>
      </c>
      <c r="E84" s="2424"/>
      <c r="F84" s="2425"/>
      <c r="G84" s="2394"/>
      <c r="H84" s="2440" t="str">
        <f t="shared" si="27"/>
        <v>——</v>
      </c>
      <c r="I84" s="2414">
        <v>0.06</v>
      </c>
      <c r="J84" s="2417">
        <f t="shared" si="28"/>
        <v>0</v>
      </c>
      <c r="K84" s="2417">
        <f t="shared" si="29"/>
        <v>0</v>
      </c>
      <c r="L84" s="2417">
        <v>0</v>
      </c>
      <c r="M84" s="2417">
        <f t="shared" si="30"/>
        <v>0</v>
      </c>
      <c r="N84" s="2417">
        <f t="shared" si="30"/>
        <v>0</v>
      </c>
      <c r="AC84" s="1405"/>
      <c r="AD84" s="1404"/>
      <c r="AJ84" s="1403"/>
      <c r="AN84" s="1404"/>
    </row>
    <row r="85" spans="1:40" ht="24">
      <c r="A85" s="1067" t="s">
        <v>1028</v>
      </c>
      <c r="B85" s="2388" t="str">
        <f>估价对象房地状况!G20</f>
        <v>估价对象所在区域基础设施水平</v>
      </c>
      <c r="C85" s="1050"/>
      <c r="D85" s="2396">
        <f t="shared" si="26"/>
        <v>0</v>
      </c>
      <c r="E85" s="2424"/>
      <c r="F85" s="2425"/>
      <c r="G85" s="2394"/>
      <c r="H85" s="2440" t="str">
        <f t="shared" si="27"/>
        <v>——</v>
      </c>
      <c r="I85" s="2414">
        <v>0.15</v>
      </c>
      <c r="J85" s="2417">
        <f t="shared" si="28"/>
        <v>0</v>
      </c>
      <c r="K85" s="2417">
        <f t="shared" si="29"/>
        <v>0</v>
      </c>
      <c r="L85" s="2417">
        <v>0</v>
      </c>
      <c r="M85" s="2417">
        <f t="shared" si="30"/>
        <v>0</v>
      </c>
      <c r="N85" s="2417">
        <f t="shared" si="30"/>
        <v>0</v>
      </c>
      <c r="AC85" s="1405"/>
      <c r="AD85" s="1404"/>
      <c r="AJ85" s="1403"/>
      <c r="AN85" s="1404"/>
    </row>
    <row r="86" spans="1:40" ht="24">
      <c r="A86" s="1067" t="s">
        <v>1026</v>
      </c>
      <c r="B86" s="3072" t="s">
        <v>2938</v>
      </c>
      <c r="C86" s="1050"/>
      <c r="D86" s="2396">
        <f t="shared" si="26"/>
        <v>0</v>
      </c>
      <c r="E86" s="2424"/>
      <c r="F86" s="2425"/>
      <c r="G86" s="2394"/>
      <c r="H86" s="2440" t="str">
        <f t="shared" si="27"/>
        <v>——</v>
      </c>
      <c r="I86" s="2414">
        <v>0.05</v>
      </c>
      <c r="J86" s="2417">
        <f t="shared" si="28"/>
        <v>0</v>
      </c>
      <c r="K86" s="2417">
        <f t="shared" si="29"/>
        <v>0</v>
      </c>
      <c r="L86" s="2417">
        <v>0</v>
      </c>
      <c r="M86" s="2417">
        <f t="shared" si="30"/>
        <v>0</v>
      </c>
      <c r="N86" s="2417">
        <f t="shared" si="30"/>
        <v>0</v>
      </c>
      <c r="AC86" s="1405"/>
      <c r="AD86" s="1404"/>
      <c r="AJ86" s="1403"/>
      <c r="AN86" s="1404"/>
    </row>
    <row r="87" spans="1:40" ht="36.75" thickBot="1">
      <c r="A87" s="2420" t="s">
        <v>1039</v>
      </c>
      <c r="B87" s="2389" t="str">
        <f>估价对象房地状况!G18</f>
        <v>该园区内是否有污染型企业，绿化情况，卫生条件，整体环境状况判断</v>
      </c>
      <c r="C87" s="1050"/>
      <c r="D87" s="2396">
        <f t="shared" si="26"/>
        <v>0</v>
      </c>
      <c r="E87" s="2426"/>
      <c r="F87" s="2425"/>
      <c r="G87" s="2394"/>
      <c r="H87" s="2440" t="str">
        <f t="shared" si="27"/>
        <v>——</v>
      </c>
      <c r="I87" s="2421">
        <v>0.06</v>
      </c>
      <c r="J87" s="2417">
        <f t="shared" si="28"/>
        <v>0</v>
      </c>
      <c r="K87" s="2417">
        <f t="shared" si="29"/>
        <v>0</v>
      </c>
      <c r="L87" s="2417">
        <v>0</v>
      </c>
      <c r="M87" s="2417">
        <f t="shared" si="30"/>
        <v>0</v>
      </c>
      <c r="N87" s="2417">
        <f t="shared" si="30"/>
        <v>0</v>
      </c>
      <c r="AC87" s="1405"/>
      <c r="AD87" s="1404"/>
      <c r="AJ87" s="1403"/>
      <c r="AN87" s="1404"/>
    </row>
    <row r="90" spans="1:40">
      <c r="A90" s="3939" t="s">
        <v>1634</v>
      </c>
      <c r="B90" s="3939"/>
      <c r="C90" s="3939"/>
      <c r="D90" s="3939"/>
      <c r="E90" s="3939"/>
      <c r="F90" s="3939"/>
      <c r="G90" s="3939"/>
      <c r="H90" s="3939"/>
      <c r="I90" s="3939"/>
      <c r="J90" s="3939"/>
      <c r="K90" s="3184"/>
      <c r="L90" s="3184"/>
      <c r="M90" s="3184"/>
      <c r="N90" s="3184"/>
    </row>
    <row r="91" spans="1:40">
      <c r="A91" s="3940" t="s">
        <v>898</v>
      </c>
      <c r="B91" s="3940" t="s">
        <v>1635</v>
      </c>
      <c r="C91" s="1140" t="s">
        <v>1636</v>
      </c>
      <c r="D91" s="1141"/>
      <c r="E91" s="1141"/>
      <c r="F91" s="1141"/>
      <c r="G91" s="1141"/>
      <c r="H91" s="1141"/>
      <c r="I91" s="1141"/>
      <c r="J91" s="1142"/>
      <c r="K91" s="1134"/>
      <c r="L91" s="1134"/>
      <c r="M91" s="1134"/>
      <c r="N91" s="1134"/>
    </row>
    <row r="92" spans="1:40">
      <c r="A92" s="3940"/>
      <c r="B92" s="3940"/>
      <c r="C92" s="3185" t="s">
        <v>884</v>
      </c>
      <c r="D92" s="3185" t="s">
        <v>885</v>
      </c>
      <c r="E92" s="3185" t="s">
        <v>886</v>
      </c>
      <c r="F92" s="3185" t="s">
        <v>887</v>
      </c>
      <c r="G92" s="3185" t="s">
        <v>888</v>
      </c>
      <c r="H92" s="3185" t="s">
        <v>889</v>
      </c>
      <c r="I92" s="3185" t="s">
        <v>890</v>
      </c>
      <c r="J92" s="3185" t="s">
        <v>891</v>
      </c>
      <c r="K92" s="3185" t="s">
        <v>892</v>
      </c>
      <c r="L92" s="3185" t="s">
        <v>893</v>
      </c>
      <c r="M92" s="3185" t="s">
        <v>894</v>
      </c>
      <c r="N92" s="3185" t="s">
        <v>895</v>
      </c>
    </row>
    <row r="93" spans="1:40">
      <c r="A93" s="3929"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30"/>
      <c r="B99" s="1143" t="s">
        <v>1637</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9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29" t="s">
        <v>1638</v>
      </c>
      <c r="B101" s="1147" t="s">
        <v>883</v>
      </c>
      <c r="C101" s="1148">
        <f>$G$3</f>
        <v>6.8</v>
      </c>
      <c r="D101" s="1148">
        <f t="shared" ref="D101:N101" si="32">$G$3</f>
        <v>6.8</v>
      </c>
      <c r="E101" s="1148">
        <f t="shared" si="32"/>
        <v>6.8</v>
      </c>
      <c r="F101" s="1148">
        <f t="shared" si="32"/>
        <v>6.8</v>
      </c>
      <c r="G101" s="1148">
        <f t="shared" si="32"/>
        <v>6.8</v>
      </c>
      <c r="H101" s="1148">
        <f t="shared" si="32"/>
        <v>6.8</v>
      </c>
      <c r="I101" s="1148">
        <f t="shared" si="32"/>
        <v>6.8</v>
      </c>
      <c r="J101" s="1148">
        <f t="shared" si="32"/>
        <v>6.8</v>
      </c>
      <c r="K101" s="1148">
        <f t="shared" si="32"/>
        <v>6.8</v>
      </c>
      <c r="L101" s="1148">
        <f t="shared" si="32"/>
        <v>6.8</v>
      </c>
      <c r="M101" s="1148">
        <f t="shared" si="32"/>
        <v>6.8</v>
      </c>
      <c r="N101" s="1148">
        <f t="shared" si="32"/>
        <v>6.8</v>
      </c>
    </row>
    <row r="102" spans="1:14">
      <c r="A102" s="3930"/>
      <c r="B102" s="1143">
        <v>1</v>
      </c>
      <c r="C102" s="1144">
        <f>1.9362/C101</f>
        <v>0.28473529411764703</v>
      </c>
      <c r="D102" s="1144">
        <f>1.9362/D101</f>
        <v>0.28473529411764703</v>
      </c>
      <c r="E102" s="1144">
        <f>1.8629/E101</f>
        <v>0.27395588235294116</v>
      </c>
      <c r="F102" s="1144">
        <f>1.8629/F101</f>
        <v>0.27395588235294116</v>
      </c>
      <c r="G102" s="1144">
        <f>1.8629/G101</f>
        <v>0.27395588235294116</v>
      </c>
      <c r="H102" s="1144">
        <f>1.8629/H101</f>
        <v>0.27395588235294116</v>
      </c>
      <c r="I102" s="1144">
        <f>1.8629/I101</f>
        <v>0.27395588235294116</v>
      </c>
      <c r="J102" s="1144">
        <f>1.942/J101</f>
        <v>0.28558823529411764</v>
      </c>
      <c r="K102" s="1144">
        <f>1.942/K101</f>
        <v>0.28558823529411764</v>
      </c>
      <c r="L102" s="1144">
        <f>1.942/L101</f>
        <v>0.28558823529411764</v>
      </c>
      <c r="M102" s="1144">
        <f>1.942/M101</f>
        <v>0.28558823529411764</v>
      </c>
      <c r="N102" s="1144">
        <f>1.942/N101</f>
        <v>0.28558823529411764</v>
      </c>
    </row>
    <row r="103" spans="1:14">
      <c r="A103" s="3930"/>
      <c r="B103" s="1143">
        <v>2</v>
      </c>
      <c r="C103" s="1144">
        <f>1.4198/C101</f>
        <v>0.20879411764705882</v>
      </c>
      <c r="D103" s="1144">
        <f>1.4198/D101</f>
        <v>0.20879411764705882</v>
      </c>
      <c r="E103" s="1144">
        <f>1.3372/E101</f>
        <v>0.1966470588235294</v>
      </c>
      <c r="F103" s="1144">
        <f>1.3372/F101</f>
        <v>0.1966470588235294</v>
      </c>
      <c r="G103" s="1144">
        <f>1.3372/G101</f>
        <v>0.1966470588235294</v>
      </c>
      <c r="H103" s="1144">
        <f>1.3372/H101</f>
        <v>0.1966470588235294</v>
      </c>
      <c r="I103" s="1144">
        <f>1.3372/I101</f>
        <v>0.1966470588235294</v>
      </c>
      <c r="J103" s="1144">
        <f>1.2799/J101</f>
        <v>0.18822058823529414</v>
      </c>
      <c r="K103" s="1144">
        <f>1.2799/K101</f>
        <v>0.18822058823529414</v>
      </c>
      <c r="L103" s="1144">
        <f>1.2799/L101</f>
        <v>0.18822058823529414</v>
      </c>
      <c r="M103" s="1144">
        <f>1.2799/M101</f>
        <v>0.18822058823529414</v>
      </c>
      <c r="N103" s="1144">
        <f>1.2799/N101</f>
        <v>0.18822058823529414</v>
      </c>
    </row>
    <row r="104" spans="1:14">
      <c r="A104" s="3930"/>
      <c r="B104" s="1143">
        <v>3</v>
      </c>
      <c r="C104" s="1144">
        <f>1.1594/C101</f>
        <v>0.17050000000000001</v>
      </c>
      <c r="D104" s="1144">
        <f>1.1594/D101</f>
        <v>0.17050000000000001</v>
      </c>
      <c r="E104" s="1144">
        <f>1.0788/E101</f>
        <v>0.15864705882352942</v>
      </c>
      <c r="F104" s="1144">
        <f>1.0788/F101</f>
        <v>0.15864705882352942</v>
      </c>
      <c r="G104" s="1144">
        <f>1.0788/G101</f>
        <v>0.15864705882352942</v>
      </c>
      <c r="H104" s="1144">
        <f>1.0788/H101</f>
        <v>0.15864705882352942</v>
      </c>
      <c r="I104" s="1144">
        <f>1.0788/I101</f>
        <v>0.15864705882352942</v>
      </c>
      <c r="J104" s="1144">
        <f>1.0072/J101</f>
        <v>0.14811764705882355</v>
      </c>
      <c r="K104" s="1144">
        <f>1.0072/K101</f>
        <v>0.14811764705882355</v>
      </c>
      <c r="L104" s="1144">
        <f>1.0072/L101</f>
        <v>0.14811764705882355</v>
      </c>
      <c r="M104" s="1144">
        <f>1.0072/M101</f>
        <v>0.14811764705882355</v>
      </c>
      <c r="N104" s="1144">
        <f>1.0072/N101</f>
        <v>0.14811764705882355</v>
      </c>
    </row>
    <row r="105" spans="1:14">
      <c r="A105" s="3930"/>
      <c r="B105" s="1143">
        <v>4</v>
      </c>
      <c r="C105" s="1144">
        <f>0.9622/C101</f>
        <v>0.14150000000000001</v>
      </c>
      <c r="D105" s="1144">
        <f>0.9622/D101</f>
        <v>0.14150000000000001</v>
      </c>
      <c r="E105" s="1144">
        <f>0.8656/E101</f>
        <v>0.12729411764705884</v>
      </c>
      <c r="F105" s="1144">
        <f>0.8656/F101</f>
        <v>0.12729411764705884</v>
      </c>
      <c r="G105" s="1144">
        <f>0.8656/G101</f>
        <v>0.12729411764705884</v>
      </c>
      <c r="H105" s="1144">
        <f>0.8656/H101</f>
        <v>0.12729411764705884</v>
      </c>
      <c r="I105" s="1144">
        <f>0.8656/I101</f>
        <v>0.12729411764705884</v>
      </c>
      <c r="J105" s="1144">
        <f>0.7525/J101</f>
        <v>0.11066176470588235</v>
      </c>
      <c r="K105" s="1144">
        <f>0.7525/K101</f>
        <v>0.11066176470588235</v>
      </c>
      <c r="L105" s="1144">
        <f>0.7525/L101</f>
        <v>0.11066176470588235</v>
      </c>
      <c r="M105" s="1144">
        <f>0.7525/M101</f>
        <v>0.11066176470588235</v>
      </c>
      <c r="N105" s="1144">
        <f>0.7525/N101</f>
        <v>0.11066176470588235</v>
      </c>
    </row>
    <row r="106" spans="1:14">
      <c r="A106" s="3930"/>
      <c r="B106" s="1143">
        <v>5</v>
      </c>
      <c r="C106" s="1144">
        <f>0.8417/C101</f>
        <v>0.12377941176470589</v>
      </c>
      <c r="D106" s="1144">
        <f>0.8417/D101</f>
        <v>0.12377941176470589</v>
      </c>
      <c r="E106" s="1144">
        <f>0.7371/E101</f>
        <v>0.10839705882352942</v>
      </c>
      <c r="F106" s="1144">
        <f>0.7371/F101</f>
        <v>0.10839705882352942</v>
      </c>
      <c r="G106" s="1144">
        <f>0.7371/G101</f>
        <v>0.10839705882352942</v>
      </c>
      <c r="H106" s="1144">
        <f>0.7371/H101</f>
        <v>0.10839705882352942</v>
      </c>
      <c r="I106" s="1144">
        <f>0.7371/I101</f>
        <v>0.10839705882352942</v>
      </c>
      <c r="J106" s="1144">
        <f>0.5659/J101</f>
        <v>8.3220588235294116E-2</v>
      </c>
      <c r="K106" s="1144">
        <f>0.5659/K101</f>
        <v>8.3220588235294116E-2</v>
      </c>
      <c r="L106" s="1144">
        <f>0.5659/L101</f>
        <v>8.3220588235294116E-2</v>
      </c>
      <c r="M106" s="1144">
        <f>0.5659/M101</f>
        <v>8.3220588235294116E-2</v>
      </c>
      <c r="N106" s="1144">
        <f>0.5659/N101</f>
        <v>8.3220588235294116E-2</v>
      </c>
    </row>
    <row r="107" spans="1:14">
      <c r="A107" s="3930"/>
      <c r="B107" s="1143">
        <v>6</v>
      </c>
      <c r="C107" s="1144">
        <f>0.7608/C101</f>
        <v>0.11188235294117647</v>
      </c>
      <c r="D107" s="1144">
        <f>0.7608/D101</f>
        <v>0.11188235294117647</v>
      </c>
      <c r="E107" s="1144">
        <f>0.6482/E101</f>
        <v>9.532352941176471E-2</v>
      </c>
      <c r="F107" s="1144">
        <f>0.6482/F101</f>
        <v>9.532352941176471E-2</v>
      </c>
      <c r="G107" s="1144">
        <f>0.6482/G101</f>
        <v>9.532352941176471E-2</v>
      </c>
      <c r="H107" s="1144">
        <f>0.6482/H101</f>
        <v>9.532352941176471E-2</v>
      </c>
      <c r="I107" s="1144">
        <f>0.6482/I101</f>
        <v>9.532352941176471E-2</v>
      </c>
      <c r="J107" s="1144">
        <f>0.4525/J101</f>
        <v>6.6544117647058823E-2</v>
      </c>
      <c r="K107" s="1144">
        <f>0.4525/K101</f>
        <v>6.6544117647058823E-2</v>
      </c>
      <c r="L107" s="1144">
        <f>0.4525/L101</f>
        <v>6.6544117647058823E-2</v>
      </c>
      <c r="M107" s="1144">
        <f>0.4525/M101</f>
        <v>6.6544117647058823E-2</v>
      </c>
      <c r="N107" s="1144">
        <f>0.4525/N101</f>
        <v>6.6544117647058823E-2</v>
      </c>
    </row>
    <row r="108" spans="1:14">
      <c r="A108" s="3930"/>
      <c r="B108" s="3932" t="s">
        <v>1639</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931"/>
      <c r="B109" s="3933"/>
      <c r="C109" s="1146">
        <f>(-0.163*(C108^2)-0.59*C108+7617)*(10^(-4))/C101</f>
        <v>0.11179188235294119</v>
      </c>
      <c r="D109" s="1146">
        <f>(-0.163*(D108^2)-0.59*D108+7617)*(10^(-4))/D101</f>
        <v>0.11179188235294119</v>
      </c>
      <c r="E109" s="1146">
        <f>(-0.161*(E108^2)-7.509*E108+6533)*(10^(-4))/E101</f>
        <v>9.5038588235294125E-2</v>
      </c>
      <c r="F109" s="1146">
        <f>(-0.161*(F108^2)-7.509*F108+6533)*(10^(-4))/F101</f>
        <v>9.5038588235294125E-2</v>
      </c>
      <c r="G109" s="1146">
        <f>(-0.161*(G108^2)-7.509*G108+6533)*(10^(-4))/G101</f>
        <v>9.5038588235294125E-2</v>
      </c>
      <c r="H109" s="1146">
        <f>(-0.161*(H108^2)-7.509*H108+6533)*(10^(-4))/H101</f>
        <v>9.5038588235294125E-2</v>
      </c>
      <c r="I109" s="1146">
        <f>(-0.161*(I108^2)-7.509*I108+6533)*(10^(-4))/I101</f>
        <v>9.5038588235294125E-2</v>
      </c>
      <c r="J109" s="1146">
        <f>(-0.214*(J108^2)-21.991*J108+4665)*(10^(-4))/J101</f>
        <v>6.5814352941176477E-2</v>
      </c>
      <c r="K109" s="1146">
        <f>(-0.214*(K108^2)-21.991*K108+4665)*(10^(-4))/K101</f>
        <v>6.5814352941176477E-2</v>
      </c>
      <c r="L109" s="1146">
        <f>(-0.214*(L108^2)-21.991*L108+4665)*(10^(-4))/L101</f>
        <v>6.5814352941176477E-2</v>
      </c>
      <c r="M109" s="1146">
        <f>(-0.214*(M108^2)-21.991*M108+4665)*(10^(-4))/M101</f>
        <v>6.5814352941176477E-2</v>
      </c>
      <c r="N109" s="1146">
        <f>(-0.214*(N108^2)-21.991*N108+4665)*(10^(-4))/N101</f>
        <v>6.5814352941176477E-2</v>
      </c>
    </row>
    <row r="110" spans="1:14">
      <c r="A110" s="3934" t="s">
        <v>1640</v>
      </c>
      <c r="B110" s="3934"/>
      <c r="C110" s="3934"/>
      <c r="D110" s="3934"/>
      <c r="E110" s="3934"/>
      <c r="F110" s="3934"/>
      <c r="G110" s="3934"/>
      <c r="H110" s="3934"/>
      <c r="I110" s="3934"/>
      <c r="J110" s="3934"/>
      <c r="K110" s="3183"/>
      <c r="L110" s="3183"/>
      <c r="M110" s="3183"/>
      <c r="N110" s="3183"/>
    </row>
    <row r="112" spans="1:14" ht="12.75" thickBot="1"/>
    <row r="113" spans="1:13" ht="25.5" thickBot="1">
      <c r="A113" s="1016" t="s">
        <v>896</v>
      </c>
      <c r="B113" s="2430">
        <f>G3</f>
        <v>6.8</v>
      </c>
      <c r="C113" s="1017" t="s">
        <v>897</v>
      </c>
      <c r="D113" s="1018">
        <f>SUMPRODUCT((A115:A118=F113)*(B114:M114=H113)*B115:M118)</f>
        <v>0.86739999999999995</v>
      </c>
      <c r="E113" s="1019" t="s">
        <v>898</v>
      </c>
      <c r="F113" s="1020" t="str">
        <f>E2</f>
        <v>办公</v>
      </c>
      <c r="G113" s="1019" t="s">
        <v>899</v>
      </c>
      <c r="H113" s="1020" t="str">
        <f>G2</f>
        <v>一级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0.86960000000000004</v>
      </c>
      <c r="C115" s="1030">
        <f>B115</f>
        <v>0.86960000000000004</v>
      </c>
      <c r="D115" s="1030">
        <f>ROUND(0.8331-0.0109*B113,4)</f>
        <v>0.75900000000000001</v>
      </c>
      <c r="E115" s="1030">
        <f>D115</f>
        <v>0.75900000000000001</v>
      </c>
      <c r="F115" s="1030">
        <f>E115</f>
        <v>0.75900000000000001</v>
      </c>
      <c r="G115" s="1030">
        <f>F115</f>
        <v>0.75900000000000001</v>
      </c>
      <c r="H115" s="1030">
        <f>G115</f>
        <v>0.75900000000000001</v>
      </c>
      <c r="I115" s="1030">
        <f>ROUND(0.689-0.0155*B113,4)</f>
        <v>0.58360000000000001</v>
      </c>
      <c r="J115" s="1030">
        <f t="shared" ref="J115:M118" si="34">I115</f>
        <v>0.58360000000000001</v>
      </c>
      <c r="K115" s="1030">
        <f t="shared" si="34"/>
        <v>0.58360000000000001</v>
      </c>
      <c r="L115" s="1030">
        <f t="shared" si="34"/>
        <v>0.58360000000000001</v>
      </c>
      <c r="M115" s="1031">
        <f t="shared" si="34"/>
        <v>0.58360000000000001</v>
      </c>
    </row>
    <row r="116" spans="1:13" ht="12.75">
      <c r="A116" s="1029" t="s">
        <v>901</v>
      </c>
      <c r="B116" s="1030">
        <f>ROUND(0.949-0.012*B113,4)</f>
        <v>0.86739999999999995</v>
      </c>
      <c r="C116" s="1030">
        <f>B116</f>
        <v>0.86739999999999995</v>
      </c>
      <c r="D116" s="1030">
        <f>ROUND(0.8567-0.013*B113,4)</f>
        <v>0.76829999999999998</v>
      </c>
      <c r="E116" s="1030">
        <f t="shared" ref="E116:H117" si="35">D116</f>
        <v>0.76829999999999998</v>
      </c>
      <c r="F116" s="1030">
        <f t="shared" si="35"/>
        <v>0.76829999999999998</v>
      </c>
      <c r="G116" s="1030">
        <f t="shared" si="35"/>
        <v>0.76829999999999998</v>
      </c>
      <c r="H116" s="1030">
        <f t="shared" si="35"/>
        <v>0.76829999999999998</v>
      </c>
      <c r="I116" s="1030">
        <f>ROUND(0.7694-0.014*B113,4)</f>
        <v>0.67420000000000002</v>
      </c>
      <c r="J116" s="1030">
        <f t="shared" si="34"/>
        <v>0.67420000000000002</v>
      </c>
      <c r="K116" s="1030">
        <f t="shared" si="34"/>
        <v>0.67420000000000002</v>
      </c>
      <c r="L116" s="1030">
        <f t="shared" si="34"/>
        <v>0.67420000000000002</v>
      </c>
      <c r="M116" s="1031">
        <f t="shared" si="34"/>
        <v>0.67420000000000002</v>
      </c>
    </row>
    <row r="117" spans="1:13" ht="12.75">
      <c r="A117" s="1032" t="s">
        <v>902</v>
      </c>
      <c r="B117" s="1030">
        <f>ROUND(0.8808-0.006*B113,4)</f>
        <v>0.84</v>
      </c>
      <c r="C117" s="1030">
        <f>B117</f>
        <v>0.84</v>
      </c>
      <c r="D117" s="1030">
        <f>ROUND(0.8748-0.008*B113,4)</f>
        <v>0.82040000000000002</v>
      </c>
      <c r="E117" s="1030">
        <f t="shared" si="35"/>
        <v>0.82040000000000002</v>
      </c>
      <c r="F117" s="1030">
        <f t="shared" si="35"/>
        <v>0.82040000000000002</v>
      </c>
      <c r="G117" s="1030">
        <f t="shared" si="35"/>
        <v>0.82040000000000002</v>
      </c>
      <c r="H117" s="1030">
        <f t="shared" si="35"/>
        <v>0.82040000000000002</v>
      </c>
      <c r="I117" s="1030">
        <f>ROUND(0.7412-0.0095*B113,4)</f>
        <v>0.67659999999999998</v>
      </c>
      <c r="J117" s="1030">
        <f t="shared" si="34"/>
        <v>0.67659999999999998</v>
      </c>
      <c r="K117" s="1030">
        <f t="shared" si="34"/>
        <v>0.67659999999999998</v>
      </c>
      <c r="L117" s="1030">
        <f t="shared" si="34"/>
        <v>0.67659999999999998</v>
      </c>
      <c r="M117" s="1031">
        <f t="shared" si="34"/>
        <v>0.67659999999999998</v>
      </c>
    </row>
    <row r="118" spans="1:13" ht="13.5" thickBot="1">
      <c r="A118" s="1033" t="s">
        <v>903</v>
      </c>
      <c r="B118" s="1034">
        <f>ROUND(0.7275-0.01*B113,4)</f>
        <v>0.65949999999999998</v>
      </c>
      <c r="C118" s="1034">
        <f>B118</f>
        <v>0.65949999999999998</v>
      </c>
      <c r="D118" s="1034">
        <f>ROUND(0.7043-0.012*B113,4)</f>
        <v>0.62270000000000003</v>
      </c>
      <c r="E118" s="1034">
        <f>D118</f>
        <v>0.62270000000000003</v>
      </c>
      <c r="F118" s="1034">
        <f>E118</f>
        <v>0.62270000000000003</v>
      </c>
      <c r="G118" s="1034">
        <f>ROUND(0.6299-0.0122*B113,4)</f>
        <v>0.54690000000000005</v>
      </c>
      <c r="H118" s="1034">
        <f>G118</f>
        <v>0.54690000000000005</v>
      </c>
      <c r="I118" s="1034">
        <f>ROUND(0.5667-0.0136*B113,4)</f>
        <v>0.47420000000000001</v>
      </c>
      <c r="J118" s="1034">
        <f t="shared" si="34"/>
        <v>0.47420000000000001</v>
      </c>
      <c r="K118" s="1034">
        <f t="shared" si="34"/>
        <v>0.47420000000000001</v>
      </c>
      <c r="L118" s="1034">
        <f t="shared" si="34"/>
        <v>0.47420000000000001</v>
      </c>
      <c r="M118" s="1035">
        <f t="shared" si="34"/>
        <v>0.47420000000000001</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8"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10</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18775</v>
      </c>
      <c r="D13" s="451"/>
      <c r="E13" s="365"/>
      <c r="F13" s="452"/>
      <c r="G13" s="444"/>
      <c r="H13" s="447"/>
      <c r="I13" s="447"/>
      <c r="J13" s="447"/>
      <c r="K13" s="448"/>
    </row>
    <row r="14" spans="1:41" s="2116" customFormat="1" ht="13.5" customHeight="1">
      <c r="A14" s="1633" t="s">
        <v>1850</v>
      </c>
      <c r="B14" s="449" t="s">
        <v>480</v>
      </c>
      <c r="C14" s="53">
        <f ca="1">ROUND(C13*F14,0)</f>
        <v>563</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1193</v>
      </c>
      <c r="D16" s="451">
        <f ca="1">IF(B1="",'数据-汇总表'!E3,INDIRECT("'数据-取费表'!K"&amp;$K$1)+INDIRECT("'数据-取费表'!S"&amp;$K$1))</f>
        <v>59625.46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282</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20813</v>
      </c>
      <c r="D18" s="461"/>
      <c r="E18" s="462"/>
      <c r="F18" s="462"/>
      <c r="G18" s="1327" t="s">
        <v>2433</v>
      </c>
      <c r="H18" s="447"/>
      <c r="I18" s="447"/>
      <c r="J18" s="447"/>
      <c r="K18" s="448"/>
    </row>
    <row r="19" spans="1:14" s="2119" customFormat="1" ht="13.5" customHeight="1">
      <c r="A19" s="1634" t="s">
        <v>1855</v>
      </c>
      <c r="B19" s="459" t="s">
        <v>493</v>
      </c>
      <c r="C19" s="460">
        <f ca="1">ROUND(C18*F19,0)</f>
        <v>416</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1008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8" t="s">
        <v>2436</v>
      </c>
      <c r="C22" s="487">
        <f ca="1">ROUND(IF('数据-取费表'!B22&lt;=1,(C18+C19)*F21*'数据-取费表'!B20/2,(C18+C19)*(POWER((1+F21),'数据-取费表'!B20/2)-1)),0)</f>
        <v>1008</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7" t="s">
        <v>2832</v>
      </c>
      <c r="C24" s="478">
        <f ca="1">C25</f>
        <v>4246</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3" t="s">
        <v>1849</v>
      </c>
      <c r="B25" s="1328" t="s">
        <v>2437</v>
      </c>
      <c r="C25" s="490">
        <f ca="1">ROUND((C18+C19)*F24,0)</f>
        <v>4246</v>
      </c>
      <c r="D25" s="472"/>
      <c r="E25" s="473"/>
      <c r="F25" s="480"/>
      <c r="G25" s="1326" t="s">
        <v>2434</v>
      </c>
      <c r="H25" s="457"/>
      <c r="I25" s="457"/>
      <c r="J25" s="457"/>
      <c r="K25" s="458"/>
    </row>
    <row r="26" spans="1:14" s="2120" customFormat="1" ht="13.5" customHeight="1">
      <c r="A26" s="1633" t="s">
        <v>1850</v>
      </c>
      <c r="B26" s="1328" t="s">
        <v>509</v>
      </c>
      <c r="C26" s="491">
        <f ca="1">ROUND(F20*F24,4)</f>
        <v>4.0000000000000001E-3</v>
      </c>
      <c r="D26" s="472"/>
      <c r="E26" s="481"/>
      <c r="F26" s="480"/>
      <c r="G26" s="1326" t="s">
        <v>510</v>
      </c>
      <c r="H26" s="457"/>
      <c r="I26" s="457"/>
      <c r="J26" s="457"/>
      <c r="K26" s="458"/>
    </row>
    <row r="27" spans="1:14" s="2120" customFormat="1" ht="13.5" customHeight="1">
      <c r="A27" s="1637" t="s">
        <v>1868</v>
      </c>
      <c r="B27" s="459" t="s">
        <v>511</v>
      </c>
      <c r="C27" s="3006">
        <f>ROUND(F27/(1+'数据-取费表'!C42),4)</f>
        <v>5.33E-2</v>
      </c>
      <c r="D27" s="462" t="s">
        <v>2830</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28733</v>
      </c>
      <c r="D28" s="477"/>
      <c r="E28" s="469"/>
      <c r="F28" s="471"/>
      <c r="G28" s="1327"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957" t="s">
        <v>522</v>
      </c>
      <c r="D6" s="3958"/>
      <c r="E6" s="3957" t="s">
        <v>523</v>
      </c>
      <c r="F6" s="3958"/>
      <c r="G6" s="3957" t="s">
        <v>524</v>
      </c>
      <c r="H6" s="3958"/>
      <c r="I6" s="3957" t="s">
        <v>525</v>
      </c>
      <c r="J6" s="3958"/>
      <c r="K6" s="514" t="s">
        <v>526</v>
      </c>
      <c r="L6" s="2133"/>
      <c r="M6" s="2132"/>
      <c r="N6" s="2132"/>
      <c r="O6" s="2134"/>
      <c r="P6" s="3961" t="s">
        <v>527</v>
      </c>
      <c r="Q6" s="3962"/>
      <c r="R6" s="3967" t="s">
        <v>523</v>
      </c>
      <c r="S6" s="3968"/>
      <c r="T6" s="3967" t="s">
        <v>524</v>
      </c>
      <c r="U6" s="3968"/>
      <c r="V6" s="3973" t="s">
        <v>525</v>
      </c>
      <c r="W6" s="3973"/>
      <c r="X6" s="1567"/>
      <c r="Y6" s="3967" t="s">
        <v>527</v>
      </c>
      <c r="Z6" s="3968"/>
      <c r="AA6" s="3954" t="s">
        <v>523</v>
      </c>
      <c r="AB6" s="3955" t="s">
        <v>524</v>
      </c>
      <c r="AC6" s="3954" t="s">
        <v>525</v>
      </c>
    </row>
    <row r="7" spans="1:30" ht="20.25">
      <c r="A7" s="515"/>
      <c r="B7" s="516"/>
      <c r="C7" s="3993" t="s">
        <v>2931</v>
      </c>
      <c r="D7" s="3977"/>
      <c r="E7" s="3993" t="s">
        <v>2932</v>
      </c>
      <c r="F7" s="3977"/>
      <c r="G7" s="3993" t="s">
        <v>2933</v>
      </c>
      <c r="H7" s="3977"/>
      <c r="I7" s="3993" t="s">
        <v>2934</v>
      </c>
      <c r="J7" s="3977"/>
      <c r="K7" s="514"/>
      <c r="L7" s="2133"/>
      <c r="M7" s="2132"/>
      <c r="N7" s="2132"/>
      <c r="O7" s="2134"/>
      <c r="P7" s="3963"/>
      <c r="Q7" s="3964"/>
      <c r="R7" s="3969"/>
      <c r="S7" s="3970"/>
      <c r="T7" s="3969"/>
      <c r="U7" s="3970"/>
      <c r="V7" s="3973"/>
      <c r="W7" s="3973"/>
      <c r="X7" s="1567"/>
      <c r="Y7" s="3969"/>
      <c r="Z7" s="3970"/>
      <c r="AA7" s="3955"/>
      <c r="AB7" s="3955"/>
      <c r="AC7" s="3955"/>
    </row>
    <row r="8" spans="1:30" ht="21" thickBot="1">
      <c r="A8" s="515"/>
      <c r="B8" s="516"/>
      <c r="C8" s="3994" t="s">
        <v>2935</v>
      </c>
      <c r="D8" s="3995"/>
      <c r="E8" s="3994" t="s">
        <v>2935</v>
      </c>
      <c r="F8" s="3995"/>
      <c r="G8" s="3974" t="s">
        <v>2935</v>
      </c>
      <c r="H8" s="3975"/>
      <c r="I8" s="3974" t="s">
        <v>2935</v>
      </c>
      <c r="J8" s="3975"/>
      <c r="K8" s="514" t="s">
        <v>528</v>
      </c>
      <c r="L8" s="2133"/>
      <c r="M8" s="2132"/>
      <c r="N8" s="2132"/>
      <c r="O8" s="2134"/>
      <c r="P8" s="3965"/>
      <c r="Q8" s="3966"/>
      <c r="R8" s="3969"/>
      <c r="S8" s="3970"/>
      <c r="T8" s="3971"/>
      <c r="U8" s="3972"/>
      <c r="V8" s="3973"/>
      <c r="W8" s="3973"/>
      <c r="X8" s="1567"/>
      <c r="Y8" s="3971"/>
      <c r="Z8" s="3972"/>
      <c r="AA8" s="3956"/>
      <c r="AB8" s="3956"/>
      <c r="AC8" s="3956"/>
    </row>
    <row r="9" spans="1:30" s="1220" customFormat="1" ht="21" thickBot="1">
      <c r="A9" s="2890"/>
      <c r="B9" s="2897" t="s">
        <v>529</v>
      </c>
      <c r="C9" s="2889">
        <f>'数据-取费表'!B2</f>
        <v>43552</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978" t="s">
        <v>530</v>
      </c>
      <c r="Q9" s="3980"/>
      <c r="R9" s="1568" t="s">
        <v>8</v>
      </c>
      <c r="S9" s="1569">
        <f t="shared" ref="S9:S17" si="0">F9</f>
        <v>0</v>
      </c>
      <c r="T9" s="1568" t="s">
        <v>8</v>
      </c>
      <c r="U9" s="1569">
        <f t="shared" ref="U9:U17" si="1">H9</f>
        <v>0</v>
      </c>
      <c r="V9" s="1568" t="s">
        <v>8</v>
      </c>
      <c r="W9" s="1569">
        <f t="shared" ref="W9:W17" si="2">J9</f>
        <v>0</v>
      </c>
      <c r="X9" s="1570"/>
      <c r="Y9" s="3978" t="s">
        <v>530</v>
      </c>
      <c r="Z9" s="3979"/>
      <c r="AA9" s="1571" t="e">
        <f>D9/F9</f>
        <v>#DIV/0!</v>
      </c>
      <c r="AB9" s="1571" t="e">
        <f>D9/H9</f>
        <v>#DIV/0!</v>
      </c>
      <c r="AC9" s="1571" t="e">
        <f>D9/J9</f>
        <v>#DIV/0!</v>
      </c>
    </row>
    <row r="10" spans="1:30" s="1220" customFormat="1" ht="21" thickBot="1">
      <c r="A10" s="2891"/>
      <c r="B10" s="2898"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978" t="s">
        <v>533</v>
      </c>
      <c r="Q10" s="3979"/>
      <c r="R10" s="1568" t="s">
        <v>8</v>
      </c>
      <c r="S10" s="1569">
        <f t="shared" si="0"/>
        <v>0</v>
      </c>
      <c r="T10" s="1568" t="s">
        <v>8</v>
      </c>
      <c r="U10" s="1569">
        <f t="shared" si="1"/>
        <v>0</v>
      </c>
      <c r="V10" s="1568" t="s">
        <v>8</v>
      </c>
      <c r="W10" s="1569">
        <f t="shared" si="2"/>
        <v>0</v>
      </c>
      <c r="X10" s="1570"/>
      <c r="Y10" s="3978" t="s">
        <v>533</v>
      </c>
      <c r="Z10" s="3979"/>
      <c r="AA10" s="1571" t="e">
        <f t="shared" ref="AA10:AA47" si="3">D10/F10</f>
        <v>#DIV/0!</v>
      </c>
      <c r="AB10" s="1571" t="e">
        <f t="shared" ref="AB10:AB47" si="4">D10/H10</f>
        <v>#DIV/0!</v>
      </c>
      <c r="AC10" s="1571" t="e">
        <f t="shared" ref="AC10:AC47" si="5">D10/J10</f>
        <v>#DIV/0!</v>
      </c>
    </row>
    <row r="11" spans="1:30" s="1220" customFormat="1" ht="20.25">
      <c r="A11" s="2892"/>
      <c r="B11" s="2899" t="s">
        <v>2757</v>
      </c>
      <c r="C11" s="2886"/>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944" t="s">
        <v>535</v>
      </c>
      <c r="Q11" s="1151" t="str">
        <f t="shared" ref="Q11:Q17" si="6">B11</f>
        <v>用途</v>
      </c>
      <c r="R11" s="1568" t="s">
        <v>8</v>
      </c>
      <c r="S11" s="1569">
        <f t="shared" si="0"/>
        <v>100</v>
      </c>
      <c r="T11" s="1568" t="s">
        <v>8</v>
      </c>
      <c r="U11" s="1569">
        <f t="shared" si="1"/>
        <v>100</v>
      </c>
      <c r="V11" s="1568" t="s">
        <v>8</v>
      </c>
      <c r="W11" s="1569">
        <f t="shared" si="2"/>
        <v>100</v>
      </c>
      <c r="X11" s="1570"/>
      <c r="Y11" s="3798" t="s">
        <v>536</v>
      </c>
      <c r="Z11" s="1150" t="str">
        <f t="shared" ref="Z11:Z17" si="7">Q11</f>
        <v>用途</v>
      </c>
      <c r="AA11" s="1571">
        <f t="shared" si="3"/>
        <v>1</v>
      </c>
      <c r="AB11" s="1571">
        <f t="shared" si="4"/>
        <v>1</v>
      </c>
      <c r="AC11" s="1571">
        <f t="shared" si="5"/>
        <v>1</v>
      </c>
    </row>
    <row r="12" spans="1:30" s="1338" customFormat="1" ht="27">
      <c r="A12" s="2893"/>
      <c r="B12" s="2898" t="s">
        <v>2758</v>
      </c>
      <c r="C12" s="910"/>
      <c r="D12" s="255">
        <v>100</v>
      </c>
      <c r="E12" s="529"/>
      <c r="F12" s="255">
        <f>ROUND(100/'数据-取费表'!G16,0)</f>
        <v>113</v>
      </c>
      <c r="G12" s="530"/>
      <c r="H12" s="255">
        <f>ROUND(100/'数据-取费表'!G16,0)</f>
        <v>113</v>
      </c>
      <c r="I12" s="530"/>
      <c r="J12" s="255">
        <f>ROUND(100/'数据-取费表'!G16,0)</f>
        <v>113</v>
      </c>
      <c r="K12" s="531"/>
      <c r="L12" s="2138"/>
      <c r="M12" s="2132"/>
      <c r="N12" s="2132"/>
      <c r="O12" s="2139"/>
      <c r="P12" s="3944"/>
      <c r="Q12" s="1151" t="str">
        <f t="shared" si="6"/>
        <v>土地使用年限（年）</v>
      </c>
      <c r="R12" s="1568" t="s">
        <v>8</v>
      </c>
      <c r="S12" s="1569">
        <f t="shared" si="0"/>
        <v>113</v>
      </c>
      <c r="T12" s="1568" t="s">
        <v>8</v>
      </c>
      <c r="U12" s="1569">
        <f t="shared" si="1"/>
        <v>113</v>
      </c>
      <c r="V12" s="1568" t="s">
        <v>8</v>
      </c>
      <c r="W12" s="1569">
        <f t="shared" si="2"/>
        <v>113</v>
      </c>
      <c r="X12" s="1570"/>
      <c r="Y12" s="3798"/>
      <c r="Z12" s="1150" t="str">
        <f t="shared" si="7"/>
        <v>土地使用年限（年）</v>
      </c>
      <c r="AA12" s="1571">
        <f t="shared" si="3"/>
        <v>0.88495575221238942</v>
      </c>
      <c r="AB12" s="1571">
        <f t="shared" si="4"/>
        <v>0.88495575221238942</v>
      </c>
      <c r="AC12" s="1571">
        <f t="shared" si="5"/>
        <v>0.88495575221238942</v>
      </c>
    </row>
    <row r="13" spans="1:30" ht="20.25">
      <c r="A13" s="2894"/>
      <c r="B13" s="2898"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944"/>
      <c r="Q13" s="1151" t="str">
        <f t="shared" si="6"/>
        <v>容积率</v>
      </c>
      <c r="R13" s="1568" t="s">
        <v>8</v>
      </c>
      <c r="S13" s="1569" t="e">
        <f t="shared" si="0"/>
        <v>#N/A</v>
      </c>
      <c r="T13" s="1568" t="s">
        <v>8</v>
      </c>
      <c r="U13" s="1569" t="e">
        <f t="shared" si="1"/>
        <v>#N/A</v>
      </c>
      <c r="V13" s="1568" t="s">
        <v>8</v>
      </c>
      <c r="W13" s="1569" t="e">
        <f t="shared" si="2"/>
        <v>#N/A</v>
      </c>
      <c r="X13" s="1570"/>
      <c r="Y13" s="3798"/>
      <c r="Z13" s="1150" t="str">
        <f t="shared" si="7"/>
        <v>容积率</v>
      </c>
      <c r="AA13" s="1571" t="e">
        <f t="shared" si="3"/>
        <v>#N/A</v>
      </c>
      <c r="AB13" s="1571" t="e">
        <f t="shared" si="4"/>
        <v>#N/A</v>
      </c>
      <c r="AC13" s="1571" t="e">
        <f t="shared" si="5"/>
        <v>#N/A</v>
      </c>
    </row>
    <row r="14" spans="1:30" s="1220" customFormat="1" ht="20.25">
      <c r="A14" s="2891"/>
      <c r="B14" s="2900" t="s">
        <v>2760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944"/>
      <c r="Q14" s="1151" t="str">
        <f t="shared" si="6"/>
        <v>配建</v>
      </c>
      <c r="R14" s="1568" t="s">
        <v>8</v>
      </c>
      <c r="S14" s="1569">
        <f t="shared" si="0"/>
        <v>100</v>
      </c>
      <c r="T14" s="1568" t="s">
        <v>8</v>
      </c>
      <c r="U14" s="1569">
        <f t="shared" si="1"/>
        <v>100</v>
      </c>
      <c r="V14" s="1568" t="s">
        <v>8</v>
      </c>
      <c r="W14" s="1569">
        <f t="shared" si="2"/>
        <v>100</v>
      </c>
      <c r="X14" s="1570"/>
      <c r="Y14" s="3798"/>
      <c r="Z14" s="1150" t="str">
        <f t="shared" si="7"/>
        <v>配建</v>
      </c>
      <c r="AA14" s="1571">
        <f>D14/F14</f>
        <v>1</v>
      </c>
      <c r="AB14" s="1571">
        <f>D14/H14</f>
        <v>1</v>
      </c>
      <c r="AC14" s="1571">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944"/>
      <c r="Q15" s="1151">
        <f t="shared" si="6"/>
        <v>111</v>
      </c>
      <c r="R15" s="1568" t="s">
        <v>8</v>
      </c>
      <c r="S15" s="1569">
        <f t="shared" si="0"/>
        <v>100</v>
      </c>
      <c r="T15" s="1568" t="s">
        <v>8</v>
      </c>
      <c r="U15" s="1569">
        <f t="shared" si="1"/>
        <v>100</v>
      </c>
      <c r="V15" s="1568" t="s">
        <v>8</v>
      </c>
      <c r="W15" s="1569">
        <f t="shared" si="2"/>
        <v>100</v>
      </c>
      <c r="X15" s="1570"/>
      <c r="Y15" s="3798"/>
      <c r="Z15" s="1150">
        <f t="shared" si="7"/>
        <v>111</v>
      </c>
      <c r="AA15" s="1571">
        <f>D15/F15</f>
        <v>1</v>
      </c>
      <c r="AB15" s="1571">
        <f>D15/H15</f>
        <v>1</v>
      </c>
      <c r="AC15" s="1571">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944"/>
      <c r="Q16" s="1151">
        <f t="shared" si="6"/>
        <v>111</v>
      </c>
      <c r="R16" s="1568" t="s">
        <v>8</v>
      </c>
      <c r="S16" s="1569">
        <f t="shared" si="0"/>
        <v>100</v>
      </c>
      <c r="T16" s="1568" t="s">
        <v>8</v>
      </c>
      <c r="U16" s="1569">
        <f t="shared" si="1"/>
        <v>100</v>
      </c>
      <c r="V16" s="1568" t="s">
        <v>8</v>
      </c>
      <c r="W16" s="1569">
        <f t="shared" si="2"/>
        <v>100</v>
      </c>
      <c r="X16" s="1570"/>
      <c r="Y16" s="3798"/>
      <c r="Z16" s="1150">
        <f t="shared" si="7"/>
        <v>111</v>
      </c>
      <c r="AA16" s="1571">
        <f>D16/F16</f>
        <v>1</v>
      </c>
      <c r="AB16" s="1571">
        <f>D16/H16</f>
        <v>1</v>
      </c>
      <c r="AC16" s="1571">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949" t="s">
        <v>540</v>
      </c>
      <c r="Q17" s="1572" t="str">
        <f t="shared" si="6"/>
        <v>居住社区成熟度</v>
      </c>
      <c r="R17" s="1573" t="s">
        <v>8</v>
      </c>
      <c r="S17" s="1574">
        <f t="shared" si="0"/>
        <v>100</v>
      </c>
      <c r="T17" s="1573" t="s">
        <v>8</v>
      </c>
      <c r="U17" s="1574">
        <f t="shared" si="1"/>
        <v>100</v>
      </c>
      <c r="V17" s="1573" t="s">
        <v>8</v>
      </c>
      <c r="W17" s="1574">
        <f t="shared" si="2"/>
        <v>100</v>
      </c>
      <c r="X17" s="1567"/>
      <c r="Y17" s="3949"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950"/>
      <c r="Q18" s="1572"/>
      <c r="R18" s="1573"/>
      <c r="S18" s="1574"/>
      <c r="T18" s="1573"/>
      <c r="U18" s="1574"/>
      <c r="V18" s="1573"/>
      <c r="W18" s="1574"/>
      <c r="X18" s="1567"/>
      <c r="Y18" s="395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950"/>
      <c r="Q19" s="1572" t="str">
        <f>B19</f>
        <v>商业繁华度</v>
      </c>
      <c r="R19" s="1573" t="s">
        <v>8</v>
      </c>
      <c r="S19" s="1574">
        <f>F19</f>
        <v>100</v>
      </c>
      <c r="T19" s="1573" t="s">
        <v>8</v>
      </c>
      <c r="U19" s="1574">
        <f>H19</f>
        <v>100</v>
      </c>
      <c r="V19" s="1573" t="s">
        <v>8</v>
      </c>
      <c r="W19" s="1574">
        <f>J19</f>
        <v>100</v>
      </c>
      <c r="X19" s="1567"/>
      <c r="Y19" s="395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2"/>
      <c r="M20" s="2132"/>
      <c r="N20" s="2132"/>
      <c r="O20" s="2141"/>
      <c r="P20" s="3950"/>
      <c r="Q20" s="1572"/>
      <c r="R20" s="1573"/>
      <c r="S20" s="1574"/>
      <c r="T20" s="1573"/>
      <c r="U20" s="1574"/>
      <c r="V20" s="1573"/>
      <c r="W20" s="1574"/>
      <c r="X20" s="1567"/>
      <c r="Y20" s="395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950"/>
      <c r="Q21" s="1572" t="str">
        <f>B21</f>
        <v>办公集聚程度</v>
      </c>
      <c r="R21" s="1573" t="s">
        <v>8</v>
      </c>
      <c r="S21" s="1574">
        <f>F21</f>
        <v>100</v>
      </c>
      <c r="T21" s="1573" t="s">
        <v>8</v>
      </c>
      <c r="U21" s="1574">
        <f>H21</f>
        <v>100</v>
      </c>
      <c r="V21" s="1573" t="s">
        <v>8</v>
      </c>
      <c r="W21" s="1574">
        <f>J21</f>
        <v>100</v>
      </c>
      <c r="X21" s="1567"/>
      <c r="Y21" s="395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950"/>
      <c r="Q22" s="1572"/>
      <c r="R22" s="1573"/>
      <c r="S22" s="1574"/>
      <c r="T22" s="1573"/>
      <c r="U22" s="1574"/>
      <c r="V22" s="1573"/>
      <c r="W22" s="1574"/>
      <c r="X22" s="1567"/>
      <c r="Y22" s="3950"/>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950"/>
      <c r="Q23" s="1572" t="str">
        <f>B23</f>
        <v>交通便捷度</v>
      </c>
      <c r="R23" s="1573" t="s">
        <v>8</v>
      </c>
      <c r="S23" s="1574">
        <f>F23</f>
        <v>100</v>
      </c>
      <c r="T23" s="1573" t="s">
        <v>8</v>
      </c>
      <c r="U23" s="1574">
        <f>H23</f>
        <v>100</v>
      </c>
      <c r="V23" s="1573" t="s">
        <v>8</v>
      </c>
      <c r="W23" s="1574">
        <f>J23</f>
        <v>100</v>
      </c>
      <c r="X23" s="1567"/>
      <c r="Y23" s="3950"/>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950"/>
      <c r="Q24" s="1572"/>
      <c r="R24" s="1573"/>
      <c r="S24" s="1574"/>
      <c r="T24" s="1573"/>
      <c r="U24" s="1574"/>
      <c r="V24" s="1573"/>
      <c r="W24" s="1574"/>
      <c r="X24" s="1567"/>
      <c r="Y24" s="395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950"/>
      <c r="Q25" s="1572" t="str">
        <f t="shared" ref="Q25:Q39" si="8">B25</f>
        <v>区域土地利用方向</v>
      </c>
      <c r="R25" s="1573" t="s">
        <v>8</v>
      </c>
      <c r="S25" s="1574">
        <f>F25</f>
        <v>100</v>
      </c>
      <c r="T25" s="1573" t="s">
        <v>8</v>
      </c>
      <c r="U25" s="1574">
        <f>H25</f>
        <v>100</v>
      </c>
      <c r="V25" s="1573" t="s">
        <v>8</v>
      </c>
      <c r="W25" s="1574">
        <f>J25</f>
        <v>100</v>
      </c>
      <c r="X25" s="1567"/>
      <c r="Y25" s="3950"/>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950"/>
      <c r="Q26" s="1572"/>
      <c r="R26" s="1573"/>
      <c r="S26" s="1574"/>
      <c r="T26" s="1573"/>
      <c r="U26" s="1574"/>
      <c r="V26" s="1573"/>
      <c r="W26" s="1574"/>
      <c r="X26" s="1567"/>
      <c r="Y26" s="395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950"/>
      <c r="Q27" s="1572" t="str">
        <f t="shared" si="8"/>
        <v>自然及人文环境状况</v>
      </c>
      <c r="R27" s="1573" t="s">
        <v>8</v>
      </c>
      <c r="S27" s="1574">
        <f>F27</f>
        <v>100</v>
      </c>
      <c r="T27" s="1573" t="s">
        <v>8</v>
      </c>
      <c r="U27" s="1574">
        <f>H27</f>
        <v>100</v>
      </c>
      <c r="V27" s="1573" t="s">
        <v>8</v>
      </c>
      <c r="W27" s="1574">
        <f>J27</f>
        <v>100</v>
      </c>
      <c r="X27" s="1567"/>
      <c r="Y27" s="3950"/>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950"/>
      <c r="Q28" s="1572"/>
      <c r="R28" s="1573"/>
      <c r="S28" s="1574"/>
      <c r="T28" s="1573"/>
      <c r="U28" s="1574"/>
      <c r="V28" s="1573"/>
      <c r="W28" s="1574"/>
      <c r="X28" s="1567"/>
      <c r="Y28" s="3950"/>
      <c r="Z28" s="1575"/>
      <c r="AA28" s="1576">
        <v>1</v>
      </c>
      <c r="AB28" s="1576">
        <v>1</v>
      </c>
      <c r="AC28" s="1576">
        <v>1</v>
      </c>
    </row>
    <row r="29" spans="1:29" s="1220" customFormat="1" ht="42.75">
      <c r="A29" s="577"/>
      <c r="B29" s="2570"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950"/>
      <c r="Q29" s="1151" t="str">
        <f t="shared" si="8"/>
        <v>公共配套设施</v>
      </c>
      <c r="R29" s="1568" t="s">
        <v>8</v>
      </c>
      <c r="S29" s="1569">
        <f>F29</f>
        <v>100</v>
      </c>
      <c r="T29" s="1568" t="s">
        <v>8</v>
      </c>
      <c r="U29" s="1569">
        <f>H29</f>
        <v>100</v>
      </c>
      <c r="V29" s="1568" t="s">
        <v>8</v>
      </c>
      <c r="W29" s="1569">
        <f>J29</f>
        <v>100</v>
      </c>
      <c r="X29" s="1570"/>
      <c r="Y29" s="3950"/>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5"/>
      <c r="M30" s="2132"/>
      <c r="N30" s="2132"/>
      <c r="O30" s="2137"/>
      <c r="P30" s="3950"/>
      <c r="Q30" s="1151"/>
      <c r="R30" s="1568"/>
      <c r="S30" s="1569"/>
      <c r="T30" s="1568"/>
      <c r="U30" s="1569"/>
      <c r="V30" s="1568"/>
      <c r="W30" s="1569"/>
      <c r="X30" s="1570"/>
      <c r="Y30" s="3950"/>
      <c r="Z30" s="1150"/>
      <c r="AA30" s="1576">
        <v>1</v>
      </c>
      <c r="AB30" s="1576">
        <v>1</v>
      </c>
      <c r="AC30" s="1576">
        <v>1</v>
      </c>
    </row>
    <row r="31" spans="1:29" s="1220" customFormat="1" ht="28.5">
      <c r="A31" s="577"/>
      <c r="B31" s="2570"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950"/>
      <c r="Q31" s="2557" t="str">
        <f t="shared" ref="Q31" si="9">B31</f>
        <v>基础设施水平</v>
      </c>
      <c r="R31" s="1568" t="s">
        <v>8</v>
      </c>
      <c r="S31" s="1569">
        <f>F31</f>
        <v>100</v>
      </c>
      <c r="T31" s="1568" t="s">
        <v>8</v>
      </c>
      <c r="U31" s="1569">
        <f>H31</f>
        <v>100</v>
      </c>
      <c r="V31" s="1568" t="s">
        <v>8</v>
      </c>
      <c r="W31" s="1569">
        <f>J31</f>
        <v>100</v>
      </c>
      <c r="X31" s="1570"/>
      <c r="Y31" s="3950"/>
      <c r="Z31" s="2554" t="str">
        <f>Q31</f>
        <v>基础设施水平</v>
      </c>
      <c r="AA31" s="1576">
        <f>D31/F31</f>
        <v>1</v>
      </c>
      <c r="AB31" s="1576">
        <f>D31/H31</f>
        <v>1</v>
      </c>
      <c r="AC31" s="1576">
        <f>D31/J31</f>
        <v>1</v>
      </c>
    </row>
    <row r="32" spans="1:29" s="1220" customFormat="1" ht="20.25">
      <c r="A32" s="577"/>
      <c r="B32" s="566"/>
      <c r="C32" s="579"/>
      <c r="D32" s="557"/>
      <c r="E32" s="2571"/>
      <c r="F32" s="555"/>
      <c r="G32" s="579"/>
      <c r="H32" s="555"/>
      <c r="I32" s="579"/>
      <c r="J32" s="555"/>
      <c r="K32" s="531"/>
      <c r="L32" s="2135"/>
      <c r="M32" s="2132"/>
      <c r="N32" s="2132"/>
      <c r="O32" s="2137"/>
      <c r="P32" s="3950"/>
      <c r="Q32" s="2557"/>
      <c r="R32" s="1568"/>
      <c r="S32" s="1569"/>
      <c r="T32" s="1568"/>
      <c r="U32" s="1569"/>
      <c r="V32" s="1568"/>
      <c r="W32" s="1569"/>
      <c r="X32" s="1570"/>
      <c r="Y32" s="3950"/>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95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950"/>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950"/>
      <c r="Q34" s="1572" t="str">
        <f t="shared" si="8"/>
        <v>毗邻道路的类型与等级</v>
      </c>
      <c r="R34" s="1573" t="s">
        <v>8</v>
      </c>
      <c r="S34" s="1574">
        <f t="shared" si="10"/>
        <v>100</v>
      </c>
      <c r="T34" s="1573" t="s">
        <v>8</v>
      </c>
      <c r="U34" s="1574">
        <f t="shared" si="11"/>
        <v>100</v>
      </c>
      <c r="V34" s="1573" t="s">
        <v>8</v>
      </c>
      <c r="W34" s="1574">
        <f t="shared" si="12"/>
        <v>100</v>
      </c>
      <c r="X34" s="1567"/>
      <c r="Y34" s="3950"/>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950"/>
      <c r="Q35" s="1572"/>
      <c r="R35" s="1573"/>
      <c r="S35" s="1574"/>
      <c r="T35" s="1573"/>
      <c r="U35" s="1574"/>
      <c r="V35" s="1573"/>
      <c r="W35" s="1574"/>
      <c r="X35" s="1567"/>
      <c r="Y35" s="395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950"/>
      <c r="Q36" s="1572" t="str">
        <f t="shared" si="8"/>
        <v>土地级别</v>
      </c>
      <c r="R36" s="1573" t="s">
        <v>8</v>
      </c>
      <c r="S36" s="1574">
        <f t="shared" si="10"/>
        <v>100</v>
      </c>
      <c r="T36" s="1573" t="s">
        <v>8</v>
      </c>
      <c r="U36" s="1574">
        <f t="shared" si="11"/>
        <v>100</v>
      </c>
      <c r="V36" s="1573" t="s">
        <v>8</v>
      </c>
      <c r="W36" s="1574">
        <f t="shared" si="12"/>
        <v>100</v>
      </c>
      <c r="X36" s="1567"/>
      <c r="Y36" s="395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950"/>
      <c r="Q37" s="1572">
        <f t="shared" si="8"/>
        <v>111</v>
      </c>
      <c r="R37" s="1573" t="s">
        <v>8</v>
      </c>
      <c r="S37" s="1574">
        <f t="shared" si="10"/>
        <v>100</v>
      </c>
      <c r="T37" s="1573" t="s">
        <v>8</v>
      </c>
      <c r="U37" s="1574">
        <f t="shared" si="11"/>
        <v>100</v>
      </c>
      <c r="V37" s="1573" t="s">
        <v>8</v>
      </c>
      <c r="W37" s="1574">
        <f t="shared" si="12"/>
        <v>100</v>
      </c>
      <c r="X37" s="1567"/>
      <c r="Y37" s="395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951" t="s">
        <v>550</v>
      </c>
      <c r="Q38" s="1572">
        <f t="shared" si="8"/>
        <v>111</v>
      </c>
      <c r="R38" s="1573" t="s">
        <v>8</v>
      </c>
      <c r="S38" s="1574">
        <f t="shared" si="10"/>
        <v>100</v>
      </c>
      <c r="T38" s="1573" t="s">
        <v>8</v>
      </c>
      <c r="U38" s="1574">
        <f t="shared" si="11"/>
        <v>100</v>
      </c>
      <c r="V38" s="1573" t="s">
        <v>8</v>
      </c>
      <c r="W38" s="1574">
        <f t="shared" si="12"/>
        <v>100</v>
      </c>
      <c r="X38" s="1567"/>
      <c r="Y38" s="3952"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952"/>
      <c r="Q39" s="1572">
        <f t="shared" si="8"/>
        <v>111</v>
      </c>
      <c r="R39" s="1577" t="s">
        <v>8</v>
      </c>
      <c r="S39" s="1578">
        <f t="shared" si="10"/>
        <v>100</v>
      </c>
      <c r="T39" s="1577" t="s">
        <v>8</v>
      </c>
      <c r="U39" s="1578">
        <f t="shared" si="11"/>
        <v>100</v>
      </c>
      <c r="V39" s="1577" t="s">
        <v>8</v>
      </c>
      <c r="W39" s="1578">
        <f t="shared" si="12"/>
        <v>100</v>
      </c>
      <c r="X39" s="1579"/>
      <c r="Y39" s="3952"/>
      <c r="Z39" s="1580">
        <f t="shared" si="13"/>
        <v>111</v>
      </c>
      <c r="AA39" s="1576">
        <f t="shared" si="3"/>
        <v>1</v>
      </c>
      <c r="AB39" s="1576">
        <f t="shared" si="4"/>
        <v>1</v>
      </c>
      <c r="AC39" s="1576">
        <f t="shared" si="5"/>
        <v>1</v>
      </c>
    </row>
    <row r="40" spans="1:29" ht="20.25">
      <c r="A40" s="2885"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952"/>
      <c r="Q40" s="1572" t="str">
        <f>B40</f>
        <v>宗地面积</v>
      </c>
      <c r="R40" s="1573" t="s">
        <v>8</v>
      </c>
      <c r="S40" s="1574" t="e">
        <f t="shared" si="10"/>
        <v>#N/A</v>
      </c>
      <c r="T40" s="1573" t="s">
        <v>8</v>
      </c>
      <c r="U40" s="1574" t="e">
        <f t="shared" si="11"/>
        <v>#N/A</v>
      </c>
      <c r="V40" s="1573" t="s">
        <v>8</v>
      </c>
      <c r="W40" s="1574" t="e">
        <f t="shared" si="12"/>
        <v>#N/A</v>
      </c>
      <c r="X40" s="1567"/>
      <c r="Y40" s="3952"/>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952"/>
      <c r="Q41" s="1572" t="str">
        <f t="shared" ref="Q41:Q47" si="14">B41</f>
        <v>宗地形状</v>
      </c>
      <c r="R41" s="1573" t="s">
        <v>8</v>
      </c>
      <c r="S41" s="1574">
        <f t="shared" si="10"/>
        <v>100</v>
      </c>
      <c r="T41" s="1573" t="s">
        <v>8</v>
      </c>
      <c r="U41" s="1574">
        <f t="shared" si="11"/>
        <v>100</v>
      </c>
      <c r="V41" s="1573" t="s">
        <v>8</v>
      </c>
      <c r="W41" s="1574">
        <f t="shared" si="12"/>
        <v>100</v>
      </c>
      <c r="X41" s="1567"/>
      <c r="Y41" s="3952"/>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952"/>
      <c r="Q42" s="1572" t="str">
        <f t="shared" si="14"/>
        <v>临街宽度及深度</v>
      </c>
      <c r="R42" s="1573" t="s">
        <v>8</v>
      </c>
      <c r="S42" s="1574">
        <f t="shared" si="10"/>
        <v>100</v>
      </c>
      <c r="T42" s="1573" t="s">
        <v>8</v>
      </c>
      <c r="U42" s="1574">
        <f t="shared" si="11"/>
        <v>100</v>
      </c>
      <c r="V42" s="1573" t="s">
        <v>8</v>
      </c>
      <c r="W42" s="1574">
        <f t="shared" si="12"/>
        <v>100</v>
      </c>
      <c r="X42" s="1567"/>
      <c r="Y42" s="3952"/>
      <c r="Z42" s="1575" t="str">
        <f t="shared" si="13"/>
        <v>临街宽度及深度</v>
      </c>
      <c r="AA42" s="1576">
        <f t="shared" si="3"/>
        <v>1</v>
      </c>
      <c r="AB42" s="1576">
        <f t="shared" si="4"/>
        <v>1</v>
      </c>
      <c r="AC42" s="1576">
        <f t="shared" si="5"/>
        <v>1</v>
      </c>
    </row>
    <row r="43" spans="1:29" s="1220"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952"/>
      <c r="Q43" s="1572" t="str">
        <f t="shared" si="14"/>
        <v>宗地开发程度</v>
      </c>
      <c r="R43" s="1568" t="s">
        <v>8</v>
      </c>
      <c r="S43" s="1569">
        <f t="shared" si="10"/>
        <v>100</v>
      </c>
      <c r="T43" s="1568" t="s">
        <v>8</v>
      </c>
      <c r="U43" s="1569">
        <f t="shared" si="11"/>
        <v>100</v>
      </c>
      <c r="V43" s="1568" t="s">
        <v>8</v>
      </c>
      <c r="W43" s="1569">
        <f t="shared" si="12"/>
        <v>100</v>
      </c>
      <c r="X43" s="1570"/>
      <c r="Y43" s="3952"/>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952" t="s">
        <v>550</v>
      </c>
      <c r="Q44" s="1572" t="str">
        <f t="shared" si="14"/>
        <v>工程地质条件</v>
      </c>
      <c r="R44" s="1573" t="s">
        <v>8</v>
      </c>
      <c r="S44" s="1574">
        <f t="shared" si="10"/>
        <v>100</v>
      </c>
      <c r="T44" s="1573" t="s">
        <v>8</v>
      </c>
      <c r="U44" s="1574">
        <f t="shared" si="11"/>
        <v>100</v>
      </c>
      <c r="V44" s="1573" t="s">
        <v>8</v>
      </c>
      <c r="W44" s="1574">
        <f t="shared" si="12"/>
        <v>100</v>
      </c>
      <c r="X44" s="1567"/>
      <c r="Y44" s="395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952"/>
      <c r="Q45" s="1572">
        <f t="shared" si="14"/>
        <v>111</v>
      </c>
      <c r="R45" s="1573" t="s">
        <v>8</v>
      </c>
      <c r="S45" s="1574">
        <f t="shared" si="10"/>
        <v>100</v>
      </c>
      <c r="T45" s="1573" t="s">
        <v>8</v>
      </c>
      <c r="U45" s="1574">
        <f t="shared" si="11"/>
        <v>100</v>
      </c>
      <c r="V45" s="1573" t="s">
        <v>8</v>
      </c>
      <c r="W45" s="1574">
        <f t="shared" si="12"/>
        <v>100</v>
      </c>
      <c r="X45" s="1567"/>
      <c r="Y45" s="395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952"/>
      <c r="Q46" s="1572">
        <f t="shared" si="14"/>
        <v>111</v>
      </c>
      <c r="R46" s="1573" t="s">
        <v>8</v>
      </c>
      <c r="S46" s="1574">
        <f t="shared" si="10"/>
        <v>100</v>
      </c>
      <c r="T46" s="1573" t="s">
        <v>8</v>
      </c>
      <c r="U46" s="1574">
        <f t="shared" si="11"/>
        <v>100</v>
      </c>
      <c r="V46" s="1573" t="s">
        <v>8</v>
      </c>
      <c r="W46" s="1574">
        <f t="shared" si="12"/>
        <v>100</v>
      </c>
      <c r="X46" s="1567"/>
      <c r="Y46" s="395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952"/>
      <c r="Q47" s="1572">
        <f t="shared" si="14"/>
        <v>111</v>
      </c>
      <c r="R47" s="1577" t="s">
        <v>8</v>
      </c>
      <c r="S47" s="1578">
        <f t="shared" si="10"/>
        <v>100</v>
      </c>
      <c r="T47" s="1577" t="s">
        <v>8</v>
      </c>
      <c r="U47" s="1578">
        <f t="shared" si="11"/>
        <v>100</v>
      </c>
      <c r="V47" s="1577" t="s">
        <v>8</v>
      </c>
      <c r="W47" s="1578">
        <f t="shared" si="12"/>
        <v>100</v>
      </c>
      <c r="X47" s="1579"/>
      <c r="Y47" s="3952"/>
      <c r="Z47" s="1580">
        <f t="shared" si="13"/>
        <v>111</v>
      </c>
      <c r="AA47" s="1576">
        <f t="shared" si="3"/>
        <v>1</v>
      </c>
      <c r="AB47" s="1576">
        <f t="shared" si="4"/>
        <v>1</v>
      </c>
      <c r="AC47" s="1576">
        <f t="shared" si="5"/>
        <v>1</v>
      </c>
    </row>
    <row r="48" spans="1:29" ht="20.25">
      <c r="A48" s="607" t="s">
        <v>556</v>
      </c>
      <c r="B48" s="608" t="s">
        <v>2936</v>
      </c>
      <c r="C48" s="609" t="s">
        <v>1</v>
      </c>
      <c r="D48" s="610"/>
      <c r="E48" s="611"/>
      <c r="F48" s="612"/>
      <c r="G48" s="613"/>
      <c r="H48" s="614"/>
      <c r="I48" s="611"/>
      <c r="J48" s="614"/>
      <c r="K48" s="1340"/>
      <c r="L48" s="2144"/>
      <c r="M48" s="2132"/>
      <c r="N48" s="2132"/>
      <c r="O48" s="2145"/>
      <c r="P48" s="3944" t="str">
        <f>A48</f>
        <v>成交单价</v>
      </c>
      <c r="Q48" s="3944"/>
      <c r="R48" s="3973">
        <f>E48</f>
        <v>0</v>
      </c>
      <c r="S48" s="3973"/>
      <c r="T48" s="3973">
        <f>G48</f>
        <v>0</v>
      </c>
      <c r="U48" s="3973"/>
      <c r="V48" s="3973">
        <f>I48</f>
        <v>0</v>
      </c>
      <c r="W48" s="3973"/>
      <c r="X48" s="1559"/>
      <c r="Y48" s="1581"/>
      <c r="Z48" s="1559"/>
      <c r="AA48" s="1559"/>
      <c r="AB48" s="1559"/>
      <c r="AC48" s="1559"/>
    </row>
    <row r="49" spans="1:29" ht="21" thickBot="1">
      <c r="A49" s="615" t="s">
        <v>2694</v>
      </c>
      <c r="B49" s="616"/>
      <c r="C49" s="617" t="e">
        <f>R50</f>
        <v>#DIV/0!</v>
      </c>
      <c r="D49" s="618"/>
      <c r="E49" s="617" t="e">
        <f>R49</f>
        <v>#DIV/0!</v>
      </c>
      <c r="F49" s="619"/>
      <c r="G49" s="620" t="e">
        <f>T49</f>
        <v>#DIV/0!</v>
      </c>
      <c r="H49" s="618"/>
      <c r="I49" s="617" t="e">
        <f>V49</f>
        <v>#DIV/0!</v>
      </c>
      <c r="J49" s="618"/>
      <c r="K49" s="1341"/>
      <c r="L49" s="2144"/>
      <c r="M49" s="2132"/>
      <c r="N49" s="2132"/>
      <c r="O49" s="2145"/>
      <c r="P49" s="3944" t="str">
        <f>A49</f>
        <v>比较价格（元/平方米）</v>
      </c>
      <c r="Q49" s="3944"/>
      <c r="R49" s="3992" t="e">
        <f>ROUND(PRODUCT(R48,AA9:AA47),0)</f>
        <v>#DIV/0!</v>
      </c>
      <c r="S49" s="3992"/>
      <c r="T49" s="3992" t="e">
        <f>ROUND(PRODUCT(T48,AB9:AB47),0)</f>
        <v>#DIV/0!</v>
      </c>
      <c r="U49" s="3992"/>
      <c r="V49" s="3992" t="e">
        <f>ROUND(PRODUCT(V48,AC9:AC47),0)</f>
        <v>#DIV/0!</v>
      </c>
      <c r="W49" s="3992"/>
      <c r="X49" s="1559"/>
      <c r="Y49" s="1559"/>
      <c r="Z49" s="1559"/>
      <c r="AA49" s="1559"/>
      <c r="AB49" s="1559"/>
      <c r="AC49" s="1559"/>
    </row>
    <row r="50" spans="1:29" ht="21" thickBot="1">
      <c r="A50" s="621" t="s">
        <v>2937</v>
      </c>
      <c r="B50" s="622"/>
      <c r="C50" s="623" t="e">
        <f>R50</f>
        <v>#DIV/0!</v>
      </c>
      <c r="D50" s="623"/>
      <c r="E50" s="623"/>
      <c r="F50" s="623"/>
      <c r="G50" s="623"/>
      <c r="H50" s="623"/>
      <c r="I50" s="623"/>
      <c r="J50" s="623"/>
      <c r="K50" s="1342"/>
      <c r="L50" s="2144"/>
      <c r="M50" s="2132"/>
      <c r="N50" s="2132"/>
      <c r="O50" s="2145"/>
      <c r="P50" s="3946" t="str">
        <f>A50</f>
        <v>估价对象XX用房的比较价格（楼面单价，元/平方米）</v>
      </c>
      <c r="Q50" s="3947"/>
      <c r="R50" s="3991" t="e">
        <f>ROUND(AVERAGE(R49:V49),0)</f>
        <v>#DIV/0!</v>
      </c>
      <c r="S50" s="3991"/>
      <c r="T50" s="3991"/>
      <c r="U50" s="3991"/>
      <c r="V50" s="3991"/>
      <c r="W50" s="3991"/>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996" t="s">
        <v>2282</v>
      </c>
      <c r="H57" s="3997"/>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t="e">
        <f>C50</f>
        <v>#DIV/0!</v>
      </c>
      <c r="C58" s="635">
        <v>1</v>
      </c>
      <c r="D58" s="2228">
        <v>1</v>
      </c>
      <c r="E58" s="635">
        <f>'数据-汇总表'!E8+'数据-汇总表'!E9</f>
        <v>41680.639999999999</v>
      </c>
      <c r="F58" s="636" t="e">
        <f t="shared" ref="F58:F67" si="15">ROUND(B58*E58/10000,0)</f>
        <v>#DIV/0!</v>
      </c>
      <c r="G58" s="3998"/>
      <c r="H58" s="399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ROUND($C$50*C59*D59,0)</f>
        <v>#DIV/0!</v>
      </c>
      <c r="C59" s="378">
        <f t="shared" ref="C59:C67" si="16">IF($C$57="北京市系数",I59,J59)</f>
        <v>0.8</v>
      </c>
      <c r="D59" s="2229">
        <v>0.25</v>
      </c>
      <c r="E59" s="639">
        <v>0</v>
      </c>
      <c r="F59" s="636" t="e">
        <f t="shared" si="15"/>
        <v>#DIV/0!</v>
      </c>
      <c r="G59" s="4000" t="s">
        <v>2283</v>
      </c>
      <c r="H59" s="1948" t="str">
        <f>项目基本情况!B43</f>
        <v>一级</v>
      </c>
      <c r="I59" s="1556">
        <f>SUMIF(修正!$A$45:$A$56,H59,修正!B45:B56)</f>
        <v>0.8</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ref="B60:B67" si="17">ROUND($C$50*C60*D60,0)</f>
        <v>#DIV/0!</v>
      </c>
      <c r="C60" s="378">
        <f t="shared" si="16"/>
        <v>0.5</v>
      </c>
      <c r="D60" s="2229">
        <v>0.25</v>
      </c>
      <c r="E60" s="639">
        <v>0</v>
      </c>
      <c r="F60" s="636" t="e">
        <f t="shared" si="15"/>
        <v>#DIV/0!</v>
      </c>
      <c r="G60" s="4000"/>
      <c r="H60" s="1948" t="str">
        <f>项目基本情况!B43</f>
        <v>一级</v>
      </c>
      <c r="I60" s="1556">
        <f>SUMIF(修正!$A$45:$A$56,H60,修正!C45:C56)</f>
        <v>0.5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0.36</v>
      </c>
      <c r="D61" s="2229">
        <v>0.25</v>
      </c>
      <c r="E61" s="639">
        <v>0</v>
      </c>
      <c r="F61" s="636" t="e">
        <f t="shared" si="15"/>
        <v>#DIV/0!</v>
      </c>
      <c r="G61" s="4000"/>
      <c r="H61" s="1948" t="str">
        <f>项目基本情况!B43</f>
        <v>一级</v>
      </c>
      <c r="I61" s="1556">
        <f>SUMIF(修正!$A$45:$A$56,H61,修正!D45:D56)</f>
        <v>0.36</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t="e">
        <f t="shared" si="17"/>
        <v>#DIV/0!</v>
      </c>
      <c r="C62" s="378">
        <f t="shared" si="16"/>
        <v>0.3</v>
      </c>
      <c r="D62" s="2229">
        <v>0.25</v>
      </c>
      <c r="E62" s="639">
        <v>0</v>
      </c>
      <c r="F62" s="636" t="e">
        <f t="shared" si="15"/>
        <v>#DIV/0!</v>
      </c>
      <c r="G62" s="4000"/>
      <c r="H62" s="1948" t="str">
        <f>项目基本情况!B43</f>
        <v>一级</v>
      </c>
      <c r="I62" s="1556">
        <f>SUMIF(修正!$A$45:$A$56,H62,修正!E45:E56)</f>
        <v>0.3</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t="e">
        <f t="shared" si="17"/>
        <v>#DIV/0!</v>
      </c>
      <c r="C63" s="378">
        <f t="shared" si="16"/>
        <v>0.3</v>
      </c>
      <c r="D63" s="2229">
        <v>0.25</v>
      </c>
      <c r="E63" s="641">
        <f>'数据-汇总表'!E11</f>
        <v>2822.18</v>
      </c>
      <c r="F63" s="636" t="e">
        <f t="shared" si="15"/>
        <v>#DIV/0!</v>
      </c>
      <c r="G63" s="1945" t="s">
        <v>2284</v>
      </c>
      <c r="H63" s="1948" t="str">
        <f>项目基本情况!C43</f>
        <v>一级</v>
      </c>
      <c r="I63" s="1556">
        <f>SUMIF(修正!$A$45:$A$56,H63,修正!F45:F56)</f>
        <v>0.3</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t="e">
        <f t="shared" si="17"/>
        <v>#DIV/0!</v>
      </c>
      <c r="C64" s="378">
        <f t="shared" si="16"/>
        <v>0.3</v>
      </c>
      <c r="D64" s="2229">
        <v>0.25</v>
      </c>
      <c r="E64" s="641">
        <f>'数据-汇总表'!E12</f>
        <v>0</v>
      </c>
      <c r="F64" s="636" t="e">
        <f t="shared" si="15"/>
        <v>#DIV/0!</v>
      </c>
      <c r="G64" s="1946" t="s">
        <v>1678</v>
      </c>
      <c r="H64" s="1944" t="str">
        <f>IF(G64="商业",项目基本情况!B43,IF(G64="办公",项目基本情况!C43,IF(G64="住宅",项目基本情况!D43,项目基本情况!E43)))</f>
        <v>一级</v>
      </c>
      <c r="I64" s="1556">
        <f>SUMIF(修正!$A$45:$A$56,H64,修正!G45:G56)</f>
        <v>0.3</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t="e">
        <f t="shared" si="17"/>
        <v>#DIV/0!</v>
      </c>
      <c r="C65" s="378">
        <f t="shared" si="16"/>
        <v>0</v>
      </c>
      <c r="D65" s="2229">
        <v>0.25</v>
      </c>
      <c r="E65" s="641">
        <f>'数据-汇总表'!E13</f>
        <v>15122.64</v>
      </c>
      <c r="F65" s="636" t="e">
        <f t="shared" si="15"/>
        <v>#DIV/0!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t="e">
        <f t="shared" si="17"/>
        <v>#DIV/0!</v>
      </c>
      <c r="C66" s="378">
        <f t="shared" si="16"/>
        <v>0.25</v>
      </c>
      <c r="D66" s="2229">
        <v>0.25</v>
      </c>
      <c r="E66" s="641">
        <f>'数据-汇总表'!E14</f>
        <v>0</v>
      </c>
      <c r="F66" s="636" t="e">
        <f t="shared" si="15"/>
        <v>#DIV/0!</v>
      </c>
      <c r="G66" s="1945" t="s">
        <v>2283</v>
      </c>
      <c r="H66" s="1948" t="str">
        <f>项目基本情况!B43</f>
        <v>一级</v>
      </c>
      <c r="I66" s="1556">
        <f>SUMIF(修正!$A$45:$A$56,H66,修正!H45:H56)</f>
        <v>0.25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t="e">
        <f t="shared" si="17"/>
        <v>#DIV/0!</v>
      </c>
      <c r="C67" s="378">
        <f t="shared" si="16"/>
        <v>0.25</v>
      </c>
      <c r="D67" s="2229">
        <v>0.25</v>
      </c>
      <c r="E67" s="641">
        <f>'数据-汇总表'!E15</f>
        <v>0</v>
      </c>
      <c r="F67" s="636" t="e">
        <f t="shared" si="15"/>
        <v>#DIV/0!</v>
      </c>
      <c r="G67" s="1947" t="s">
        <v>2284</v>
      </c>
      <c r="H67" s="1949" t="str">
        <f>项目基本情况!C43</f>
        <v>一级</v>
      </c>
      <c r="I67" s="1556">
        <f>SUMIF(修正!$A$45:$A$56,H67,修正!H45:H56)</f>
        <v>0.25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6130.06</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"北京市平均增长率"&amp;TEXT(SUMIF('基准地价-商业'!N21:N25,A73,'基准地价-商业'!P21:P25),"0.00%")</f>
        <v>北京市平均增长率2.13%</v>
      </c>
      <c r="C73" s="894">
        <v>100</v>
      </c>
      <c r="D73" s="730"/>
      <c r="E73" s="730"/>
      <c r="F73" s="730"/>
      <c r="G73" s="730"/>
      <c r="H73" s="730"/>
      <c r="I73" s="730"/>
      <c r="J73" s="730"/>
      <c r="K73" s="730"/>
      <c r="L73" s="730"/>
      <c r="M73" s="2770"/>
      <c r="N73" s="2771"/>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14" priority="14" stopIfTrue="1" operator="containsText" text="超过">
      <formula>NOT(ISERROR(SEARCH("超过",F53)))</formula>
    </cfRule>
  </conditionalFormatting>
  <conditionalFormatting sqref="J55">
    <cfRule type="containsText" dxfId="113" priority="13" stopIfTrue="1" operator="containsText" text="超过">
      <formula>NOT(ISERROR(SEARCH("超过",J55)))</formula>
    </cfRule>
  </conditionalFormatting>
  <conditionalFormatting sqref="H55">
    <cfRule type="containsText" dxfId="112" priority="12" stopIfTrue="1" operator="containsText" text="超过">
      <formula>NOT(ISERROR(SEARCH("超过",H55)))</formula>
    </cfRule>
  </conditionalFormatting>
  <conditionalFormatting sqref="F55">
    <cfRule type="containsText" dxfId="111" priority="11" stopIfTrue="1" operator="containsText" text="超过">
      <formula>NOT(ISERROR(SEARCH("超过",F55)))</formula>
    </cfRule>
  </conditionalFormatting>
  <conditionalFormatting sqref="F54 H54 J54">
    <cfRule type="containsText" dxfId="110" priority="10" stopIfTrue="1" operator="containsText" text="超过">
      <formula>NOT(ISERROR(SEARCH("超过",F54)))</formula>
    </cfRule>
  </conditionalFormatting>
  <conditionalFormatting sqref="E53">
    <cfRule type="expression" dxfId="109" priority="9" stopIfTrue="1">
      <formula>$F$53="超过30%"</formula>
    </cfRule>
  </conditionalFormatting>
  <conditionalFormatting sqref="G55">
    <cfRule type="expression" dxfId="108" priority="8" stopIfTrue="1">
      <formula>$H$55="超过30%"</formula>
    </cfRule>
  </conditionalFormatting>
  <conditionalFormatting sqref="E54">
    <cfRule type="expression" dxfId="107" priority="7" stopIfTrue="1">
      <formula>$F$54="超过20%"</formula>
    </cfRule>
  </conditionalFormatting>
  <conditionalFormatting sqref="E55">
    <cfRule type="expression" dxfId="106" priority="6" stopIfTrue="1">
      <formula>$F$55="超过30%"</formula>
    </cfRule>
  </conditionalFormatting>
  <conditionalFormatting sqref="G53">
    <cfRule type="expression" dxfId="105" priority="5" stopIfTrue="1">
      <formula>$H$55+$H$53="超过30%"</formula>
    </cfRule>
  </conditionalFormatting>
  <conditionalFormatting sqref="G54">
    <cfRule type="expression" dxfId="104" priority="4" stopIfTrue="1">
      <formula>$H$54="超过20%"</formula>
    </cfRule>
  </conditionalFormatting>
  <conditionalFormatting sqref="I53">
    <cfRule type="expression" dxfId="103" priority="3" stopIfTrue="1">
      <formula>$J$53="超过30%"</formula>
    </cfRule>
  </conditionalFormatting>
  <conditionalFormatting sqref="I54">
    <cfRule type="expression" dxfId="102" priority="2" stopIfTrue="1">
      <formula>$J$54="超过20%"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6130.06平方米。根据《建设工程规划许可证》[]、《出让合同》[]，估价对象规划建筑面积为59625.46平方米。</v>
      </c>
    </row>
    <row r="7" spans="1:4" ht="56.25">
      <c r="A7" s="1795"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2019年3月28日</v>
      </c>
    </row>
    <row r="12" spans="1:4" ht="18.75">
      <c r="A12" s="1797" t="s">
        <v>2026</v>
      </c>
    </row>
    <row r="13" spans="1:4" ht="18.75">
      <c r="A13" s="1791" t="s">
        <v>2943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根据《国有土地使用证》[]，估价对象（分摊）出让国有建设用地使用权面积为6130.06平方米。根据《建设工程规划许可证》[]、《出让合同》[]，估价对象规划建筑面积为59625.46平方米。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20日、办公2054年7月14日、车库2054年7月14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收益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957" t="s">
        <v>522</v>
      </c>
      <c r="D6" s="3958"/>
      <c r="E6" s="3959" t="s">
        <v>523</v>
      </c>
      <c r="F6" s="3960"/>
      <c r="G6" s="3957" t="s">
        <v>524</v>
      </c>
      <c r="H6" s="3958"/>
      <c r="I6" s="3957" t="s">
        <v>525</v>
      </c>
      <c r="J6" s="3958"/>
      <c r="K6" s="514" t="s">
        <v>526</v>
      </c>
      <c r="L6" s="2133"/>
      <c r="M6" s="2134"/>
      <c r="N6" s="2134"/>
      <c r="O6" s="2134"/>
      <c r="P6" s="3961" t="s">
        <v>527</v>
      </c>
      <c r="Q6" s="3962"/>
      <c r="R6" s="3967" t="s">
        <v>523</v>
      </c>
      <c r="S6" s="3968"/>
      <c r="T6" s="3967" t="s">
        <v>524</v>
      </c>
      <c r="U6" s="3968"/>
      <c r="V6" s="3973" t="s">
        <v>525</v>
      </c>
      <c r="W6" s="3973"/>
      <c r="X6" s="1567"/>
      <c r="Y6" s="3967" t="s">
        <v>527</v>
      </c>
      <c r="Z6" s="3968"/>
      <c r="AA6" s="3954" t="s">
        <v>523</v>
      </c>
      <c r="AB6" s="3955" t="s">
        <v>524</v>
      </c>
      <c r="AC6" s="3954" t="s">
        <v>525</v>
      </c>
    </row>
    <row r="7" spans="1:29" ht="15">
      <c r="A7" s="515"/>
      <c r="B7" s="516"/>
      <c r="C7" s="3993" t="s">
        <v>2931</v>
      </c>
      <c r="D7" s="3977"/>
      <c r="E7" s="4001" t="s">
        <v>2932</v>
      </c>
      <c r="F7" s="3984"/>
      <c r="G7" s="3993" t="s">
        <v>2933</v>
      </c>
      <c r="H7" s="3977"/>
      <c r="I7" s="3993" t="s">
        <v>2934</v>
      </c>
      <c r="J7" s="3977"/>
      <c r="K7" s="514"/>
      <c r="L7" s="2133"/>
      <c r="M7" s="2134"/>
      <c r="N7" s="2134"/>
      <c r="O7" s="2134"/>
      <c r="P7" s="3963"/>
      <c r="Q7" s="3964"/>
      <c r="R7" s="3969"/>
      <c r="S7" s="3970"/>
      <c r="T7" s="3969"/>
      <c r="U7" s="3970"/>
      <c r="V7" s="3973"/>
      <c r="W7" s="3973"/>
      <c r="X7" s="1567"/>
      <c r="Y7" s="3969"/>
      <c r="Z7" s="3970"/>
      <c r="AA7" s="3955"/>
      <c r="AB7" s="3955"/>
      <c r="AC7" s="3955"/>
    </row>
    <row r="8" spans="1:29" ht="15.75" thickBot="1">
      <c r="A8" s="517"/>
      <c r="B8" s="518"/>
      <c r="C8" s="3974" t="s">
        <v>2935</v>
      </c>
      <c r="D8" s="3975"/>
      <c r="E8" s="3981" t="s">
        <v>2935</v>
      </c>
      <c r="F8" s="3982"/>
      <c r="G8" s="3974" t="s">
        <v>2935</v>
      </c>
      <c r="H8" s="3975"/>
      <c r="I8" s="3974" t="s">
        <v>2935</v>
      </c>
      <c r="J8" s="3975"/>
      <c r="K8" s="514" t="s">
        <v>528</v>
      </c>
      <c r="L8" s="2133"/>
      <c r="M8" s="2134"/>
      <c r="N8" s="2134"/>
      <c r="O8" s="2134"/>
      <c r="P8" s="3965"/>
      <c r="Q8" s="3966"/>
      <c r="R8" s="3969"/>
      <c r="S8" s="3970"/>
      <c r="T8" s="3971"/>
      <c r="U8" s="3972"/>
      <c r="V8" s="3973"/>
      <c r="W8" s="3973"/>
      <c r="X8" s="1567"/>
      <c r="Y8" s="3971"/>
      <c r="Z8" s="3972"/>
      <c r="AA8" s="3956"/>
      <c r="AB8" s="3956"/>
      <c r="AC8" s="3956"/>
    </row>
    <row r="9" spans="1:29" s="1220" customFormat="1" ht="15.75" thickBot="1">
      <c r="A9" s="2890"/>
      <c r="B9" s="2897" t="s">
        <v>529</v>
      </c>
      <c r="C9" s="519">
        <f>'数据-取费表'!B2</f>
        <v>43552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978" t="s">
        <v>530</v>
      </c>
      <c r="Q9" s="3980"/>
      <c r="R9" s="1568" t="s">
        <v>8</v>
      </c>
      <c r="S9" s="1569">
        <f t="shared" ref="S9:S17" si="0">F9</f>
        <v>0</v>
      </c>
      <c r="T9" s="1568" t="s">
        <v>8</v>
      </c>
      <c r="U9" s="1569">
        <f t="shared" ref="U9:U17" si="1">H9</f>
        <v>0</v>
      </c>
      <c r="V9" s="1568" t="s">
        <v>8</v>
      </c>
      <c r="W9" s="1569">
        <f t="shared" ref="W9:W17" si="2">J9</f>
        <v>0</v>
      </c>
      <c r="X9" s="1570"/>
      <c r="Y9" s="3978" t="s">
        <v>530</v>
      </c>
      <c r="Z9" s="3979"/>
      <c r="AA9" s="1571" t="e">
        <f>D9/F9</f>
        <v>#DIV/0!</v>
      </c>
      <c r="AB9" s="1571" t="e">
        <f>D9/H9</f>
        <v>#DIV/0!</v>
      </c>
      <c r="AC9" s="1571"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978" t="s">
        <v>533</v>
      </c>
      <c r="Q10" s="3979"/>
      <c r="R10" s="1568" t="s">
        <v>8</v>
      </c>
      <c r="S10" s="1569">
        <f t="shared" si="0"/>
        <v>0</v>
      </c>
      <c r="T10" s="1568" t="s">
        <v>8</v>
      </c>
      <c r="U10" s="1569">
        <f t="shared" si="1"/>
        <v>0</v>
      </c>
      <c r="V10" s="1568" t="s">
        <v>8</v>
      </c>
      <c r="W10" s="1569">
        <f t="shared" si="2"/>
        <v>0</v>
      </c>
      <c r="X10" s="1570"/>
      <c r="Y10" s="3978" t="s">
        <v>533</v>
      </c>
      <c r="Z10" s="3979"/>
      <c r="AA10" s="1571" t="e">
        <f t="shared" ref="AA10:AA42" si="3">D10/F10</f>
        <v>#DIV/0!</v>
      </c>
      <c r="AB10" s="1571" t="e">
        <f t="shared" ref="AB10:AB42" si="4">D10/H10</f>
        <v>#DIV/0!</v>
      </c>
      <c r="AC10" s="1571"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944" t="s">
        <v>535</v>
      </c>
      <c r="Q11" s="1151" t="str">
        <f t="shared" ref="Q11:Q17" si="6">B11</f>
        <v>用途</v>
      </c>
      <c r="R11" s="1568" t="s">
        <v>8</v>
      </c>
      <c r="S11" s="1569">
        <f t="shared" si="0"/>
        <v>100</v>
      </c>
      <c r="T11" s="1568" t="s">
        <v>8</v>
      </c>
      <c r="U11" s="1569">
        <f t="shared" si="1"/>
        <v>100</v>
      </c>
      <c r="V11" s="1568" t="s">
        <v>8</v>
      </c>
      <c r="W11" s="1569">
        <f t="shared" si="2"/>
        <v>100</v>
      </c>
      <c r="X11" s="1570"/>
      <c r="Y11" s="3798" t="s">
        <v>536</v>
      </c>
      <c r="Z11" s="1150" t="str">
        <f t="shared" ref="Z11:Z17" si="7">Q11</f>
        <v>用途</v>
      </c>
      <c r="AA11" s="1571">
        <f t="shared" si="3"/>
        <v>1</v>
      </c>
      <c r="AB11" s="1571">
        <f t="shared" si="4"/>
        <v>1</v>
      </c>
      <c r="AC11" s="1571">
        <f t="shared" si="5"/>
        <v>1</v>
      </c>
    </row>
    <row r="12" spans="1:29" s="1338" customFormat="1" ht="27">
      <c r="A12" s="2893"/>
      <c r="B12" s="2898" t="s">
        <v>2758</v>
      </c>
      <c r="C12" s="528"/>
      <c r="D12" s="255">
        <v>100</v>
      </c>
      <c r="E12" s="528"/>
      <c r="F12" s="255">
        <f>ROUND(100/'数据-取费表'!G16,0)</f>
        <v>113</v>
      </c>
      <c r="G12" s="528"/>
      <c r="H12" s="255">
        <f>ROUND(100/'数据-取费表'!G16,0)</f>
        <v>113</v>
      </c>
      <c r="I12" s="528"/>
      <c r="J12" s="255">
        <f>ROUND(100/'数据-取费表'!G16,0)</f>
        <v>113</v>
      </c>
      <c r="K12" s="531"/>
      <c r="L12" s="2138"/>
      <c r="M12" s="2178"/>
      <c r="N12" s="2178"/>
      <c r="O12" s="2139"/>
      <c r="P12" s="3944"/>
      <c r="Q12" s="1151" t="str">
        <f t="shared" si="6"/>
        <v>土地使用年限（年）</v>
      </c>
      <c r="R12" s="1568" t="s">
        <v>8</v>
      </c>
      <c r="S12" s="1569">
        <f t="shared" si="0"/>
        <v>113</v>
      </c>
      <c r="T12" s="1568" t="s">
        <v>8</v>
      </c>
      <c r="U12" s="1569">
        <f t="shared" si="1"/>
        <v>113</v>
      </c>
      <c r="V12" s="1568" t="s">
        <v>8</v>
      </c>
      <c r="W12" s="1569">
        <f t="shared" si="2"/>
        <v>113</v>
      </c>
      <c r="X12" s="1570"/>
      <c r="Y12" s="3798"/>
      <c r="Z12" s="1150" t="str">
        <f t="shared" si="7"/>
        <v>土地使用年限（年）</v>
      </c>
      <c r="AA12" s="1571">
        <f t="shared" si="3"/>
        <v>0.88495575221238942</v>
      </c>
      <c r="AB12" s="1571">
        <f t="shared" si="4"/>
        <v>0.88495575221238942</v>
      </c>
      <c r="AC12" s="1571">
        <f t="shared" si="5"/>
        <v>0.88495575221238942</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944"/>
      <c r="Q13" s="1151" t="str">
        <f t="shared" si="6"/>
        <v>容积率</v>
      </c>
      <c r="R13" s="1568" t="s">
        <v>8</v>
      </c>
      <c r="S13" s="1569" t="e">
        <f t="shared" si="0"/>
        <v>#N/A</v>
      </c>
      <c r="T13" s="1568" t="s">
        <v>8</v>
      </c>
      <c r="U13" s="1569" t="e">
        <f t="shared" si="1"/>
        <v>#N/A</v>
      </c>
      <c r="V13" s="1568" t="s">
        <v>8</v>
      </c>
      <c r="W13" s="1569" t="e">
        <f t="shared" si="2"/>
        <v>#N/A</v>
      </c>
      <c r="X13" s="1570"/>
      <c r="Y13" s="3798"/>
      <c r="Z13" s="1150" t="str">
        <f t="shared" si="7"/>
        <v>容积率</v>
      </c>
      <c r="AA13" s="1571" t="e">
        <f t="shared" si="3"/>
        <v>#N/A</v>
      </c>
      <c r="AB13" s="1571" t="e">
        <f t="shared" si="4"/>
        <v>#N/A</v>
      </c>
      <c r="AC13" s="1571"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944"/>
      <c r="Q14" s="1151">
        <f t="shared" si="6"/>
        <v>111</v>
      </c>
      <c r="R14" s="1568" t="s">
        <v>8</v>
      </c>
      <c r="S14" s="1569">
        <f t="shared" si="0"/>
        <v>100</v>
      </c>
      <c r="T14" s="1568" t="s">
        <v>8</v>
      </c>
      <c r="U14" s="1569">
        <f t="shared" si="1"/>
        <v>100</v>
      </c>
      <c r="V14" s="1568" t="s">
        <v>8</v>
      </c>
      <c r="W14" s="1569">
        <f t="shared" si="2"/>
        <v>100</v>
      </c>
      <c r="X14" s="1570"/>
      <c r="Y14" s="3798"/>
      <c r="Z14" s="1150">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944"/>
      <c r="Q15" s="1151">
        <f t="shared" si="6"/>
        <v>111</v>
      </c>
      <c r="R15" s="1568" t="s">
        <v>8</v>
      </c>
      <c r="S15" s="1569">
        <f t="shared" si="0"/>
        <v>100</v>
      </c>
      <c r="T15" s="1568" t="s">
        <v>8</v>
      </c>
      <c r="U15" s="1569">
        <f t="shared" si="1"/>
        <v>100</v>
      </c>
      <c r="V15" s="1568" t="s">
        <v>8</v>
      </c>
      <c r="W15" s="1569">
        <f t="shared" si="2"/>
        <v>100</v>
      </c>
      <c r="X15" s="1570"/>
      <c r="Y15" s="3798"/>
      <c r="Z15" s="1150">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944"/>
      <c r="Q16" s="1151">
        <f t="shared" si="6"/>
        <v>111</v>
      </c>
      <c r="R16" s="1568" t="s">
        <v>8</v>
      </c>
      <c r="S16" s="1569">
        <f t="shared" si="0"/>
        <v>100</v>
      </c>
      <c r="T16" s="1568" t="s">
        <v>8</v>
      </c>
      <c r="U16" s="1569">
        <f t="shared" si="1"/>
        <v>100</v>
      </c>
      <c r="V16" s="1568" t="s">
        <v>8</v>
      </c>
      <c r="W16" s="1569">
        <f t="shared" si="2"/>
        <v>100</v>
      </c>
      <c r="X16" s="1570"/>
      <c r="Y16" s="3798"/>
      <c r="Z16" s="1150">
        <f t="shared" si="7"/>
        <v>111</v>
      </c>
      <c r="AA16" s="1571">
        <f t="shared" si="3"/>
        <v>1</v>
      </c>
      <c r="AB16" s="1571">
        <f t="shared" si="4"/>
        <v>1</v>
      </c>
      <c r="AC16" s="1571">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949" t="s">
        <v>540</v>
      </c>
      <c r="Q17" s="1572" t="str">
        <f t="shared" si="6"/>
        <v>产业集聚程度</v>
      </c>
      <c r="R17" s="1573" t="s">
        <v>8</v>
      </c>
      <c r="S17" s="1574">
        <f t="shared" si="0"/>
        <v>100</v>
      </c>
      <c r="T17" s="1573" t="s">
        <v>8</v>
      </c>
      <c r="U17" s="1574">
        <f t="shared" si="1"/>
        <v>100</v>
      </c>
      <c r="V17" s="1573" t="s">
        <v>8</v>
      </c>
      <c r="W17" s="1574">
        <f t="shared" si="2"/>
        <v>100</v>
      </c>
      <c r="X17" s="1567"/>
      <c r="Y17" s="394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950"/>
      <c r="Q18" s="1572"/>
      <c r="R18" s="1573"/>
      <c r="S18" s="1574"/>
      <c r="T18" s="1573"/>
      <c r="U18" s="1574"/>
      <c r="V18" s="1573"/>
      <c r="W18" s="1574"/>
      <c r="X18" s="1567"/>
      <c r="Y18" s="395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950"/>
      <c r="Q19" s="1572" t="str">
        <f>B19</f>
        <v>交通便捷度</v>
      </c>
      <c r="R19" s="1573" t="s">
        <v>8</v>
      </c>
      <c r="S19" s="1574">
        <f>F19</f>
        <v>100</v>
      </c>
      <c r="T19" s="1573" t="s">
        <v>8</v>
      </c>
      <c r="U19" s="1574">
        <f>H19</f>
        <v>100</v>
      </c>
      <c r="V19" s="1573" t="s">
        <v>8</v>
      </c>
      <c r="W19" s="1574">
        <f>J19</f>
        <v>100</v>
      </c>
      <c r="X19" s="1567"/>
      <c r="Y19" s="395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950"/>
      <c r="Q20" s="1572"/>
      <c r="R20" s="1573"/>
      <c r="S20" s="1574"/>
      <c r="T20" s="1573"/>
      <c r="U20" s="1574"/>
      <c r="V20" s="1573"/>
      <c r="W20" s="1574"/>
      <c r="X20" s="1567"/>
      <c r="Y20" s="395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950"/>
      <c r="Q21" s="1572" t="str">
        <f t="shared" ref="Q21:Q35" si="8">B21</f>
        <v>区域土地利用方向</v>
      </c>
      <c r="R21" s="1573" t="s">
        <v>8</v>
      </c>
      <c r="S21" s="1574">
        <f>F21</f>
        <v>100</v>
      </c>
      <c r="T21" s="1573" t="s">
        <v>8</v>
      </c>
      <c r="U21" s="1574">
        <f>H21</f>
        <v>100</v>
      </c>
      <c r="V21" s="1573" t="s">
        <v>8</v>
      </c>
      <c r="W21" s="1574">
        <f>J21</f>
        <v>100</v>
      </c>
      <c r="X21" s="1567"/>
      <c r="Y21" s="395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950"/>
      <c r="Q22" s="1572"/>
      <c r="R22" s="1573"/>
      <c r="S22" s="1574"/>
      <c r="T22" s="1573"/>
      <c r="U22" s="1574"/>
      <c r="V22" s="1573"/>
      <c r="W22" s="1574"/>
      <c r="X22" s="1567"/>
      <c r="Y22" s="395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950"/>
      <c r="Q23" s="1572" t="str">
        <f t="shared" si="8"/>
        <v>环境状况</v>
      </c>
      <c r="R23" s="1573" t="s">
        <v>8</v>
      </c>
      <c r="S23" s="1574">
        <f>F23</f>
        <v>100</v>
      </c>
      <c r="T23" s="1573" t="s">
        <v>8</v>
      </c>
      <c r="U23" s="1574">
        <f>H23</f>
        <v>100</v>
      </c>
      <c r="V23" s="1573" t="s">
        <v>8</v>
      </c>
      <c r="W23" s="1574">
        <f>J23</f>
        <v>100</v>
      </c>
      <c r="X23" s="1567"/>
      <c r="Y23" s="395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950"/>
      <c r="Q24" s="1572"/>
      <c r="R24" s="1573"/>
      <c r="S24" s="1574"/>
      <c r="T24" s="1573"/>
      <c r="U24" s="1574"/>
      <c r="V24" s="1573"/>
      <c r="W24" s="1574"/>
      <c r="X24" s="1567"/>
      <c r="Y24" s="3950"/>
      <c r="Z24" s="1575"/>
      <c r="AA24" s="1576">
        <v>1</v>
      </c>
      <c r="AB24" s="1576">
        <v>1</v>
      </c>
      <c r="AC24" s="1576">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950"/>
      <c r="Q25" s="1151" t="str">
        <f t="shared" si="8"/>
        <v>公共配套设施</v>
      </c>
      <c r="R25" s="1568" t="s">
        <v>8</v>
      </c>
      <c r="S25" s="1569">
        <f>F25</f>
        <v>100</v>
      </c>
      <c r="T25" s="1568" t="s">
        <v>8</v>
      </c>
      <c r="U25" s="1569">
        <f>H25</f>
        <v>100</v>
      </c>
      <c r="V25" s="1568" t="s">
        <v>8</v>
      </c>
      <c r="W25" s="1569">
        <f>J25</f>
        <v>100</v>
      </c>
      <c r="X25" s="1570"/>
      <c r="Y25" s="3950"/>
      <c r="Z25" s="1150" t="str">
        <f>Q25</f>
        <v>公共配套设施</v>
      </c>
      <c r="AA25" s="1576">
        <f>D25/F25</f>
        <v>1</v>
      </c>
      <c r="AB25" s="1576">
        <f>D25/H25</f>
        <v>1</v>
      </c>
      <c r="AC25" s="1576">
        <f>D25/J25</f>
        <v>1</v>
      </c>
    </row>
    <row r="26" spans="1:29" s="1220" customFormat="1" ht="15">
      <c r="A26" s="577"/>
      <c r="B26" s="595"/>
      <c r="C26" s="2571"/>
      <c r="D26" s="555"/>
      <c r="E26" s="554"/>
      <c r="F26" s="555"/>
      <c r="G26" s="554"/>
      <c r="H26" s="555"/>
      <c r="I26" s="576"/>
      <c r="J26" s="555"/>
      <c r="K26" s="531"/>
      <c r="L26" s="2135"/>
      <c r="M26" s="2136"/>
      <c r="N26" s="2136"/>
      <c r="O26" s="2137"/>
      <c r="P26" s="3950"/>
      <c r="Q26" s="1151"/>
      <c r="R26" s="1568"/>
      <c r="S26" s="1569"/>
      <c r="T26" s="1568"/>
      <c r="U26" s="1569"/>
      <c r="V26" s="1568"/>
      <c r="W26" s="1569"/>
      <c r="X26" s="1570"/>
      <c r="Y26" s="3950"/>
      <c r="Z26" s="1150"/>
      <c r="AA26" s="1571">
        <v>1</v>
      </c>
      <c r="AB26" s="1571">
        <v>1</v>
      </c>
      <c r="AC26" s="1571">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950"/>
      <c r="Q27" s="2557" t="str">
        <f t="shared" ref="Q27" si="9">B27</f>
        <v>基础设施水平</v>
      </c>
      <c r="R27" s="1568" t="s">
        <v>8</v>
      </c>
      <c r="S27" s="1569">
        <f>F27</f>
        <v>100</v>
      </c>
      <c r="T27" s="1568" t="s">
        <v>8</v>
      </c>
      <c r="U27" s="1569">
        <f>H27</f>
        <v>100</v>
      </c>
      <c r="V27" s="1568" t="s">
        <v>8</v>
      </c>
      <c r="W27" s="1569">
        <f>J27</f>
        <v>100</v>
      </c>
      <c r="X27" s="1570"/>
      <c r="Y27" s="3950"/>
      <c r="Z27" s="2554" t="str">
        <f>Q27</f>
        <v>基础设施水平</v>
      </c>
      <c r="AA27" s="1576">
        <f>D27/F27</f>
        <v>1</v>
      </c>
      <c r="AB27" s="1576">
        <f>D27/H27</f>
        <v>1</v>
      </c>
      <c r="AC27" s="1576">
        <f>D27/J27</f>
        <v>1</v>
      </c>
    </row>
    <row r="28" spans="1:29" s="1220" customFormat="1" ht="15">
      <c r="A28" s="577"/>
      <c r="B28" s="595"/>
      <c r="C28" s="2571"/>
      <c r="D28" s="555"/>
      <c r="E28" s="579"/>
      <c r="F28" s="555"/>
      <c r="G28" s="579"/>
      <c r="H28" s="555"/>
      <c r="I28" s="579"/>
      <c r="J28" s="555"/>
      <c r="K28" s="531"/>
      <c r="L28" s="2135"/>
      <c r="M28" s="2136"/>
      <c r="N28" s="2136"/>
      <c r="O28" s="2137"/>
      <c r="P28" s="3950"/>
      <c r="Q28" s="2557"/>
      <c r="R28" s="1568"/>
      <c r="S28" s="1569"/>
      <c r="T28" s="1568"/>
      <c r="U28" s="1569"/>
      <c r="V28" s="1568"/>
      <c r="W28" s="1569"/>
      <c r="X28" s="1570"/>
      <c r="Y28" s="3950"/>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95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950"/>
      <c r="Z29" s="1575" t="str">
        <f t="shared" ref="Z29:Z42" si="13">Q29</f>
        <v>临街状况</v>
      </c>
      <c r="AA29" s="1576">
        <f t="shared" si="3"/>
        <v>1</v>
      </c>
      <c r="AB29" s="1576">
        <f t="shared" si="4"/>
        <v>1</v>
      </c>
      <c r="AC29" s="1576">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950"/>
      <c r="Q30" s="1572" t="str">
        <f t="shared" si="8"/>
        <v>毗邻道路的类型与等级</v>
      </c>
      <c r="R30" s="1573" t="s">
        <v>8</v>
      </c>
      <c r="S30" s="1574">
        <f t="shared" si="10"/>
        <v>100</v>
      </c>
      <c r="T30" s="1573" t="s">
        <v>8</v>
      </c>
      <c r="U30" s="1574">
        <f t="shared" si="11"/>
        <v>100</v>
      </c>
      <c r="V30" s="1573" t="s">
        <v>8</v>
      </c>
      <c r="W30" s="1574">
        <f t="shared" si="12"/>
        <v>100</v>
      </c>
      <c r="X30" s="1567"/>
      <c r="Y30" s="395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950"/>
      <c r="Q31" s="1572"/>
      <c r="R31" s="1573"/>
      <c r="S31" s="1574"/>
      <c r="T31" s="1573"/>
      <c r="U31" s="1574"/>
      <c r="V31" s="1573"/>
      <c r="W31" s="1574"/>
      <c r="X31" s="1567"/>
      <c r="Y31" s="3950"/>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950"/>
      <c r="Q32" s="1572" t="str">
        <f t="shared" si="8"/>
        <v>土地级别</v>
      </c>
      <c r="R32" s="1573" t="s">
        <v>8</v>
      </c>
      <c r="S32" s="1574">
        <f t="shared" si="10"/>
        <v>100</v>
      </c>
      <c r="T32" s="1573" t="s">
        <v>8</v>
      </c>
      <c r="U32" s="1574">
        <f t="shared" si="11"/>
        <v>100</v>
      </c>
      <c r="V32" s="1573" t="s">
        <v>8</v>
      </c>
      <c r="W32" s="1574">
        <f t="shared" si="12"/>
        <v>100</v>
      </c>
      <c r="X32" s="1567"/>
      <c r="Y32" s="395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950"/>
      <c r="Q33" s="1572">
        <f t="shared" si="8"/>
        <v>111</v>
      </c>
      <c r="R33" s="1573" t="s">
        <v>8</v>
      </c>
      <c r="S33" s="1574">
        <f t="shared" si="10"/>
        <v>100</v>
      </c>
      <c r="T33" s="1573" t="s">
        <v>8</v>
      </c>
      <c r="U33" s="1574">
        <f t="shared" si="11"/>
        <v>100</v>
      </c>
      <c r="V33" s="1573" t="s">
        <v>8</v>
      </c>
      <c r="W33" s="1574">
        <f t="shared" si="12"/>
        <v>100</v>
      </c>
      <c r="X33" s="1567"/>
      <c r="Y33" s="395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951" t="s">
        <v>550</v>
      </c>
      <c r="Q34" s="1572">
        <f t="shared" si="8"/>
        <v>111</v>
      </c>
      <c r="R34" s="1573" t="s">
        <v>8</v>
      </c>
      <c r="S34" s="1574">
        <f t="shared" si="10"/>
        <v>100</v>
      </c>
      <c r="T34" s="1573" t="s">
        <v>8</v>
      </c>
      <c r="U34" s="1574">
        <f t="shared" si="11"/>
        <v>100</v>
      </c>
      <c r="V34" s="1573" t="s">
        <v>8</v>
      </c>
      <c r="W34" s="1574">
        <f t="shared" si="12"/>
        <v>100</v>
      </c>
      <c r="X34" s="1567"/>
      <c r="Y34" s="3952" t="s">
        <v>550</v>
      </c>
      <c r="Z34" s="1575">
        <f t="shared" si="13"/>
        <v>111</v>
      </c>
      <c r="AA34" s="1576">
        <f t="shared" si="3"/>
        <v>1</v>
      </c>
      <c r="AB34" s="1576">
        <f t="shared" si="4"/>
        <v>1</v>
      </c>
      <c r="AC34" s="1576">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952"/>
      <c r="Q35" s="1572">
        <f t="shared" si="8"/>
        <v>111</v>
      </c>
      <c r="R35" s="1577" t="s">
        <v>8</v>
      </c>
      <c r="S35" s="1578">
        <f t="shared" si="10"/>
        <v>100</v>
      </c>
      <c r="T35" s="1577" t="s">
        <v>8</v>
      </c>
      <c r="U35" s="1578">
        <f t="shared" si="11"/>
        <v>100</v>
      </c>
      <c r="V35" s="1577" t="s">
        <v>8</v>
      </c>
      <c r="W35" s="1578">
        <f t="shared" si="12"/>
        <v>100</v>
      </c>
      <c r="X35" s="1579"/>
      <c r="Y35" s="3952"/>
      <c r="Z35" s="1580">
        <f t="shared" si="13"/>
        <v>111</v>
      </c>
      <c r="AA35" s="1576">
        <f t="shared" si="3"/>
        <v>1</v>
      </c>
      <c r="AB35" s="1576">
        <f t="shared" si="4"/>
        <v>1</v>
      </c>
      <c r="AC35" s="1576">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952"/>
      <c r="Q36" s="1572" t="str">
        <f>B36</f>
        <v>宗地面积</v>
      </c>
      <c r="R36" s="1573" t="s">
        <v>8</v>
      </c>
      <c r="S36" s="1574" t="e">
        <f t="shared" si="10"/>
        <v>#N/A</v>
      </c>
      <c r="T36" s="1573" t="s">
        <v>8</v>
      </c>
      <c r="U36" s="1574" t="e">
        <f t="shared" si="11"/>
        <v>#N/A</v>
      </c>
      <c r="V36" s="1573" t="s">
        <v>8</v>
      </c>
      <c r="W36" s="1574" t="e">
        <f t="shared" si="12"/>
        <v>#N/A</v>
      </c>
      <c r="X36" s="1567"/>
      <c r="Y36" s="395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952"/>
      <c r="Q37" s="1572" t="str">
        <f t="shared" ref="Q37:Q42" si="14">B37</f>
        <v>宗地形状</v>
      </c>
      <c r="R37" s="1573" t="s">
        <v>8</v>
      </c>
      <c r="S37" s="1574">
        <f t="shared" si="10"/>
        <v>100</v>
      </c>
      <c r="T37" s="1573" t="s">
        <v>8</v>
      </c>
      <c r="U37" s="1574">
        <f t="shared" si="11"/>
        <v>100</v>
      </c>
      <c r="V37" s="1573" t="s">
        <v>8</v>
      </c>
      <c r="W37" s="1574">
        <f t="shared" si="12"/>
        <v>100</v>
      </c>
      <c r="X37" s="1567"/>
      <c r="Y37" s="3952"/>
      <c r="Z37" s="1575" t="str">
        <f t="shared" si="13"/>
        <v>宗地形状</v>
      </c>
      <c r="AA37" s="1576">
        <f t="shared" si="3"/>
        <v>1</v>
      </c>
      <c r="AB37" s="1576">
        <f t="shared" si="4"/>
        <v>1</v>
      </c>
      <c r="AC37" s="1576">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952"/>
      <c r="Q38" s="1572" t="str">
        <f t="shared" si="14"/>
        <v>宗地开发程度</v>
      </c>
      <c r="R38" s="1568" t="s">
        <v>8</v>
      </c>
      <c r="S38" s="1569">
        <f t="shared" si="10"/>
        <v>100</v>
      </c>
      <c r="T38" s="1568" t="s">
        <v>8</v>
      </c>
      <c r="U38" s="1569">
        <f t="shared" si="11"/>
        <v>100</v>
      </c>
      <c r="V38" s="1568" t="s">
        <v>8</v>
      </c>
      <c r="W38" s="1569">
        <f t="shared" si="12"/>
        <v>100</v>
      </c>
      <c r="X38" s="1570"/>
      <c r="Y38" s="395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952" t="s">
        <v>601</v>
      </c>
      <c r="Q39" s="1572" t="str">
        <f t="shared" si="14"/>
        <v>工程地质条件</v>
      </c>
      <c r="R39" s="1573" t="s">
        <v>8</v>
      </c>
      <c r="S39" s="1574">
        <f t="shared" si="10"/>
        <v>100</v>
      </c>
      <c r="T39" s="1573" t="s">
        <v>8</v>
      </c>
      <c r="U39" s="1574">
        <f t="shared" si="11"/>
        <v>100</v>
      </c>
      <c r="V39" s="1573" t="s">
        <v>8</v>
      </c>
      <c r="W39" s="1574">
        <f t="shared" si="12"/>
        <v>100</v>
      </c>
      <c r="X39" s="1567"/>
      <c r="Y39" s="395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952"/>
      <c r="Q40" s="1572">
        <f t="shared" si="14"/>
        <v>111</v>
      </c>
      <c r="R40" s="1573" t="s">
        <v>8</v>
      </c>
      <c r="S40" s="1574">
        <f t="shared" si="10"/>
        <v>100</v>
      </c>
      <c r="T40" s="1573" t="s">
        <v>8</v>
      </c>
      <c r="U40" s="1574">
        <f t="shared" si="11"/>
        <v>100</v>
      </c>
      <c r="V40" s="1573" t="s">
        <v>8</v>
      </c>
      <c r="W40" s="1574">
        <f t="shared" si="12"/>
        <v>100</v>
      </c>
      <c r="X40" s="1567"/>
      <c r="Y40" s="395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952"/>
      <c r="Q41" s="1572">
        <f t="shared" si="14"/>
        <v>111</v>
      </c>
      <c r="R41" s="1573" t="s">
        <v>8</v>
      </c>
      <c r="S41" s="1574">
        <f t="shared" si="10"/>
        <v>100</v>
      </c>
      <c r="T41" s="1573" t="s">
        <v>8</v>
      </c>
      <c r="U41" s="1574">
        <f t="shared" si="11"/>
        <v>100</v>
      </c>
      <c r="V41" s="1573" t="s">
        <v>8</v>
      </c>
      <c r="W41" s="1574">
        <f t="shared" si="12"/>
        <v>100</v>
      </c>
      <c r="X41" s="1567"/>
      <c r="Y41" s="395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952"/>
      <c r="Q42" s="1572">
        <f t="shared" si="14"/>
        <v>111</v>
      </c>
      <c r="R42" s="1577" t="s">
        <v>8</v>
      </c>
      <c r="S42" s="1578">
        <f t="shared" si="10"/>
        <v>100</v>
      </c>
      <c r="T42" s="1577" t="s">
        <v>8</v>
      </c>
      <c r="U42" s="1578">
        <f t="shared" si="11"/>
        <v>100</v>
      </c>
      <c r="V42" s="1577" t="s">
        <v>8</v>
      </c>
      <c r="W42" s="1578">
        <f t="shared" si="12"/>
        <v>100</v>
      </c>
      <c r="X42" s="1579"/>
      <c r="Y42" s="3952"/>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40"/>
      <c r="L43" s="2144"/>
      <c r="M43" s="2134"/>
      <c r="N43" s="2134"/>
      <c r="O43" s="2145"/>
      <c r="P43" s="3944" t="str">
        <f>A43</f>
        <v>成交单价</v>
      </c>
      <c r="Q43" s="3944"/>
      <c r="R43" s="3973">
        <f>E43</f>
        <v>0</v>
      </c>
      <c r="S43" s="3973"/>
      <c r="T43" s="3973">
        <f>G43</f>
        <v>0</v>
      </c>
      <c r="U43" s="3973"/>
      <c r="V43" s="3973">
        <f>I43</f>
        <v>0</v>
      </c>
      <c r="W43" s="3973"/>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944" t="str">
        <f>A44</f>
        <v>比较价格（元/平方米）</v>
      </c>
      <c r="Q44" s="3944"/>
      <c r="R44" s="3992" t="e">
        <f>ROUND(PRODUCT(R43,AA9:AA42),0)</f>
        <v>#DIV/0!</v>
      </c>
      <c r="S44" s="3992"/>
      <c r="T44" s="3992" t="e">
        <f>ROUND(PRODUCT(T43,AB9:AB42),0)</f>
        <v>#DIV/0!</v>
      </c>
      <c r="U44" s="3992"/>
      <c r="V44" s="3992" t="e">
        <f>ROUND(PRODUCT(V43,AC9:AC42),0)</f>
        <v>#DIV/0!</v>
      </c>
      <c r="W44" s="3992"/>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2"/>
      <c r="L45" s="2144"/>
      <c r="M45" s="2134"/>
      <c r="N45" s="2134"/>
      <c r="O45" s="2145"/>
      <c r="P45" s="3946" t="str">
        <f>A45</f>
        <v>估价对象XX用房的比较价格（楼面单价，元/平方米）</v>
      </c>
      <c r="Q45" s="3947"/>
      <c r="R45" s="3991" t="e">
        <f>ROUND(AVERAGE(R44:V44),0)</f>
        <v>#DIV/0!</v>
      </c>
      <c r="S45" s="3991"/>
      <c r="T45" s="3991"/>
      <c r="U45" s="3991"/>
      <c r="V45" s="3991"/>
      <c r="W45" s="3991"/>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4002" t="s">
        <v>2285</v>
      </c>
      <c r="H52" s="4003"/>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41680.639999999999</v>
      </c>
      <c r="F53" s="1950" t="e">
        <f t="shared" ref="F53:F62" si="15">ROUND(B53*E53/10000,0)</f>
        <v>#DIV/0!</v>
      </c>
      <c r="G53" s="4004"/>
      <c r="H53" s="4005"/>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0.8</v>
      </c>
      <c r="D54" s="2229">
        <v>0.25</v>
      </c>
      <c r="E54" s="639"/>
      <c r="F54" s="1950" t="e">
        <f t="shared" si="15"/>
        <v>#DIV/0!</v>
      </c>
      <c r="G54" s="4006" t="s">
        <v>2286</v>
      </c>
      <c r="H54" s="1954" t="str">
        <f>项目基本情况!B43</f>
        <v>一级</v>
      </c>
      <c r="I54" s="1953">
        <f>SUMIF(修正!$A$45:$A$56,H54,修正!B45:B56)</f>
        <v>0.8</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0.5</v>
      </c>
      <c r="D55" s="2229">
        <v>0.25</v>
      </c>
      <c r="E55" s="639"/>
      <c r="F55" s="1950" t="e">
        <f t="shared" si="15"/>
        <v>#DIV/0!</v>
      </c>
      <c r="G55" s="4006"/>
      <c r="H55" s="1955" t="str">
        <f>项目基本情况!B43</f>
        <v>一级</v>
      </c>
      <c r="I55" s="1953">
        <f>SUMIF(修正!$A$45:$A$56,H55,修正!C45:C56)</f>
        <v>0.5</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0.36</v>
      </c>
      <c r="D56" s="2229">
        <v>0.25</v>
      </c>
      <c r="E56" s="639"/>
      <c r="F56" s="1950" t="e">
        <f t="shared" si="15"/>
        <v>#DIV/0!</v>
      </c>
      <c r="G56" s="4006"/>
      <c r="H56" s="1955" t="str">
        <f>项目基本情况!B43</f>
        <v>一级</v>
      </c>
      <c r="I56" s="1953">
        <f>SUMIF(修正!$A$45:$A$56,H56,修正!D45:D56)</f>
        <v>0.36</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0.3</v>
      </c>
      <c r="D57" s="2229">
        <v>0.25</v>
      </c>
      <c r="E57" s="639"/>
      <c r="F57" s="1950" t="e">
        <f t="shared" si="15"/>
        <v>#DIV/0!</v>
      </c>
      <c r="G57" s="4006"/>
      <c r="H57" s="1955" t="str">
        <f>项目基本情况!B43</f>
        <v>一级</v>
      </c>
      <c r="I57" s="1953">
        <f>SUMIF(修正!$A$45:$A$56,H57,修正!E45:E56)</f>
        <v>0.3</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0.3</v>
      </c>
      <c r="D58" s="2229">
        <v>0.25</v>
      </c>
      <c r="E58" s="641">
        <f>'数据-汇总表'!E11</f>
        <v>2822.18</v>
      </c>
      <c r="F58" s="1950" t="e">
        <f t="shared" si="15"/>
        <v>#DIV/0!</v>
      </c>
      <c r="G58" s="1956" t="s">
        <v>2287</v>
      </c>
      <c r="H58" s="1955" t="str">
        <f>项目基本情况!C43</f>
        <v>一级</v>
      </c>
      <c r="I58" s="1953">
        <f>SUMIF(修正!$A$45:$A$56,H58,修正!F45:F56)</f>
        <v>0.3</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0.3</v>
      </c>
      <c r="D59" s="2229">
        <v>0.25</v>
      </c>
      <c r="E59" s="641">
        <f>'数据-汇总表'!E12</f>
        <v>0</v>
      </c>
      <c r="F59" s="1950" t="e">
        <f t="shared" si="15"/>
        <v>#DIV/0!</v>
      </c>
      <c r="G59" s="1946" t="s">
        <v>1678</v>
      </c>
      <c r="H59" s="1954" t="str">
        <f>IF(G59="商业",项目基本情况!B43,IF(G59="办公",项目基本情况!C43,IF(G59="住宅",项目基本情况!D43,项目基本情况!E43)))</f>
        <v>一级</v>
      </c>
      <c r="I59" s="1953">
        <f>SUMIF(修正!$A$45:$A$56,H59,修正!G45:G56)</f>
        <v>0.3</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15122.64</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0.25</v>
      </c>
      <c r="D61" s="2229">
        <v>0.25</v>
      </c>
      <c r="E61" s="641">
        <f>'数据-汇总表'!E14</f>
        <v>0</v>
      </c>
      <c r="F61" s="1950" t="e">
        <f t="shared" si="15"/>
        <v>#DIV/0!</v>
      </c>
      <c r="G61" s="1956" t="s">
        <v>2286</v>
      </c>
      <c r="H61" s="1955" t="str">
        <f>项目基本情况!B43</f>
        <v>一级</v>
      </c>
      <c r="I61" s="1953">
        <f>SUMIF(修正!$A$45:$A$56,H61,修正!H45:H56)</f>
        <v>0.25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0.25</v>
      </c>
      <c r="D62" s="2229">
        <v>0.25</v>
      </c>
      <c r="E62" s="641">
        <f>'数据-汇总表'!E15</f>
        <v>0</v>
      </c>
      <c r="F62" s="1950" t="e">
        <f t="shared" si="15"/>
        <v>#DIV/0!</v>
      </c>
      <c r="G62" s="1957" t="s">
        <v>2287</v>
      </c>
      <c r="H62" s="1958" t="str">
        <f>项目基本情况!C43</f>
        <v>一级</v>
      </c>
      <c r="I62" s="1953">
        <f>SUMIF(修正!$A$45:$A$56,H62,修正!H45:H56)</f>
        <v>0.25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6130.06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"北京市平均增长率"&amp;TEXT('基准地价-商业'!P24,"0.00%")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940" t="s">
        <v>1008</v>
      </c>
      <c r="B18" s="1154" t="s">
        <v>1447</v>
      </c>
      <c r="C18" s="1131" t="s">
        <v>1448</v>
      </c>
      <c r="D18" s="1132"/>
      <c r="E18" s="1154">
        <v>1</v>
      </c>
      <c r="F18" s="1133" t="s">
        <v>1449</v>
      </c>
      <c r="G18" s="1134"/>
      <c r="H18" s="1105"/>
      <c r="I18" s="1105"/>
    </row>
    <row r="19" spans="1:9" s="1599" customFormat="1" ht="19.5" customHeight="1">
      <c r="A19" s="3940"/>
      <c r="B19" s="3940" t="s">
        <v>1450</v>
      </c>
      <c r="C19" s="1131" t="s">
        <v>1451</v>
      </c>
      <c r="D19" s="1132"/>
      <c r="E19" s="1154">
        <v>0.9</v>
      </c>
      <c r="F19" s="1133" t="s">
        <v>1452</v>
      </c>
      <c r="G19" s="1134"/>
      <c r="H19" s="1105"/>
      <c r="I19" s="1105"/>
    </row>
    <row r="20" spans="1:9" s="1599" customFormat="1" ht="19.5" customHeight="1">
      <c r="A20" s="3940"/>
      <c r="B20" s="3940"/>
      <c r="C20" s="1131" t="s">
        <v>1453</v>
      </c>
      <c r="D20" s="1132"/>
      <c r="E20" s="1154">
        <v>1.1000000000000001</v>
      </c>
      <c r="F20" s="1133" t="s">
        <v>1454</v>
      </c>
      <c r="G20" s="1134"/>
      <c r="H20" s="1105"/>
      <c r="I20" s="1105"/>
    </row>
    <row r="21" spans="1:9" s="1599" customFormat="1" ht="19.5" customHeight="1">
      <c r="A21" s="3940"/>
      <c r="B21" s="3940"/>
      <c r="C21" s="1131" t="s">
        <v>1455</v>
      </c>
      <c r="D21" s="1132"/>
      <c r="E21" s="1154">
        <v>0.8</v>
      </c>
      <c r="F21" s="1133" t="s">
        <v>1456</v>
      </c>
      <c r="G21" s="1134"/>
      <c r="H21" s="1105"/>
      <c r="I21" s="1105"/>
    </row>
    <row r="22" spans="1:9" s="1599" customFormat="1" ht="19.5" customHeight="1">
      <c r="A22" s="3940"/>
      <c r="B22" s="3940"/>
      <c r="C22" s="1131" t="s">
        <v>1457</v>
      </c>
      <c r="D22" s="1132"/>
      <c r="E22" s="1154">
        <v>0.5</v>
      </c>
      <c r="F22" s="1133"/>
      <c r="G22" s="1134"/>
      <c r="H22" s="1105"/>
      <c r="I22" s="1105"/>
    </row>
    <row r="23" spans="1:9" s="1599" customFormat="1" ht="19.5" customHeight="1">
      <c r="A23" s="3940" t="s">
        <v>1030</v>
      </c>
      <c r="B23" s="1154" t="s">
        <v>1447</v>
      </c>
      <c r="C23" s="1131" t="s">
        <v>1458</v>
      </c>
      <c r="D23" s="1132"/>
      <c r="E23" s="1154">
        <v>1</v>
      </c>
      <c r="F23" s="1133" t="s">
        <v>1459</v>
      </c>
      <c r="G23" s="1134"/>
      <c r="H23" s="1105"/>
      <c r="I23" s="1105"/>
    </row>
    <row r="24" spans="1:9" s="1599" customFormat="1" ht="19.5" customHeight="1">
      <c r="A24" s="3940"/>
      <c r="B24" s="3940" t="s">
        <v>1450</v>
      </c>
      <c r="C24" s="1131" t="s">
        <v>1460</v>
      </c>
      <c r="D24" s="1132"/>
      <c r="E24" s="1154">
        <v>0.5</v>
      </c>
      <c r="F24" s="1133"/>
      <c r="G24" s="1134"/>
      <c r="H24" s="1105"/>
      <c r="I24" s="1105"/>
    </row>
    <row r="25" spans="1:9" s="1599" customFormat="1" ht="19.5" customHeight="1">
      <c r="A25" s="3940"/>
      <c r="B25" s="3940"/>
      <c r="C25" s="1131" t="s">
        <v>1461</v>
      </c>
      <c r="D25" s="1132"/>
      <c r="E25" s="1154">
        <v>1.1000000000000001</v>
      </c>
      <c r="F25" s="1133"/>
      <c r="G25" s="1134"/>
      <c r="H25" s="1105"/>
      <c r="I25" s="1105"/>
    </row>
    <row r="26" spans="1:9" s="1599" customFormat="1" ht="19.5" customHeight="1">
      <c r="A26" s="3940"/>
      <c r="B26" s="3940"/>
      <c r="C26" s="1131" t="s">
        <v>1462</v>
      </c>
      <c r="D26" s="1132"/>
      <c r="E26" s="1154">
        <v>1.1000000000000001</v>
      </c>
      <c r="F26" s="1133"/>
      <c r="G26" s="1134"/>
      <c r="H26" s="1105"/>
      <c r="I26" s="1105"/>
    </row>
    <row r="27" spans="1:9" s="1599" customFormat="1" ht="19.5" customHeight="1">
      <c r="A27" s="3940"/>
      <c r="B27" s="3940"/>
      <c r="C27" s="1131" t="s">
        <v>1463</v>
      </c>
      <c r="D27" s="1132"/>
      <c r="E27" s="1154">
        <v>0.9</v>
      </c>
      <c r="F27" s="1133" t="s">
        <v>1464</v>
      </c>
      <c r="G27" s="1134"/>
      <c r="H27" s="1105"/>
      <c r="I27" s="1105"/>
    </row>
    <row r="28" spans="1:9" s="1599" customFormat="1" ht="19.5" customHeight="1">
      <c r="A28" s="3940"/>
      <c r="B28" s="3940"/>
      <c r="C28" s="1131" t="s">
        <v>1465</v>
      </c>
      <c r="D28" s="1132"/>
      <c r="E28" s="1154">
        <v>0.9</v>
      </c>
      <c r="F28" s="1133" t="s">
        <v>1466</v>
      </c>
      <c r="G28" s="1134"/>
      <c r="H28" s="1105"/>
      <c r="I28" s="1105"/>
    </row>
    <row r="29" spans="1:9" s="1599" customFormat="1" ht="19.5" customHeight="1">
      <c r="A29" s="3940"/>
      <c r="B29" s="3940"/>
      <c r="C29" s="1131" t="s">
        <v>1467</v>
      </c>
      <c r="D29" s="1132"/>
      <c r="E29" s="1154">
        <v>0.9</v>
      </c>
      <c r="F29" s="1133" t="s">
        <v>1468</v>
      </c>
      <c r="G29" s="1134"/>
      <c r="H29" s="1105"/>
      <c r="I29" s="1105"/>
    </row>
    <row r="30" spans="1:9" s="1599" customFormat="1" ht="19.5" customHeight="1">
      <c r="A30" s="3940"/>
      <c r="B30" s="3940"/>
      <c r="C30" s="1131" t="s">
        <v>1469</v>
      </c>
      <c r="D30" s="1132"/>
      <c r="E30" s="1154">
        <v>0.9</v>
      </c>
      <c r="F30" s="1133" t="s">
        <v>1470</v>
      </c>
      <c r="G30" s="1134"/>
      <c r="H30" s="1105"/>
      <c r="I30" s="1105"/>
    </row>
    <row r="31" spans="1:9" s="1599" customFormat="1" ht="19.5" customHeight="1">
      <c r="A31" s="3940"/>
      <c r="B31" s="3940"/>
      <c r="C31" s="1131" t="s">
        <v>1471</v>
      </c>
      <c r="D31" s="1132"/>
      <c r="E31" s="1154">
        <v>0.8</v>
      </c>
      <c r="F31" s="1133" t="s">
        <v>1472</v>
      </c>
      <c r="G31" s="1134"/>
      <c r="H31" s="1105"/>
      <c r="I31" s="1105"/>
    </row>
    <row r="32" spans="1:9" s="1599" customFormat="1" ht="19.5" customHeight="1">
      <c r="A32" s="3940"/>
      <c r="B32" s="3940"/>
      <c r="C32" s="1131" t="s">
        <v>1473</v>
      </c>
      <c r="D32" s="1132"/>
      <c r="E32" s="1154">
        <v>0.8</v>
      </c>
      <c r="F32" s="1133" t="s">
        <v>1474</v>
      </c>
      <c r="G32" s="1134"/>
      <c r="H32" s="1105"/>
      <c r="I32" s="1105"/>
    </row>
    <row r="33" spans="1:9" s="1599" customFormat="1" ht="19.5" customHeight="1">
      <c r="A33" s="3940" t="s">
        <v>1475</v>
      </c>
      <c r="B33" s="1154" t="s">
        <v>1447</v>
      </c>
      <c r="C33" s="1131" t="s">
        <v>1476</v>
      </c>
      <c r="D33" s="1132"/>
      <c r="E33" s="1154">
        <v>1</v>
      </c>
      <c r="F33" s="1133" t="s">
        <v>1477</v>
      </c>
      <c r="G33" s="1134"/>
      <c r="H33" s="1105"/>
      <c r="I33" s="1105"/>
    </row>
    <row r="34" spans="1:9" s="1599" customFormat="1" ht="19.5" customHeight="1">
      <c r="A34" s="3940"/>
      <c r="B34" s="1154" t="s">
        <v>1450</v>
      </c>
      <c r="C34" s="1131" t="s">
        <v>1478</v>
      </c>
      <c r="D34" s="1132"/>
      <c r="E34" s="1154">
        <v>1.5</v>
      </c>
      <c r="F34" s="1133" t="s">
        <v>1479</v>
      </c>
      <c r="G34" s="1134"/>
      <c r="H34" s="1105"/>
      <c r="I34" s="1105"/>
    </row>
    <row r="35" spans="1:9" s="1599" customFormat="1" ht="19.5" customHeight="1">
      <c r="A35" s="3940" t="s">
        <v>1433</v>
      </c>
      <c r="B35" s="1154" t="s">
        <v>1447</v>
      </c>
      <c r="C35" s="1131" t="s">
        <v>1480</v>
      </c>
      <c r="D35" s="1132"/>
      <c r="E35" s="1154">
        <v>1</v>
      </c>
      <c r="F35" s="1133" t="s">
        <v>1481</v>
      </c>
      <c r="G35" s="1134"/>
      <c r="H35" s="1105"/>
      <c r="I35" s="1105"/>
    </row>
    <row r="36" spans="1:9" s="1599" customFormat="1" ht="19.5" customHeight="1">
      <c r="A36" s="3940"/>
      <c r="B36" s="3940" t="s">
        <v>1450</v>
      </c>
      <c r="C36" s="1131" t="s">
        <v>1482</v>
      </c>
      <c r="D36" s="1132"/>
      <c r="E36" s="1154">
        <v>1</v>
      </c>
      <c r="F36" s="1133" t="s">
        <v>1483</v>
      </c>
      <c r="G36" s="1134"/>
      <c r="H36" s="1105"/>
      <c r="I36" s="1105"/>
    </row>
    <row r="37" spans="1:9" s="1599" customFormat="1" ht="19.5" customHeight="1">
      <c r="A37" s="3940"/>
      <c r="B37" s="3940"/>
      <c r="C37" s="1131" t="s">
        <v>1484</v>
      </c>
      <c r="D37" s="1132"/>
      <c r="E37" s="1154">
        <v>1.5</v>
      </c>
      <c r="F37" s="1133" t="s">
        <v>1485</v>
      </c>
      <c r="G37" s="1134"/>
      <c r="H37" s="1105"/>
      <c r="I37" s="1105"/>
    </row>
    <row r="38" spans="1:9" s="1599" customFormat="1" ht="19.5" customHeight="1">
      <c r="A38" s="3940"/>
      <c r="B38" s="3940"/>
      <c r="C38" s="1131" t="s">
        <v>1486</v>
      </c>
      <c r="D38" s="1132"/>
      <c r="E38" s="1154">
        <v>1</v>
      </c>
      <c r="F38" s="1133" t="s">
        <v>1487</v>
      </c>
      <c r="G38" s="1134"/>
      <c r="H38" s="1105"/>
      <c r="I38" s="1105"/>
    </row>
    <row r="39" spans="1:9" s="1599" customFormat="1" ht="19.5" customHeight="1">
      <c r="A39" s="3940"/>
      <c r="B39" s="3940"/>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940" t="s">
        <v>1502</v>
      </c>
      <c r="C61" s="1068" t="s">
        <v>1503</v>
      </c>
      <c r="D61" s="1068" t="s">
        <v>1504</v>
      </c>
      <c r="E61" s="1139">
        <v>0.5</v>
      </c>
      <c r="F61" s="1154">
        <v>80</v>
      </c>
      <c r="H61" s="1105">
        <f>SUMIF(C59:C119,'基准地价-商业'!C8,E59:E119)</f>
        <v>0</v>
      </c>
    </row>
    <row r="62" spans="1:8" s="1105" customFormat="1" ht="24">
      <c r="A62" s="1154">
        <v>2</v>
      </c>
      <c r="B62" s="3940"/>
      <c r="C62" s="1068" t="s">
        <v>1505</v>
      </c>
      <c r="D62" s="1068" t="s">
        <v>1506</v>
      </c>
      <c r="E62" s="1139">
        <v>0.5</v>
      </c>
      <c r="F62" s="1154">
        <v>80</v>
      </c>
    </row>
    <row r="63" spans="1:8" s="1105" customFormat="1" ht="36">
      <c r="A63" s="1154">
        <v>3</v>
      </c>
      <c r="B63" s="3940"/>
      <c r="C63" s="1068" t="s">
        <v>1507</v>
      </c>
      <c r="D63" s="1068" t="s">
        <v>1508</v>
      </c>
      <c r="E63" s="1139">
        <v>0.5</v>
      </c>
      <c r="F63" s="1154">
        <v>80</v>
      </c>
    </row>
    <row r="64" spans="1:8" s="1105" customFormat="1" ht="36">
      <c r="A64" s="1154">
        <v>4</v>
      </c>
      <c r="B64" s="3940"/>
      <c r="C64" s="1068" t="s">
        <v>1509</v>
      </c>
      <c r="D64" s="1068" t="s">
        <v>1510</v>
      </c>
      <c r="E64" s="1139">
        <v>0.4</v>
      </c>
      <c r="F64" s="1154">
        <v>60</v>
      </c>
    </row>
    <row r="65" spans="1:6" s="1105" customFormat="1" ht="36">
      <c r="A65" s="1154">
        <v>5</v>
      </c>
      <c r="B65" s="3940"/>
      <c r="C65" s="1068" t="s">
        <v>1511</v>
      </c>
      <c r="D65" s="1068" t="s">
        <v>1512</v>
      </c>
      <c r="E65" s="1139">
        <v>0.2</v>
      </c>
      <c r="F65" s="1154">
        <v>30</v>
      </c>
    </row>
    <row r="66" spans="1:6" s="1105" customFormat="1" ht="36">
      <c r="A66" s="1154">
        <v>6</v>
      </c>
      <c r="B66" s="3940"/>
      <c r="C66" s="1068" t="s">
        <v>1513</v>
      </c>
      <c r="D66" s="1068" t="s">
        <v>1514</v>
      </c>
      <c r="E66" s="1139">
        <v>0.3</v>
      </c>
      <c r="F66" s="1154">
        <v>50</v>
      </c>
    </row>
    <row r="67" spans="1:6" s="1105" customFormat="1" ht="36">
      <c r="A67" s="1154">
        <v>7</v>
      </c>
      <c r="B67" s="3940"/>
      <c r="C67" s="1068" t="s">
        <v>1515</v>
      </c>
      <c r="D67" s="1068" t="s">
        <v>1516</v>
      </c>
      <c r="E67" s="1139">
        <v>0.2</v>
      </c>
      <c r="F67" s="1154">
        <v>30</v>
      </c>
    </row>
    <row r="68" spans="1:6" s="1105" customFormat="1" ht="36">
      <c r="A68" s="1154">
        <v>8</v>
      </c>
      <c r="B68" s="3940"/>
      <c r="C68" s="1068" t="s">
        <v>1517</v>
      </c>
      <c r="D68" s="1068" t="s">
        <v>1518</v>
      </c>
      <c r="E68" s="1139">
        <v>0.2</v>
      </c>
      <c r="F68" s="1154">
        <v>30</v>
      </c>
    </row>
    <row r="69" spans="1:6" s="1105" customFormat="1" ht="36">
      <c r="A69" s="1154">
        <v>9</v>
      </c>
      <c r="B69" s="3940"/>
      <c r="C69" s="1068" t="s">
        <v>1519</v>
      </c>
      <c r="D69" s="1068" t="s">
        <v>1520</v>
      </c>
      <c r="E69" s="1139">
        <v>0.2</v>
      </c>
      <c r="F69" s="1154">
        <v>30</v>
      </c>
    </row>
    <row r="70" spans="1:6" s="1105" customFormat="1" ht="48">
      <c r="A70" s="1154">
        <v>10</v>
      </c>
      <c r="B70" s="3940"/>
      <c r="C70" s="1068" t="s">
        <v>1521</v>
      </c>
      <c r="D70" s="1068" t="s">
        <v>1522</v>
      </c>
      <c r="E70" s="1139">
        <v>0.2</v>
      </c>
      <c r="F70" s="1154">
        <v>30</v>
      </c>
    </row>
    <row r="71" spans="1:6" s="1105" customFormat="1" ht="48">
      <c r="A71" s="1154">
        <v>11</v>
      </c>
      <c r="B71" s="3940"/>
      <c r="C71" s="1068" t="s">
        <v>1523</v>
      </c>
      <c r="D71" s="1068" t="s">
        <v>1524</v>
      </c>
      <c r="E71" s="1139">
        <v>0.2</v>
      </c>
      <c r="F71" s="1154">
        <v>30</v>
      </c>
    </row>
    <row r="72" spans="1:6" s="1105" customFormat="1" ht="36">
      <c r="A72" s="1154">
        <v>12</v>
      </c>
      <c r="B72" s="3940"/>
      <c r="C72" s="1068" t="s">
        <v>1525</v>
      </c>
      <c r="D72" s="1068" t="s">
        <v>1526</v>
      </c>
      <c r="E72" s="1139">
        <v>0.5</v>
      </c>
      <c r="F72" s="1154">
        <v>80</v>
      </c>
    </row>
    <row r="73" spans="1:6" s="1105" customFormat="1" ht="24">
      <c r="A73" s="1154">
        <v>13</v>
      </c>
      <c r="B73" s="3940"/>
      <c r="C73" s="1068" t="s">
        <v>1527</v>
      </c>
      <c r="D73" s="1068" t="s">
        <v>1528</v>
      </c>
      <c r="E73" s="1139">
        <v>0.4</v>
      </c>
      <c r="F73" s="1154">
        <v>60</v>
      </c>
    </row>
    <row r="74" spans="1:6" s="1105" customFormat="1" ht="24">
      <c r="A74" s="1154">
        <v>14</v>
      </c>
      <c r="B74" s="3940"/>
      <c r="C74" s="1068" t="s">
        <v>1529</v>
      </c>
      <c r="D74" s="1068" t="s">
        <v>1530</v>
      </c>
      <c r="E74" s="1139">
        <v>0.2</v>
      </c>
      <c r="F74" s="1154">
        <v>30</v>
      </c>
    </row>
    <row r="75" spans="1:6" s="1105" customFormat="1" ht="24">
      <c r="A75" s="1154">
        <v>15</v>
      </c>
      <c r="B75" s="3940"/>
      <c r="C75" s="1068" t="s">
        <v>1531</v>
      </c>
      <c r="D75" s="1068" t="s">
        <v>1532</v>
      </c>
      <c r="E75" s="1139">
        <v>0.2</v>
      </c>
      <c r="F75" s="1154">
        <v>30</v>
      </c>
    </row>
    <row r="76" spans="1:6" s="1105" customFormat="1" ht="24">
      <c r="A76" s="1154">
        <v>16</v>
      </c>
      <c r="B76" s="3940" t="s">
        <v>1533</v>
      </c>
      <c r="C76" s="1068" t="s">
        <v>1534</v>
      </c>
      <c r="D76" s="1068" t="s">
        <v>1535</v>
      </c>
      <c r="E76" s="1139">
        <v>0.5</v>
      </c>
      <c r="F76" s="1154">
        <v>80</v>
      </c>
    </row>
    <row r="77" spans="1:6" s="1105" customFormat="1" ht="24">
      <c r="A77" s="1154">
        <v>17</v>
      </c>
      <c r="B77" s="3940"/>
      <c r="C77" s="1068" t="s">
        <v>1536</v>
      </c>
      <c r="D77" s="1068" t="s">
        <v>1537</v>
      </c>
      <c r="E77" s="1139">
        <v>0.5</v>
      </c>
      <c r="F77" s="1154">
        <v>80</v>
      </c>
    </row>
    <row r="78" spans="1:6" s="1105" customFormat="1" ht="24">
      <c r="A78" s="1154">
        <v>18</v>
      </c>
      <c r="B78" s="3940"/>
      <c r="C78" s="1068" t="s">
        <v>1538</v>
      </c>
      <c r="D78" s="1068" t="s">
        <v>1539</v>
      </c>
      <c r="E78" s="1139">
        <v>0.2</v>
      </c>
      <c r="F78" s="1154">
        <v>30</v>
      </c>
    </row>
    <row r="79" spans="1:6" s="1105" customFormat="1" ht="24">
      <c r="A79" s="1154">
        <v>19</v>
      </c>
      <c r="B79" s="3940"/>
      <c r="C79" s="1068" t="s">
        <v>1540</v>
      </c>
      <c r="D79" s="1068" t="s">
        <v>1541</v>
      </c>
      <c r="E79" s="1139">
        <v>0.5</v>
      </c>
      <c r="F79" s="1154">
        <v>80</v>
      </c>
    </row>
    <row r="80" spans="1:6" s="1105" customFormat="1" ht="36">
      <c r="A80" s="1154">
        <v>20</v>
      </c>
      <c r="B80" s="3940"/>
      <c r="C80" s="1068" t="s">
        <v>1542</v>
      </c>
      <c r="D80" s="1068" t="s">
        <v>1543</v>
      </c>
      <c r="E80" s="1139">
        <v>0.2</v>
      </c>
      <c r="F80" s="1154">
        <v>30</v>
      </c>
    </row>
    <row r="81" spans="1:6" s="1105" customFormat="1" ht="36">
      <c r="A81" s="1154">
        <v>21</v>
      </c>
      <c r="B81" s="3940"/>
      <c r="C81" s="1068" t="s">
        <v>1544</v>
      </c>
      <c r="D81" s="1068" t="s">
        <v>1545</v>
      </c>
      <c r="E81" s="1139">
        <v>0.2</v>
      </c>
      <c r="F81" s="1154">
        <v>30</v>
      </c>
    </row>
    <row r="82" spans="1:6" s="1105" customFormat="1" ht="48">
      <c r="A82" s="1154">
        <v>22</v>
      </c>
      <c r="B82" s="3940"/>
      <c r="C82" s="1068" t="s">
        <v>1546</v>
      </c>
      <c r="D82" s="1068" t="s">
        <v>1547</v>
      </c>
      <c r="E82" s="1139">
        <v>0.2</v>
      </c>
      <c r="F82" s="1154">
        <v>30</v>
      </c>
    </row>
    <row r="83" spans="1:6" s="1105" customFormat="1" ht="48">
      <c r="A83" s="1154">
        <v>23</v>
      </c>
      <c r="B83" s="3940"/>
      <c r="C83" s="1068" t="s">
        <v>1548</v>
      </c>
      <c r="D83" s="1068" t="s">
        <v>1549</v>
      </c>
      <c r="E83" s="1139">
        <v>0.2</v>
      </c>
      <c r="F83" s="1154">
        <v>30</v>
      </c>
    </row>
    <row r="84" spans="1:6" s="1105" customFormat="1" ht="36">
      <c r="A84" s="1154">
        <v>24</v>
      </c>
      <c r="B84" s="3940"/>
      <c r="C84" s="1068" t="s">
        <v>1550</v>
      </c>
      <c r="D84" s="1068" t="s">
        <v>1551</v>
      </c>
      <c r="E84" s="1139">
        <v>0.2</v>
      </c>
      <c r="F84" s="1154">
        <v>30</v>
      </c>
    </row>
    <row r="85" spans="1:6" s="1105" customFormat="1" ht="36">
      <c r="A85" s="1154">
        <v>25</v>
      </c>
      <c r="B85" s="3940"/>
      <c r="C85" s="1068" t="s">
        <v>1552</v>
      </c>
      <c r="D85" s="1068" t="s">
        <v>1553</v>
      </c>
      <c r="E85" s="1139">
        <v>0.5</v>
      </c>
      <c r="F85" s="1154">
        <v>80</v>
      </c>
    </row>
    <row r="86" spans="1:6" s="1105" customFormat="1" ht="36">
      <c r="A86" s="1154">
        <v>26</v>
      </c>
      <c r="B86" s="3940"/>
      <c r="C86" s="1068" t="s">
        <v>1554</v>
      </c>
      <c r="D86" s="1068" t="s">
        <v>1555</v>
      </c>
      <c r="E86" s="1139">
        <v>0.2</v>
      </c>
      <c r="F86" s="1154">
        <v>30</v>
      </c>
    </row>
    <row r="87" spans="1:6" s="1105" customFormat="1" ht="36">
      <c r="A87" s="1154">
        <v>27</v>
      </c>
      <c r="B87" s="3940"/>
      <c r="C87" s="1068" t="s">
        <v>1556</v>
      </c>
      <c r="D87" s="1068" t="s">
        <v>1557</v>
      </c>
      <c r="E87" s="1139">
        <v>0.2</v>
      </c>
      <c r="F87" s="1154">
        <v>30</v>
      </c>
    </row>
    <row r="88" spans="1:6" s="1105" customFormat="1" ht="36">
      <c r="A88" s="1154">
        <v>28</v>
      </c>
      <c r="B88" s="3940"/>
      <c r="C88" s="1068" t="s">
        <v>1558</v>
      </c>
      <c r="D88" s="1068" t="s">
        <v>1559</v>
      </c>
      <c r="E88" s="1139">
        <v>0.2</v>
      </c>
      <c r="F88" s="1154">
        <v>30</v>
      </c>
    </row>
    <row r="89" spans="1:6" s="1105" customFormat="1" ht="24">
      <c r="A89" s="1154">
        <v>29</v>
      </c>
      <c r="B89" s="3940"/>
      <c r="C89" s="1068" t="s">
        <v>1560</v>
      </c>
      <c r="D89" s="1068" t="s">
        <v>1561</v>
      </c>
      <c r="E89" s="1139">
        <v>0.2</v>
      </c>
      <c r="F89" s="1154">
        <v>30</v>
      </c>
    </row>
    <row r="90" spans="1:6" s="1105" customFormat="1" ht="24">
      <c r="A90" s="1154">
        <v>30</v>
      </c>
      <c r="B90" s="3940"/>
      <c r="C90" s="1068" t="s">
        <v>1562</v>
      </c>
      <c r="D90" s="1068" t="s">
        <v>1563</v>
      </c>
      <c r="E90" s="1139">
        <v>0.2</v>
      </c>
      <c r="F90" s="1154">
        <v>30</v>
      </c>
    </row>
    <row r="91" spans="1:6" s="1105" customFormat="1" ht="36">
      <c r="A91" s="1154">
        <v>31</v>
      </c>
      <c r="B91" s="3940"/>
      <c r="C91" s="1068" t="s">
        <v>1564</v>
      </c>
      <c r="D91" s="1068" t="s">
        <v>1565</v>
      </c>
      <c r="E91" s="1139">
        <v>0.2</v>
      </c>
      <c r="F91" s="1154">
        <v>30</v>
      </c>
    </row>
    <row r="92" spans="1:6" s="1105" customFormat="1" ht="24">
      <c r="A92" s="1154">
        <v>32</v>
      </c>
      <c r="B92" s="3940" t="s">
        <v>1566</v>
      </c>
      <c r="C92" s="1154" t="s">
        <v>1567</v>
      </c>
      <c r="D92" s="1068" t="s">
        <v>1568</v>
      </c>
      <c r="E92" s="1139">
        <v>0.2</v>
      </c>
      <c r="F92" s="1154">
        <v>30</v>
      </c>
    </row>
    <row r="93" spans="1:6" s="1105" customFormat="1" ht="36">
      <c r="A93" s="1154">
        <v>33</v>
      </c>
      <c r="B93" s="3940"/>
      <c r="C93" s="1154" t="s">
        <v>1569</v>
      </c>
      <c r="D93" s="1068" t="s">
        <v>1570</v>
      </c>
      <c r="E93" s="1139">
        <v>0.2</v>
      </c>
      <c r="F93" s="1154">
        <v>30</v>
      </c>
    </row>
    <row r="94" spans="1:6" s="1105" customFormat="1" ht="48">
      <c r="A94" s="1154">
        <v>34</v>
      </c>
      <c r="B94" s="3940"/>
      <c r="C94" s="1154" t="s">
        <v>1571</v>
      </c>
      <c r="D94" s="1068" t="s">
        <v>1572</v>
      </c>
      <c r="E94" s="1139">
        <v>0.2</v>
      </c>
      <c r="F94" s="1154">
        <v>30</v>
      </c>
    </row>
    <row r="95" spans="1:6" s="1105" customFormat="1" ht="36">
      <c r="A95" s="1154">
        <v>35</v>
      </c>
      <c r="B95" s="3940"/>
      <c r="C95" s="1154" t="s">
        <v>1573</v>
      </c>
      <c r="D95" s="1068" t="s">
        <v>1574</v>
      </c>
      <c r="E95" s="1139">
        <v>0.2</v>
      </c>
      <c r="F95" s="1154">
        <v>30</v>
      </c>
    </row>
    <row r="96" spans="1:6" s="1105" customFormat="1" ht="48">
      <c r="A96" s="1154">
        <v>36</v>
      </c>
      <c r="B96" s="3940"/>
      <c r="C96" s="1068" t="s">
        <v>1575</v>
      </c>
      <c r="D96" s="1068" t="s">
        <v>1576</v>
      </c>
      <c r="E96" s="1139">
        <v>0.2</v>
      </c>
      <c r="F96" s="1154">
        <v>30</v>
      </c>
    </row>
    <row r="97" spans="1:6" s="1105" customFormat="1" ht="36">
      <c r="A97" s="1154">
        <v>37</v>
      </c>
      <c r="B97" s="3940"/>
      <c r="C97" s="1154" t="s">
        <v>1577</v>
      </c>
      <c r="D97" s="1068" t="s">
        <v>1578</v>
      </c>
      <c r="E97" s="1139">
        <v>0.2</v>
      </c>
      <c r="F97" s="1154">
        <v>30</v>
      </c>
    </row>
    <row r="98" spans="1:6" s="1105" customFormat="1" ht="36">
      <c r="A98" s="1154">
        <v>38</v>
      </c>
      <c r="B98" s="3940"/>
      <c r="C98" s="1154" t="s">
        <v>1579</v>
      </c>
      <c r="D98" s="1068" t="s">
        <v>1580</v>
      </c>
      <c r="E98" s="1139">
        <v>0.2</v>
      </c>
      <c r="F98" s="1154">
        <v>30</v>
      </c>
    </row>
    <row r="99" spans="1:6" s="1105" customFormat="1" ht="36">
      <c r="A99" s="1154">
        <v>39</v>
      </c>
      <c r="B99" s="3940" t="s">
        <v>1581</v>
      </c>
      <c r="C99" s="1154" t="s">
        <v>1582</v>
      </c>
      <c r="D99" s="1068" t="s">
        <v>1583</v>
      </c>
      <c r="E99" s="1139">
        <v>0.3</v>
      </c>
      <c r="F99" s="1154">
        <v>50</v>
      </c>
    </row>
    <row r="100" spans="1:6" s="1105" customFormat="1" ht="24">
      <c r="A100" s="1154">
        <v>40</v>
      </c>
      <c r="B100" s="3940"/>
      <c r="C100" s="1154" t="s">
        <v>1584</v>
      </c>
      <c r="D100" s="1068" t="s">
        <v>1585</v>
      </c>
      <c r="E100" s="1139">
        <v>0.2</v>
      </c>
      <c r="F100" s="1154">
        <v>30</v>
      </c>
    </row>
    <row r="101" spans="1:6" s="1105" customFormat="1" ht="36">
      <c r="A101" s="1154">
        <v>41</v>
      </c>
      <c r="B101" s="394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940" t="s">
        <v>1596</v>
      </c>
      <c r="C105" s="1154" t="s">
        <v>1597</v>
      </c>
      <c r="D105" s="1068" t="s">
        <v>1598</v>
      </c>
      <c r="E105" s="1139">
        <v>0.2</v>
      </c>
      <c r="F105" s="1154">
        <v>30</v>
      </c>
    </row>
    <row r="106" spans="1:6" s="1105" customFormat="1" ht="36">
      <c r="A106" s="1154">
        <v>46</v>
      </c>
      <c r="B106" s="3940"/>
      <c r="C106" s="1154" t="s">
        <v>1599</v>
      </c>
      <c r="D106" s="1068" t="s">
        <v>1600</v>
      </c>
      <c r="E106" s="1139">
        <v>0.2</v>
      </c>
      <c r="F106" s="1154">
        <v>30</v>
      </c>
    </row>
    <row r="107" spans="1:6" s="1105" customFormat="1" ht="36">
      <c r="A107" s="1154">
        <v>47</v>
      </c>
      <c r="B107" s="3940" t="s">
        <v>1601</v>
      </c>
      <c r="C107" s="1154" t="s">
        <v>1602</v>
      </c>
      <c r="D107" s="1068" t="s">
        <v>1603</v>
      </c>
      <c r="E107" s="1139">
        <v>0.3</v>
      </c>
      <c r="F107" s="1154">
        <v>50</v>
      </c>
    </row>
    <row r="108" spans="1:6" s="1105" customFormat="1" ht="36">
      <c r="A108" s="1154">
        <v>48</v>
      </c>
      <c r="B108" s="394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940" t="s">
        <v>1612</v>
      </c>
      <c r="C111" s="1154" t="s">
        <v>1613</v>
      </c>
      <c r="D111" s="1068" t="s">
        <v>1614</v>
      </c>
      <c r="E111" s="1139">
        <v>0.2</v>
      </c>
      <c r="F111" s="1154">
        <v>30</v>
      </c>
    </row>
    <row r="112" spans="1:6" s="1105" customFormat="1" ht="24">
      <c r="A112" s="1154">
        <v>52</v>
      </c>
      <c r="B112" s="3940"/>
      <c r="C112" s="1154" t="s">
        <v>1615</v>
      </c>
      <c r="D112" s="1068" t="s">
        <v>1616</v>
      </c>
      <c r="E112" s="1139">
        <v>0.2</v>
      </c>
      <c r="F112" s="1154">
        <v>30</v>
      </c>
    </row>
    <row r="113" spans="1:14" s="1105" customFormat="1" ht="24">
      <c r="A113" s="1154">
        <v>53</v>
      </c>
      <c r="B113" s="394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940" t="s">
        <v>1625</v>
      </c>
      <c r="C116" s="1154" t="s">
        <v>1626</v>
      </c>
      <c r="D116" s="1068" t="s">
        <v>1627</v>
      </c>
      <c r="E116" s="1139">
        <v>0.2</v>
      </c>
      <c r="F116" s="1154">
        <v>30</v>
      </c>
    </row>
    <row r="117" spans="1:14" ht="36">
      <c r="A117" s="1154">
        <v>57</v>
      </c>
      <c r="B117" s="394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939" t="s">
        <v>1634</v>
      </c>
      <c r="B121" s="3939"/>
      <c r="C121" s="3939"/>
      <c r="D121" s="3939"/>
      <c r="E121" s="3939"/>
      <c r="F121" s="3939"/>
      <c r="G121" s="3939"/>
      <c r="H121" s="3939"/>
      <c r="I121" s="3939"/>
      <c r="J121" s="393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4007" t="s">
        <v>1040</v>
      </c>
      <c r="B1" s="4007"/>
      <c r="C1" s="4007"/>
      <c r="D1" s="4007"/>
      <c r="E1" s="4007"/>
      <c r="F1" s="400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4008" t="s">
        <v>1053</v>
      </c>
      <c r="B2" s="4008"/>
      <c r="C2" s="4008"/>
      <c r="D2" s="4008"/>
      <c r="E2" s="4008"/>
      <c r="F2" s="400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400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401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SUMPRODUCT((B5:B9='基准地价-商业'!I2)*(C3:F3='基准地价-商业'!E2)*(C5:F9))</f>
        <v>30290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SUMPRODUCT((B10:B28='基准地价-商业'!I2)*(C3:F3='基准地价-商业'!E2)*(C10:F28))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SUMPRODUCT((B29:B48='基准地价-商业'!I2)*(C3:F3='基准地价-商业'!E2)*(C29:F48))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SUMPRODUCT((B49:B75='基准地价-商业'!I2)*(C3:F3='基准地价-商业'!E2)*(C49:F75))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SUMPRODUCT((B76:B109='基准地价-商业'!I2)*(C3:F3='基准地价-商业'!E2)*(C76:F109))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SUMPRODUCT((B110:B157='基准地价-商业'!I2)*(C3:F3='基准地价-商业'!E2)*(C110:F157))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SUMPRODUCT((B158:B205='基准地价-商业'!I2)*(C3:F3='基准地价-商业'!E2)*(C158:F205))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SUMPRODUCT((B206:B244='基准地价-商业'!I2)*(C3:F3='基准地价-商业'!E2)*(C206:F244))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SUMPRODUCT((B245:B289='基准地价-商业'!I2)*(C3:F3='基准地价-商业'!E2)*(C245:F289))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SUMPRODUCT((B290:B316='基准地价-商业'!I2)*(C3:F3='基准地价-商业'!E2)*(C290:F316))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SUMPRODUCT((B317:B337='基准地价-商业'!I2)*(C3:F3='基准地价-商业'!E2)*(C317:F337))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SUMPRODUCT((B338:B344='基准地价-商业'!I2)*(C3:F3='基准地价-商业'!E2)*(C338:F344))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SUMPRODUCT((A105:A204=ROUNDDOWN('基准地价-商业'!G3,1))*(B104:M104='基准地价-商业'!G2)*(B105:M204))</f>
        <v>0.87450000000000006</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4011" t="s">
        <v>2080</v>
      </c>
      <c r="B1" s="4011"/>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f ca="1">SUMIF(B7:B14,"&lt;&gt;#ref!",B7:B14)</f>
        <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#REF!</v>
      </c>
      <c r="C7" s="3082" t="s">
        <v>2947</v>
      </c>
      <c r="D7" s="1881"/>
      <c r="E7" s="3087" t="e">
        <f ca="1">SUMIF(INDIRECT("'"&amp;A7&amp;"'"&amp;"!C:C"),"建筑面积",INDIRECT("'"&amp;A7&amp;"'"&amp;"!D:D"))</f>
        <v>#REF!</v>
      </c>
      <c r="F7" s="3087" t="e">
        <f ca="1">SUMIF(INDIRECT("'"&amp;A7&amp;"'"&amp;"!E:E"),"土地面积",INDIRECT("'"&amp;A7&amp;"'"&amp;"!F:F"))</f>
        <v>#REF!</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987" t="s">
        <v>2464</v>
      </c>
      <c r="C8" s="1825">
        <f ca="1">ROUND(F8*F10*F9*(1-F11)/10000,0)</f>
        <v>0</v>
      </c>
      <c r="D8" s="1822" t="s">
        <v>2535</v>
      </c>
      <c r="E8" s="61" t="s">
        <v>637</v>
      </c>
      <c r="F8" s="785">
        <f ca="1">INDIRECT("'数据-取费表'!u"&amp;$G$1)</f>
        <v>0</v>
      </c>
      <c r="G8" s="1592"/>
      <c r="H8" s="2483" t="s">
        <v>1825</v>
      </c>
      <c r="I8" s="3987" t="s">
        <v>2464</v>
      </c>
      <c r="J8" s="783">
        <f ca="1">ROUND(M8*M10*M9*(1-M11)/10000,0)</f>
        <v>0</v>
      </c>
      <c r="K8" s="341" t="s">
        <v>2535</v>
      </c>
      <c r="L8" s="784" t="s">
        <v>1739</v>
      </c>
      <c r="M8" s="785">
        <f ca="1">INDIRECT("'数据-取费表'!z"&amp;$G$1)</f>
        <v>0</v>
      </c>
    </row>
    <row r="9" spans="1:25" ht="18" customHeight="1">
      <c r="A9" s="2479"/>
      <c r="B9" s="3988"/>
      <c r="C9" s="1826"/>
      <c r="D9" s="1823"/>
      <c r="E9" s="61" t="s">
        <v>638</v>
      </c>
      <c r="F9" s="785">
        <f ca="1">IF(INDIRECT("'数据-取费表'!ah"&amp;$G$1)="",INDIRECT("'数据-取费表'!k"&amp;$G$1),INDIRECT("'数据-取费表'!ah"&amp;$G$1))</f>
        <v>0</v>
      </c>
      <c r="G9" s="1592"/>
      <c r="H9" s="2468"/>
      <c r="I9" s="3988"/>
      <c r="J9" s="788"/>
      <c r="K9" s="789"/>
      <c r="L9" s="784" t="s">
        <v>1740</v>
      </c>
      <c r="M9" s="785">
        <f ca="1">F9</f>
        <v>0</v>
      </c>
    </row>
    <row r="10" spans="1:25" ht="18" customHeight="1">
      <c r="A10" s="2472"/>
      <c r="B10" s="3989"/>
      <c r="C10" s="1826"/>
      <c r="D10" s="1823"/>
      <c r="E10" s="61" t="s">
        <v>639</v>
      </c>
      <c r="F10" s="785">
        <f ca="1">INDIRECT("'数据-取费表'!ai"&amp;$G$1)</f>
        <v>0</v>
      </c>
      <c r="G10" s="1592"/>
      <c r="H10" s="2468"/>
      <c r="I10" s="3989"/>
      <c r="J10" s="788"/>
      <c r="K10" s="789"/>
      <c r="L10" s="784" t="s">
        <v>1741</v>
      </c>
      <c r="M10" s="785">
        <f ca="1">INDIRECT("'数据-取费表'!ai"&amp;$G$1)</f>
        <v>0</v>
      </c>
    </row>
    <row r="11" spans="1:25" ht="18" customHeight="1">
      <c r="A11" s="786"/>
      <c r="B11" s="3990"/>
      <c r="C11" s="1826"/>
      <c r="D11" s="1823"/>
      <c r="E11" s="61" t="s">
        <v>640</v>
      </c>
      <c r="F11" s="794">
        <f ca="1">INDIRECT("'数据-取费表'!w"&amp;$G$1)</f>
        <v>0</v>
      </c>
      <c r="G11" s="1592"/>
      <c r="H11" s="2484"/>
      <c r="I11" s="3989"/>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2"/>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30</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2822</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2823</v>
      </c>
      <c r="C31" s="2523">
        <f ca="1">ROUND((C21+C22+C25+C28)/(1-F23-C26-C29-C30),0)</f>
        <v>0</v>
      </c>
      <c r="D31" s="2524"/>
      <c r="E31" s="2525"/>
      <c r="F31" s="2526"/>
      <c r="G31" s="1593"/>
      <c r="H31" s="823" t="s">
        <v>1873</v>
      </c>
      <c r="I31" s="2987"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30</v>
      </c>
      <c r="G36" s="2062"/>
      <c r="H36" s="2065"/>
      <c r="I36" s="4012"/>
      <c r="J36" s="2079"/>
      <c r="K36" s="2080"/>
      <c r="L36" s="2079"/>
      <c r="M36" s="2079"/>
    </row>
    <row r="37" spans="1:18" ht="18" customHeight="1">
      <c r="A37" s="815"/>
      <c r="B37" s="793"/>
      <c r="C37" s="69"/>
      <c r="D37" s="816"/>
      <c r="E37" s="784" t="s">
        <v>674</v>
      </c>
      <c r="F37" s="785">
        <f ca="1">INDIRECT("'数据-取费表'!r"&amp;$G$1)</f>
        <v>0</v>
      </c>
      <c r="G37" s="2062"/>
      <c r="H37" s="2065"/>
      <c r="I37" s="4012"/>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2"/>
      <c r="Q47" s="1604"/>
      <c r="R47" s="1592"/>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2980</v>
      </c>
      <c r="J54" s="3129">
        <f ca="1">IF(M48="住宅",MAX(J52,L49-'数据-取费表'!B20),MIN(J52,L49-'数据-取费表'!B20))</f>
        <v>-2</v>
      </c>
      <c r="K54" s="4013"/>
      <c r="L54" s="4014"/>
      <c r="O54" s="2380" t="s">
        <v>2389</v>
      </c>
      <c r="P54" s="2378" t="s">
        <v>2390</v>
      </c>
      <c r="Q54" s="2379">
        <f ca="1">J54</f>
        <v>-2</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2"/>
      <c r="Q56" s="1604"/>
      <c r="R56" s="1592"/>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2944</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2"/>
      <c r="Q65" s="1604"/>
      <c r="R65" s="1592"/>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E38"/>
  <sheetViews>
    <sheetView workbookViewId="0">
      <selection activeCell="E22" sqref="E2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t="s">
        <v>3001</v>
      </c>
      <c r="C1" s="2104"/>
      <c r="D1" s="2104"/>
      <c r="E1" s="2104"/>
      <c r="F1" s="2104"/>
      <c r="G1" s="2104"/>
      <c r="H1" s="2104"/>
      <c r="I1" s="2104"/>
      <c r="J1" s="2104"/>
      <c r="K1" s="422">
        <f>MATCH(B1,'数据-取费表'!A6:A16,0)+5</f>
        <v>6</v>
      </c>
    </row>
    <row r="2" spans="1:31" s="2041" customFormat="1" ht="18" customHeight="1">
      <c r="A2" s="2101" t="s">
        <v>467</v>
      </c>
      <c r="B2" s="2105">
        <f ca="1">C36</f>
        <v>156199</v>
      </c>
      <c r="C2" s="2104"/>
      <c r="D2" s="2104"/>
      <c r="E2" s="2104"/>
      <c r="F2" s="2104"/>
      <c r="G2" s="2104"/>
      <c r="H2" s="2104"/>
      <c r="I2" s="2104"/>
      <c r="J2" s="2104"/>
      <c r="K2" s="2104"/>
    </row>
    <row r="3" spans="1:31" s="2041" customFormat="1" ht="18" customHeight="1">
      <c r="A3" s="2106" t="s">
        <v>1685</v>
      </c>
      <c r="B3" s="2107">
        <f ca="1">ROUND(B2*10000/IF(B1="",'数据-汇总表'!E3,INDIRECT("'数据-取费表'!K"&amp;$K$1)),0)</f>
        <v>39147</v>
      </c>
      <c r="C3" s="2104"/>
      <c r="D3" s="2104"/>
      <c r="E3" s="2104"/>
      <c r="F3" s="2104"/>
      <c r="G3" s="2104"/>
      <c r="H3" s="2104"/>
      <c r="I3" s="2104"/>
      <c r="J3" s="2104"/>
      <c r="K3" s="2104"/>
    </row>
    <row r="4" spans="1:31" s="2041" customFormat="1" ht="18" customHeight="1">
      <c r="A4" s="426" t="s">
        <v>468</v>
      </c>
      <c r="B4" s="427">
        <f ca="1">ROUND(B2*10000/IF(B1="",'数据-汇总表'!D3,INDIRECT("'数据-取费表'!R"&amp;$K$1)),0)</f>
        <v>380771</v>
      </c>
      <c r="C4" s="428"/>
      <c r="D4" s="422"/>
      <c r="E4" s="422"/>
      <c r="F4" s="422"/>
      <c r="G4" s="422"/>
      <c r="H4" s="422"/>
      <c r="I4" s="422"/>
      <c r="J4" s="422"/>
      <c r="K4" s="422"/>
    </row>
    <row r="5" spans="1:31" s="2041" customFormat="1" ht="18" customHeight="1" thickBot="1">
      <c r="A5" s="429"/>
      <c r="B5" s="430">
        <f ca="1">ROUND(B2/(IF(B1="",'数据-汇总表'!D3,INDIRECT("'数据-取费表'!R"&amp;$K$1))/666.67),0)</f>
        <v>25385</v>
      </c>
      <c r="C5" s="431" t="s">
        <v>469</v>
      </c>
      <c r="D5" s="422"/>
      <c r="E5" s="422"/>
      <c r="F5" s="422"/>
      <c r="G5" s="422"/>
      <c r="H5" s="422"/>
      <c r="I5" s="422"/>
      <c r="J5" s="422"/>
      <c r="K5" s="422"/>
    </row>
    <row r="6" spans="1:31" s="2111" customFormat="1" ht="16.5" customHeight="1">
      <c r="A6" s="2806" t="s">
        <v>1843</v>
      </c>
      <c r="B6" s="2807"/>
      <c r="C6" s="2808">
        <f>SUM(C10:K10)</f>
        <v>228859</v>
      </c>
      <c r="D6" s="2807"/>
      <c r="E6" s="2807"/>
      <c r="F6" s="2807"/>
      <c r="G6" s="2807"/>
      <c r="H6" s="2807"/>
      <c r="I6" s="2807"/>
      <c r="J6" s="2807"/>
      <c r="K6" s="2809"/>
    </row>
    <row r="7" spans="1:31" s="2113" customFormat="1" ht="15">
      <c r="A7" s="2810" t="s">
        <v>470</v>
      </c>
      <c r="B7" s="2811" t="s">
        <v>471</v>
      </c>
      <c r="C7" s="436" t="s">
        <v>3001</v>
      </c>
      <c r="D7" s="436" t="s">
        <v>3025</v>
      </c>
      <c r="E7" s="436" t="s">
        <v>35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ROUND(C10*10000/C9,0)</f>
        <v>57357</v>
      </c>
      <c r="D8" s="2812"/>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SUMIF('数据-汇总表'!$C19:$C33,'剩余法-办公'!C7,'数据-汇总表'!$E19:$E33)</f>
        <v>39900.839999999997</v>
      </c>
      <c r="D9" s="441">
        <f>SUMIF('数据-汇总表'!$C19:$C33,'剩余法-办公'!D7,'数据-汇总表'!$E19:$E33)</f>
        <v>2822.18</v>
      </c>
      <c r="E9" s="441">
        <f>SUMIF('数据-汇总表'!$C19:$C33,'剩余法-办公'!E7,'数据-汇总表'!$E19:$E33)</f>
        <v>15122.64</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'不动产比较法-办公'!B2</f>
        <v>228859</v>
      </c>
      <c r="D10" s="3004"/>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3177" t="s">
        <v>476</v>
      </c>
      <c r="E12" s="3177" t="s">
        <v>477</v>
      </c>
      <c r="F12" s="3177"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12768</v>
      </c>
      <c r="D13" s="2822"/>
      <c r="E13" s="2823"/>
      <c r="F13" s="2824"/>
      <c r="G13" s="2790"/>
      <c r="H13" s="2791"/>
      <c r="I13" s="2791"/>
      <c r="J13" s="2791"/>
      <c r="K13" s="2792"/>
    </row>
    <row r="14" spans="1:31" s="2116" customFormat="1" ht="13.5" customHeight="1">
      <c r="A14" s="2820" t="s">
        <v>1850</v>
      </c>
      <c r="B14" s="2821" t="s">
        <v>480</v>
      </c>
      <c r="C14" s="53">
        <f ca="1">ROUND(C13*F14,0)</f>
        <v>383</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0</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798</v>
      </c>
      <c r="D16" s="2822">
        <f ca="1">IF(B1="",'数据-汇总表'!E3,INDIRECT("'数据-取费表'!K"&amp;$K$1)+INDIRECT("'数据-取费表'!S"&amp;$K$1))</f>
        <v>39900.839999999997</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192</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14141</v>
      </c>
      <c r="D18" s="2831"/>
      <c r="E18" s="468"/>
      <c r="F18" s="468"/>
      <c r="G18" s="2794" t="s">
        <v>2431</v>
      </c>
      <c r="H18" s="2795"/>
      <c r="I18" s="2795"/>
      <c r="J18" s="2795"/>
      <c r="K18" s="2796"/>
    </row>
    <row r="19" spans="1:14" s="2116" customFormat="1" ht="13.5" customHeight="1">
      <c r="A19" s="2828" t="s">
        <v>1855</v>
      </c>
      <c r="B19" s="2829" t="s">
        <v>488</v>
      </c>
      <c r="C19" s="3177">
        <f ca="1">ROUND(D19*E19/10000,0)</f>
        <v>0</v>
      </c>
      <c r="D19" s="2832">
        <f ca="1">D16</f>
        <v>39900.839999999997</v>
      </c>
      <c r="E19" s="3177">
        <f>'数据-取费表'!B32</f>
        <v>0</v>
      </c>
      <c r="F19" s="468"/>
      <c r="G19" s="2790" t="s">
        <v>489</v>
      </c>
      <c r="H19" s="2791"/>
      <c r="I19" s="2795"/>
      <c r="J19" s="2795"/>
      <c r="K19" s="2796"/>
    </row>
    <row r="20" spans="1:14" s="2116" customFormat="1" ht="13.5" customHeight="1">
      <c r="A20" s="2828" t="s">
        <v>1856</v>
      </c>
      <c r="B20" s="2829" t="s">
        <v>490</v>
      </c>
      <c r="C20" s="3177">
        <f ca="1">C21+C22-IF(B1="",'数据-取费表'!B29,IF(G20="已全部缴纳",C21+C22,H20))</f>
        <v>798</v>
      </c>
      <c r="D20" s="2832"/>
      <c r="E20" s="3177"/>
      <c r="F20" s="2833"/>
      <c r="G20" s="3064" t="s">
        <v>3078</v>
      </c>
      <c r="H20" s="2788"/>
      <c r="I20" s="2789" t="s">
        <v>2652</v>
      </c>
      <c r="J20" s="2795"/>
      <c r="K20" s="2796"/>
    </row>
    <row r="21" spans="1:14" s="2116" customFormat="1" ht="13.5" customHeight="1">
      <c r="A21" s="2820" t="s">
        <v>1857</v>
      </c>
      <c r="B21" s="2821" t="s">
        <v>491</v>
      </c>
      <c r="C21" s="53">
        <f ca="1">ROUND(D21*E21/10000,0)</f>
        <v>0</v>
      </c>
      <c r="D21" s="2822">
        <f ca="1">IF(B1="",'数据-汇总表'!E5,IF(INDIRECT("'数据-取费表'!c"&amp;$K$1)="住宅",INDIRECT("'数据-取费表'!k"&amp;$K$1),0))</f>
        <v>0</v>
      </c>
      <c r="E21" s="53">
        <f>'数据-取费表'!B27</f>
        <v>160</v>
      </c>
      <c r="F21" s="2825"/>
      <c r="G21" s="26"/>
      <c r="H21" s="51"/>
      <c r="I21" s="51"/>
      <c r="J21" s="51"/>
      <c r="K21" s="2797"/>
    </row>
    <row r="22" spans="1:14" s="2116" customFormat="1" ht="13.5" customHeight="1">
      <c r="A22" s="2820" t="s">
        <v>1858</v>
      </c>
      <c r="B22" s="2821" t="s">
        <v>492</v>
      </c>
      <c r="C22" s="53">
        <f ca="1">ROUND(D22*E22/10000,0)</f>
        <v>798</v>
      </c>
      <c r="D22" s="2822">
        <f ca="1">IF(B1="",'数据-汇总表'!E6,IF(INDIRECT("'数据-取费表'!c"&amp;$K$1)="住宅",INDIRECT("'数据-取费表'!s"&amp;$K$1),INDIRECT("'数据-取费表'!k"&amp;$K$1)+INDIRECT("'数据-取费表'!s"&amp;$K$1)))</f>
        <v>39900.839999999997</v>
      </c>
      <c r="E22" s="53">
        <f>'数据-取费表'!B28</f>
        <v>200</v>
      </c>
      <c r="F22" s="2825"/>
      <c r="G22" s="26"/>
      <c r="H22" s="51"/>
      <c r="I22" s="51"/>
      <c r="J22" s="51"/>
      <c r="K22" s="2797"/>
    </row>
    <row r="23" spans="1:14" s="2116" customFormat="1" ht="13.5" customHeight="1">
      <c r="A23" s="2828" t="s">
        <v>1859</v>
      </c>
      <c r="B23" s="3010" t="s">
        <v>2834</v>
      </c>
      <c r="C23" s="2830">
        <f ca="1">ROUND((C18+C19+C20)*F23,0)</f>
        <v>299</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2837</v>
      </c>
      <c r="C24" s="2830">
        <f>ROUND(C6*F24,0)</f>
        <v>4577</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2835</v>
      </c>
      <c r="C25" s="467">
        <f>ROUND(F25/(1+'数据-取费表'!C42),4)</f>
        <v>2.9000000000000001E-2</v>
      </c>
      <c r="D25" s="462" t="s">
        <v>495</v>
      </c>
      <c r="E25" s="469"/>
      <c r="F25" s="2834">
        <f>'数据-取费表'!B48+'数据-取费表'!B49</f>
        <v>3.0499999999999999E-2</v>
      </c>
      <c r="G25" s="2798" t="s">
        <v>2290</v>
      </c>
      <c r="H25" s="2791"/>
      <c r="I25" s="2791"/>
      <c r="J25" s="2791"/>
      <c r="K25" s="2792"/>
    </row>
    <row r="26" spans="1:14" s="2118" customFormat="1" ht="13.5" customHeight="1">
      <c r="A26" s="2828" t="s">
        <v>1862</v>
      </c>
      <c r="B26" s="3011" t="s">
        <v>2836</v>
      </c>
      <c r="C26" s="2835">
        <f ca="1">C28</f>
        <v>0</v>
      </c>
      <c r="D26" s="467">
        <f ca="1">C27</f>
        <v>0</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2838</v>
      </c>
      <c r="C28" s="2838">
        <f ca="1">ROUND(IF('数据-取费表'!B22&lt;=1,(C18+C19+C20+C23+C24)*F26*'数据-取费表'!B24/2,(C18+C19+C20+C23+C24)*(POWER((1+F26),'数据-取费表'!B24/2)-1)),0)</f>
        <v>0</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12206</v>
      </c>
      <c r="D29" s="468"/>
      <c r="E29" s="468"/>
      <c r="F29" s="3012">
        <f>'数据-取费表'!B41</f>
        <v>5.6000000000000001E-2</v>
      </c>
      <c r="G29" s="2799" t="s">
        <v>498</v>
      </c>
      <c r="H29" s="2791"/>
      <c r="I29" s="2791"/>
      <c r="J29" s="2791"/>
      <c r="K29" s="2792"/>
    </row>
    <row r="30" spans="1:14" s="2121" customFormat="1" ht="13.5" customHeight="1">
      <c r="A30" s="1635" t="s">
        <v>1864</v>
      </c>
      <c r="B30" s="2840" t="s">
        <v>500</v>
      </c>
      <c r="C30" s="2835">
        <f ca="1">C31</f>
        <v>32021</v>
      </c>
      <c r="D30" s="477">
        <f ca="1">C32</f>
        <v>2.9000000000000001E-2</v>
      </c>
      <c r="E30" s="469" t="s">
        <v>495</v>
      </c>
      <c r="F30" s="471"/>
      <c r="G30" s="2798" t="s">
        <v>2974</v>
      </c>
      <c r="H30" s="2791"/>
      <c r="I30" s="2791"/>
      <c r="J30" s="2791"/>
      <c r="K30" s="2792"/>
    </row>
    <row r="31" spans="1:14" s="2120" customFormat="1" ht="13.5" customHeight="1">
      <c r="A31" s="803" t="s">
        <v>1857</v>
      </c>
      <c r="B31" s="2836"/>
      <c r="C31" s="450">
        <f ca="1">C18+C19+C20+C23+C24+C26+C29</f>
        <v>32021</v>
      </c>
      <c r="D31" s="472"/>
      <c r="E31" s="473"/>
      <c r="F31" s="474"/>
      <c r="G31" s="261"/>
      <c r="H31" s="2793"/>
      <c r="I31" s="2793"/>
      <c r="J31" s="2793"/>
      <c r="K31" s="279"/>
    </row>
    <row r="32" spans="1:14" s="2120" customFormat="1" ht="13.5" customHeight="1">
      <c r="A32" s="803" t="s">
        <v>1858</v>
      </c>
      <c r="B32" s="2836"/>
      <c r="C32" s="53">
        <f ca="1">ROUND(C25+D26,4)</f>
        <v>2.9000000000000001E-2</v>
      </c>
      <c r="D32" s="472"/>
      <c r="E32" s="473"/>
      <c r="F32" s="474"/>
      <c r="G32" s="261"/>
      <c r="H32" s="2793"/>
      <c r="I32" s="2793"/>
      <c r="J32" s="2793"/>
      <c r="K32" s="279"/>
    </row>
    <row r="33" spans="1:11" s="2122" customFormat="1" ht="13.5" customHeight="1">
      <c r="A33" s="3009" t="s">
        <v>2833</v>
      </c>
      <c r="B33" s="3007" t="s">
        <v>2831</v>
      </c>
      <c r="C33" s="478">
        <f ca="1">C35</f>
        <v>3963</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6" t="s">
        <v>1858</v>
      </c>
      <c r="B35" s="3008" t="s">
        <v>2839</v>
      </c>
      <c r="C35" s="1628">
        <f ca="1">ROUND((C18+C19+C20+C23+C24)*F33,0)</f>
        <v>3963</v>
      </c>
      <c r="D35" s="1629"/>
      <c r="E35" s="2842"/>
      <c r="F35" s="1630"/>
      <c r="G35" s="2800"/>
      <c r="H35" s="2801"/>
      <c r="I35" s="2801"/>
      <c r="J35" s="2801"/>
      <c r="K35" s="2802"/>
    </row>
    <row r="36" spans="1:11" s="2085" customFormat="1" ht="13.5" customHeight="1" thickBot="1">
      <c r="A36" s="284" t="s">
        <v>1845</v>
      </c>
      <c r="B36" s="2804"/>
      <c r="C36" s="2843">
        <f ca="1">ROUND((C6-C30-C33)/(1+D30+D33),0)</f>
        <v>156199</v>
      </c>
      <c r="D36" s="2804"/>
      <c r="E36" s="2804"/>
      <c r="F36" s="2804"/>
      <c r="G36" s="2803" t="s">
        <v>2840</v>
      </c>
      <c r="H36" s="2804"/>
      <c r="I36" s="2804"/>
      <c r="J36" s="2804"/>
      <c r="K36" s="2805"/>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15" t="s">
        <v>2472</v>
      </c>
      <c r="B1" s="4016"/>
      <c r="C1" s="4017"/>
      <c r="D1" s="4018">
        <f>SUM(I10,I15,I20,I21,I23)</f>
        <v>0</v>
      </c>
      <c r="E1" s="4018"/>
      <c r="F1" s="4018"/>
      <c r="G1" s="4018"/>
      <c r="H1" s="4018"/>
      <c r="I1" s="4019"/>
    </row>
    <row r="2" spans="1:9">
      <c r="A2" s="4020" t="s">
        <v>2473</v>
      </c>
      <c r="B2" s="4021" t="s">
        <v>2474</v>
      </c>
      <c r="C2" s="4021"/>
      <c r="D2" s="2486" t="s">
        <v>2475</v>
      </c>
      <c r="E2" s="2486" t="s">
        <v>2476</v>
      </c>
      <c r="F2" s="2486" t="s">
        <v>2477</v>
      </c>
      <c r="G2" s="2486" t="s">
        <v>2478</v>
      </c>
      <c r="H2" s="2486" t="s">
        <v>2479</v>
      </c>
      <c r="I2" s="2487" t="s">
        <v>2480</v>
      </c>
    </row>
    <row r="3" spans="1:9">
      <c r="A3" s="4020"/>
      <c r="B3" s="4021" t="s">
        <v>2481</v>
      </c>
      <c r="C3" s="4021"/>
      <c r="D3" s="2488"/>
      <c r="E3" s="2486"/>
      <c r="F3" s="2489"/>
      <c r="G3" s="2489"/>
      <c r="H3" s="2490"/>
      <c r="I3" s="2491">
        <f>ROUND(D3*E3*F3*G3*H3/10000,0)</f>
        <v>0</v>
      </c>
    </row>
    <row r="4" spans="1:9">
      <c r="A4" s="4020"/>
      <c r="B4" s="4021" t="s">
        <v>2482</v>
      </c>
      <c r="C4" s="4021"/>
      <c r="D4" s="2488"/>
      <c r="E4" s="2486"/>
      <c r="F4" s="2489"/>
      <c r="G4" s="2489"/>
      <c r="H4" s="2490"/>
      <c r="I4" s="2491">
        <f t="shared" ref="I4:I9" si="0">ROUND(D4*E4*F4*G4*H4/10000,0)</f>
        <v>0</v>
      </c>
    </row>
    <row r="5" spans="1:9">
      <c r="A5" s="4020"/>
      <c r="B5" s="4021" t="s">
        <v>2483</v>
      </c>
      <c r="C5" s="4021"/>
      <c r="D5" s="2488"/>
      <c r="E5" s="2486"/>
      <c r="F5" s="2489"/>
      <c r="G5" s="2489"/>
      <c r="H5" s="2490"/>
      <c r="I5" s="2491">
        <f t="shared" si="0"/>
        <v>0</v>
      </c>
    </row>
    <row r="6" spans="1:9">
      <c r="A6" s="4020"/>
      <c r="B6" s="4021" t="s">
        <v>2484</v>
      </c>
      <c r="C6" s="4021"/>
      <c r="D6" s="2488"/>
      <c r="E6" s="2486"/>
      <c r="F6" s="2489"/>
      <c r="G6" s="2489"/>
      <c r="H6" s="2490"/>
      <c r="I6" s="2491">
        <f t="shared" si="0"/>
        <v>0</v>
      </c>
    </row>
    <row r="7" spans="1:9">
      <c r="A7" s="4020"/>
      <c r="B7" s="4021" t="s">
        <v>2485</v>
      </c>
      <c r="C7" s="4021"/>
      <c r="D7" s="2488"/>
      <c r="E7" s="2486"/>
      <c r="F7" s="2489"/>
      <c r="G7" s="2489"/>
      <c r="H7" s="2490"/>
      <c r="I7" s="2491">
        <f t="shared" si="0"/>
        <v>0</v>
      </c>
    </row>
    <row r="8" spans="1:9">
      <c r="A8" s="4020"/>
      <c r="B8" s="4021" t="s">
        <v>2486</v>
      </c>
      <c r="C8" s="4021"/>
      <c r="D8" s="2488"/>
      <c r="E8" s="2486"/>
      <c r="F8" s="2489"/>
      <c r="G8" s="2489"/>
      <c r="H8" s="2490"/>
      <c r="I8" s="2491">
        <f t="shared" si="0"/>
        <v>0</v>
      </c>
    </row>
    <row r="9" spans="1:9">
      <c r="A9" s="4020"/>
      <c r="B9" s="4021" t="s">
        <v>2487</v>
      </c>
      <c r="C9" s="4021"/>
      <c r="D9" s="2488"/>
      <c r="E9" s="2486"/>
      <c r="F9" s="2489"/>
      <c r="G9" s="2489"/>
      <c r="H9" s="2490"/>
      <c r="I9" s="2491">
        <f t="shared" si="0"/>
        <v>0</v>
      </c>
    </row>
    <row r="10" spans="1:9">
      <c r="A10" s="4020"/>
      <c r="B10" s="4022" t="s">
        <v>2488</v>
      </c>
      <c r="C10" s="4022"/>
      <c r="D10" s="2492">
        <v>527</v>
      </c>
      <c r="E10" s="2492" t="e">
        <f>ROUND(D1*10000/D10/H9,0)</f>
        <v>#DIV/0!</v>
      </c>
      <c r="F10" s="2493"/>
      <c r="G10" s="2493"/>
      <c r="H10" s="2494"/>
      <c r="I10" s="2495">
        <f>SUM(I3:I9)</f>
        <v>0</v>
      </c>
    </row>
    <row r="11" spans="1:9" ht="14.25">
      <c r="A11" s="4020" t="s">
        <v>2489</v>
      </c>
      <c r="B11" s="4021" t="s">
        <v>2490</v>
      </c>
      <c r="C11" s="4021"/>
      <c r="D11" s="2488" t="s">
        <v>2491</v>
      </c>
      <c r="E11" s="2488" t="s">
        <v>2492</v>
      </c>
      <c r="F11" s="2489" t="s">
        <v>2493</v>
      </c>
      <c r="G11" s="2489" t="s">
        <v>2494</v>
      </c>
      <c r="H11" s="2496" t="s">
        <v>2495</v>
      </c>
      <c r="I11" s="2487" t="s">
        <v>2496</v>
      </c>
    </row>
    <row r="12" spans="1:9">
      <c r="A12" s="4020"/>
      <c r="B12" s="4021" t="s">
        <v>2497</v>
      </c>
      <c r="C12" s="4021"/>
      <c r="D12" s="2488"/>
      <c r="E12" s="2488"/>
      <c r="F12" s="2489"/>
      <c r="G12" s="2490"/>
      <c r="H12" s="2497"/>
      <c r="I12" s="2487">
        <f>ROUND(D12*E12*F12*G12/10000,0)</f>
        <v>0</v>
      </c>
    </row>
    <row r="13" spans="1:9">
      <c r="A13" s="4020"/>
      <c r="B13" s="4021" t="s">
        <v>2498</v>
      </c>
      <c r="C13" s="4021"/>
      <c r="D13" s="2488"/>
      <c r="E13" s="2488"/>
      <c r="F13" s="2489"/>
      <c r="G13" s="2490"/>
      <c r="H13" s="2497"/>
      <c r="I13" s="2487">
        <f>ROUND(D13*E13*F13*G13/10000,0)</f>
        <v>0</v>
      </c>
    </row>
    <row r="14" spans="1:9">
      <c r="A14" s="4020"/>
      <c r="B14" s="4021" t="s">
        <v>2499</v>
      </c>
      <c r="C14" s="4021"/>
      <c r="D14" s="2488"/>
      <c r="E14" s="2488"/>
      <c r="F14" s="2489"/>
      <c r="G14" s="2490"/>
      <c r="H14" s="2497"/>
      <c r="I14" s="2487">
        <f>ROUND(D14*E14*F14*G14/10000,0)</f>
        <v>0</v>
      </c>
    </row>
    <row r="15" spans="1:9">
      <c r="A15" s="4020"/>
      <c r="B15" s="4022" t="s">
        <v>2488</v>
      </c>
      <c r="C15" s="4022"/>
      <c r="D15" s="2492"/>
      <c r="E15" s="2492">
        <f>SUM(E12:E14)</f>
        <v>0</v>
      </c>
      <c r="F15" s="2493"/>
      <c r="G15" s="2490"/>
      <c r="H15" s="2497"/>
      <c r="I15" s="2498">
        <f>SUM(I12:I14)</f>
        <v>0</v>
      </c>
    </row>
    <row r="16" spans="1:9" ht="24">
      <c r="A16" s="4020" t="s">
        <v>2500</v>
      </c>
      <c r="B16" s="4021" t="s">
        <v>2501</v>
      </c>
      <c r="C16" s="4021"/>
      <c r="D16" s="2488" t="s">
        <v>2502</v>
      </c>
      <c r="E16" s="2499" t="s">
        <v>2503</v>
      </c>
      <c r="F16" s="2489" t="s">
        <v>2504</v>
      </c>
      <c r="G16" s="2490" t="s">
        <v>2494</v>
      </c>
      <c r="H16" s="2496" t="s">
        <v>2495</v>
      </c>
      <c r="I16" s="2487" t="s">
        <v>2496</v>
      </c>
    </row>
    <row r="17" spans="1:9" ht="14.25">
      <c r="A17" s="4020"/>
      <c r="B17" s="4021" t="s">
        <v>2505</v>
      </c>
      <c r="C17" s="4021"/>
      <c r="D17" s="2488"/>
      <c r="E17" s="2488"/>
      <c r="F17" s="2489"/>
      <c r="G17" s="2490"/>
      <c r="H17" s="2500"/>
      <c r="I17" s="2501">
        <f>ROUND(D17*E17*F17*G17/10000,0)</f>
        <v>0</v>
      </c>
    </row>
    <row r="18" spans="1:9" ht="14.25">
      <c r="A18" s="4020"/>
      <c r="B18" s="4021" t="s">
        <v>2506</v>
      </c>
      <c r="C18" s="4021"/>
      <c r="D18" s="2488"/>
      <c r="E18" s="2488"/>
      <c r="F18" s="2489"/>
      <c r="G18" s="2490"/>
      <c r="H18" s="2500"/>
      <c r="I18" s="2501">
        <f>ROUND(D18*E18*F18*G18/10000,0)</f>
        <v>0</v>
      </c>
    </row>
    <row r="19" spans="1:9" ht="14.25">
      <c r="A19" s="4020"/>
      <c r="B19" s="4021" t="s">
        <v>2507</v>
      </c>
      <c r="C19" s="4021"/>
      <c r="D19" s="2488"/>
      <c r="E19" s="2488"/>
      <c r="F19" s="2489"/>
      <c r="G19" s="2490"/>
      <c r="H19" s="2500"/>
      <c r="I19" s="2501">
        <f>ROUND(D19*E19*F19*G19/10000,0)</f>
        <v>0</v>
      </c>
    </row>
    <row r="20" spans="1:9">
      <c r="A20" s="4020"/>
      <c r="B20" s="4022" t="s">
        <v>2488</v>
      </c>
      <c r="C20" s="4022"/>
      <c r="D20" s="2492">
        <f>SUM(D17:D19)</f>
        <v>0</v>
      </c>
      <c r="E20" s="2492"/>
      <c r="F20" s="2493"/>
      <c r="G20" s="2490"/>
      <c r="H20" s="2497"/>
      <c r="I20" s="2498">
        <f>SUM(I17:I19)</f>
        <v>0</v>
      </c>
    </row>
    <row r="21" spans="1:9">
      <c r="A21" s="4020" t="s">
        <v>2508</v>
      </c>
      <c r="B21" s="4024"/>
      <c r="C21" s="4024"/>
      <c r="D21" s="4024"/>
      <c r="E21" s="4024"/>
      <c r="F21" s="4024"/>
      <c r="G21" s="4024"/>
      <c r="H21" s="2502">
        <v>0.1</v>
      </c>
      <c r="I21" s="2495">
        <f>ROUND(I10*H21,0)</f>
        <v>0</v>
      </c>
    </row>
    <row r="22" spans="1:9" ht="14.25">
      <c r="A22" s="4025" t="s">
        <v>2509</v>
      </c>
      <c r="B22" s="4026"/>
      <c r="C22" s="4027"/>
      <c r="D22" s="2503" t="s">
        <v>2510</v>
      </c>
      <c r="E22" s="2503" t="s">
        <v>2511</v>
      </c>
      <c r="F22" s="2504" t="s">
        <v>2512</v>
      </c>
      <c r="G22" s="2504" t="s">
        <v>2513</v>
      </c>
      <c r="H22" s="2496" t="s">
        <v>2514</v>
      </c>
      <c r="I22" s="2487" t="s">
        <v>2515</v>
      </c>
    </row>
    <row r="23" spans="1:9" ht="14.25" thickBot="1">
      <c r="A23" s="4028"/>
      <c r="B23" s="4029"/>
      <c r="C23" s="4030"/>
      <c r="D23" s="2505"/>
      <c r="E23" s="2505"/>
      <c r="F23" s="2505"/>
      <c r="G23" s="2506"/>
      <c r="H23" s="2507"/>
      <c r="I23" s="2508">
        <f>ROUND(E23*D23*F23*(1-G23)/10000,0)</f>
        <v>0</v>
      </c>
    </row>
    <row r="26" spans="1:9">
      <c r="A26" s="2509" t="s">
        <v>2516</v>
      </c>
      <c r="B26" s="2509"/>
      <c r="C26" s="2509"/>
      <c r="D26" s="2509"/>
      <c r="E26" s="4031">
        <f>C27-C30-C31-C32</f>
        <v>0</v>
      </c>
      <c r="F26" s="4031"/>
      <c r="G26" s="4031"/>
      <c r="H26" s="3019" t="s">
        <v>2843</v>
      </c>
    </row>
    <row r="27" spans="1:9">
      <c r="A27" s="2510">
        <v>1</v>
      </c>
      <c r="B27" s="2511" t="s">
        <v>2517</v>
      </c>
      <c r="C27" s="2511"/>
      <c r="D27" s="2511"/>
      <c r="E27" s="4032"/>
      <c r="F27" s="4032"/>
      <c r="G27" s="4032"/>
    </row>
    <row r="28" spans="1:9">
      <c r="A28" s="2512" t="s">
        <v>2518</v>
      </c>
      <c r="B28" s="2511" t="s">
        <v>2519</v>
      </c>
      <c r="C28" s="2511"/>
      <c r="D28" s="2511"/>
      <c r="E28" s="4032"/>
      <c r="F28" s="4032"/>
      <c r="G28" s="4032"/>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4023"/>
      <c r="F32" s="4023"/>
      <c r="G32" s="4023"/>
    </row>
    <row r="33" spans="1:7" hidden="1">
      <c r="A33" s="4033" t="s">
        <v>2527</v>
      </c>
      <c r="B33" s="4034"/>
      <c r="C33" s="4034"/>
      <c r="D33" s="4035"/>
      <c r="E33" s="4031"/>
      <c r="F33" s="4031"/>
      <c r="G33" s="4031"/>
    </row>
    <row r="34" spans="1:7" hidden="1">
      <c r="A34" s="2514">
        <v>1</v>
      </c>
      <c r="B34" s="2511" t="s">
        <v>2528</v>
      </c>
      <c r="C34" s="2511"/>
      <c r="D34" s="2511"/>
      <c r="E34" s="4032"/>
      <c r="F34" s="4032"/>
      <c r="G34" s="4032"/>
    </row>
    <row r="35" spans="1:7" hidden="1">
      <c r="A35" s="2514">
        <v>2</v>
      </c>
      <c r="B35" s="2511" t="s">
        <v>2529</v>
      </c>
      <c r="C35" s="2511"/>
      <c r="D35" s="2511"/>
      <c r="E35" s="4032"/>
      <c r="F35" s="4032"/>
      <c r="G35" s="4032"/>
    </row>
    <row r="36" spans="1:7" hidden="1">
      <c r="A36" s="2514">
        <v>3</v>
      </c>
      <c r="B36" s="2511" t="s">
        <v>2530</v>
      </c>
      <c r="C36" s="2511"/>
      <c r="D36" s="2511"/>
      <c r="E36" s="4032"/>
      <c r="F36" s="4032"/>
      <c r="G36" s="4032"/>
    </row>
    <row r="37" spans="1:7" hidden="1">
      <c r="A37" s="2514">
        <v>4</v>
      </c>
      <c r="B37" s="2511" t="s">
        <v>2531</v>
      </c>
      <c r="C37" s="2511"/>
      <c r="D37" s="2511"/>
      <c r="E37" s="4032"/>
      <c r="F37" s="4032"/>
      <c r="G37" s="4032"/>
    </row>
    <row r="38" spans="1:7" hidden="1">
      <c r="A38" s="4033" t="s">
        <v>2532</v>
      </c>
      <c r="B38" s="4034"/>
      <c r="C38" s="4034"/>
      <c r="D38" s="4035"/>
      <c r="E38" s="4031"/>
      <c r="F38" s="4031"/>
      <c r="G38" s="40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t="e">
        <f ca="1">C23</f>
        <v>#REF!</v>
      </c>
      <c r="C2" s="2108"/>
      <c r="D2" s="2108"/>
      <c r="E2" s="2108"/>
      <c r="F2" s="2108"/>
      <c r="G2" s="2108"/>
    </row>
    <row r="3" spans="1:25" s="2059" customFormat="1" ht="18" customHeight="1">
      <c r="A3" s="1379" t="s">
        <v>1686</v>
      </c>
      <c r="B3" s="425" t="e">
        <f ca="1">ROUND(B2*10000/'数据-汇总表'!E3,0)</f>
        <v>#REF!</v>
      </c>
      <c r="C3" s="2108"/>
      <c r="D3" s="2108"/>
      <c r="E3" s="2108"/>
      <c r="F3" s="2108"/>
      <c r="G3" s="2108"/>
    </row>
    <row r="4" spans="1:25" s="2059" customFormat="1" ht="18" customHeight="1">
      <c r="A4" s="426" t="s">
        <v>468</v>
      </c>
      <c r="B4" s="427" t="e">
        <f ca="1">ROUND(B2*10000/'数据-汇总表'!D3,0)</f>
        <v>#REF!</v>
      </c>
      <c r="C4" s="2061"/>
      <c r="D4" s="2108"/>
      <c r="E4" s="2108"/>
      <c r="F4" s="2108"/>
      <c r="G4" s="2108"/>
    </row>
    <row r="5" spans="1:25" s="2059" customFormat="1" ht="18" customHeight="1" thickBot="1">
      <c r="A5" s="429"/>
      <c r="B5" s="430" t="e">
        <f ca="1">ROUND(B2/('数据-汇总表'!D3/666.67),0)</f>
        <v>#REF!</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59625.46</v>
      </c>
      <c r="E10" s="749">
        <f>'数据-取费表'!B31</f>
        <v>150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0</v>
      </c>
      <c r="E12" s="757">
        <f>'数据-取费表'!B27</f>
        <v>160</v>
      </c>
      <c r="F12" s="755"/>
      <c r="G12" s="759"/>
    </row>
    <row r="13" spans="1:25" s="2183" customFormat="1" ht="13.5" customHeight="1">
      <c r="A13" s="2455" t="s">
        <v>2448</v>
      </c>
      <c r="B13" s="756" t="s">
        <v>612</v>
      </c>
      <c r="C13" s="757">
        <f>ROUND(D13*E13/10000,0)</f>
        <v>1193</v>
      </c>
      <c r="D13" s="758">
        <f>'数据-汇总表'!E6</f>
        <v>59625.46</v>
      </c>
      <c r="E13" s="757">
        <f>'数据-取费表'!B28</f>
        <v>200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t="e">
        <f ca="1">ROUND(C21*F22,0)</f>
        <v>#REF!</v>
      </c>
      <c r="D22" s="760"/>
      <c r="E22" s="749"/>
      <c r="F22" s="766" t="e">
        <f>'数据-取费表'!AP16</f>
        <v>#REF!</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t="e">
        <f ca="1">C22</f>
        <v>#REF!</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6130.06平方米。根据《建设工程规划许可证》[]、《出让合同》[]，估价对象规划建筑面积为59625.46平方米。</v>
      </c>
    </row>
    <row r="7" spans="1:4" ht="93.75">
      <c r="A7" s="2851" t="s">
        <v>2749</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2019年3月28日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根据《国有土地使用证》[]，估价对象（分摊）出让国有建设用地使用权面积为6130.06平方米。根据《建设工程规划许可证》[]、《出让合同》[]，估价对象规划建筑面积为59625.46平方米。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28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收益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957" t="s">
        <v>522</v>
      </c>
      <c r="D4" s="3958"/>
      <c r="E4" s="3959" t="s">
        <v>523</v>
      </c>
      <c r="F4" s="3960"/>
      <c r="G4" s="3957" t="s">
        <v>524</v>
      </c>
      <c r="H4" s="3958"/>
      <c r="I4" s="3957" t="s">
        <v>525</v>
      </c>
      <c r="J4" s="3958"/>
      <c r="K4" s="853" t="s">
        <v>526</v>
      </c>
      <c r="L4" s="2133"/>
      <c r="M4" s="2134"/>
      <c r="N4" s="2134"/>
      <c r="O4" s="2134"/>
      <c r="P4" s="3961" t="s">
        <v>527</v>
      </c>
      <c r="Q4" s="3962"/>
      <c r="R4" s="3967" t="s">
        <v>523</v>
      </c>
      <c r="S4" s="3968"/>
      <c r="T4" s="3967" t="s">
        <v>524</v>
      </c>
      <c r="U4" s="3968"/>
      <c r="V4" s="3973" t="s">
        <v>525</v>
      </c>
      <c r="W4" s="3973"/>
      <c r="X4" s="1567"/>
      <c r="Y4" s="3967" t="s">
        <v>527</v>
      </c>
      <c r="Z4" s="3968"/>
      <c r="AA4" s="3954" t="s">
        <v>523</v>
      </c>
      <c r="AB4" s="3954" t="s">
        <v>524</v>
      </c>
      <c r="AC4" s="3954" t="s">
        <v>525</v>
      </c>
    </row>
    <row r="5" spans="1:29" ht="15">
      <c r="A5" s="515"/>
      <c r="B5" s="516"/>
      <c r="C5" s="3993" t="s">
        <v>2931</v>
      </c>
      <c r="D5" s="3977"/>
      <c r="E5" s="4001" t="s">
        <v>2932</v>
      </c>
      <c r="F5" s="3984"/>
      <c r="G5" s="3993" t="s">
        <v>2933</v>
      </c>
      <c r="H5" s="3977"/>
      <c r="I5" s="3993" t="s">
        <v>2934</v>
      </c>
      <c r="J5" s="3977"/>
      <c r="K5" s="854"/>
      <c r="L5" s="2133"/>
      <c r="M5" s="2134"/>
      <c r="N5" s="2134"/>
      <c r="O5" s="2134"/>
      <c r="P5" s="3963"/>
      <c r="Q5" s="3964"/>
      <c r="R5" s="3969"/>
      <c r="S5" s="3970"/>
      <c r="T5" s="3969"/>
      <c r="U5" s="3970"/>
      <c r="V5" s="3973"/>
      <c r="W5" s="3973"/>
      <c r="X5" s="1567"/>
      <c r="Y5" s="3969"/>
      <c r="Z5" s="3970"/>
      <c r="AA5" s="3955"/>
      <c r="AB5" s="3955"/>
      <c r="AC5" s="3955"/>
    </row>
    <row r="6" spans="1:29" ht="15.75" thickBot="1">
      <c r="A6" s="517"/>
      <c r="B6" s="518"/>
      <c r="C6" s="3974" t="s">
        <v>2935</v>
      </c>
      <c r="D6" s="3975"/>
      <c r="E6" s="3981" t="s">
        <v>2935</v>
      </c>
      <c r="F6" s="3982"/>
      <c r="G6" s="3974" t="s">
        <v>2935</v>
      </c>
      <c r="H6" s="3975"/>
      <c r="I6" s="3974" t="s">
        <v>2935</v>
      </c>
      <c r="J6" s="3975"/>
      <c r="K6" s="854" t="s">
        <v>528</v>
      </c>
      <c r="L6" s="2133"/>
      <c r="M6" s="2134"/>
      <c r="N6" s="2134"/>
      <c r="O6" s="2134"/>
      <c r="P6" s="3965"/>
      <c r="Q6" s="3966"/>
      <c r="R6" s="3969"/>
      <c r="S6" s="3970"/>
      <c r="T6" s="3971"/>
      <c r="U6" s="3972"/>
      <c r="V6" s="3973"/>
      <c r="W6" s="3973"/>
      <c r="X6" s="1567"/>
      <c r="Y6" s="3971"/>
      <c r="Z6" s="3972"/>
      <c r="AA6" s="3956"/>
      <c r="AB6" s="3956"/>
      <c r="AC6" s="3956"/>
    </row>
    <row r="7" spans="1:29" s="1220" customFormat="1" ht="15.75" thickBot="1">
      <c r="A7" s="2890"/>
      <c r="B7" s="2897" t="s">
        <v>529</v>
      </c>
      <c r="C7" s="519">
        <f>'数据-取费表'!B2</f>
        <v>43552</v>
      </c>
      <c r="D7" s="520">
        <v>100</v>
      </c>
      <c r="E7" s="521"/>
      <c r="F7" s="522">
        <f>SUMIF(58:58,YEAR(E7)&amp;"-"&amp;MONTH(E7),59:59)</f>
        <v>0</v>
      </c>
      <c r="G7" s="523"/>
      <c r="H7" s="520">
        <f>SUMIF(58:58,YEAR(G7)&amp;"-"&amp;MONTH(G7),59:59)</f>
        <v>0</v>
      </c>
      <c r="I7" s="523"/>
      <c r="J7" s="520">
        <f>SUMIF(58:58,YEAR(I7)&amp;"-"&amp;MONTH(I7),59:59)</f>
        <v>0</v>
      </c>
      <c r="K7" s="855"/>
      <c r="L7" s="2135"/>
      <c r="M7" s="2136"/>
      <c r="N7" s="2136"/>
      <c r="O7" s="2136"/>
      <c r="P7" s="3978" t="s">
        <v>530</v>
      </c>
      <c r="Q7" s="3980"/>
      <c r="R7" s="1568" t="s">
        <v>13</v>
      </c>
      <c r="S7" s="1569">
        <f t="shared" ref="S7:S15" si="0">F7</f>
        <v>0</v>
      </c>
      <c r="T7" s="1568" t="s">
        <v>13</v>
      </c>
      <c r="U7" s="1569">
        <f t="shared" ref="U7:U15" si="1">H7</f>
        <v>0</v>
      </c>
      <c r="V7" s="1568" t="s">
        <v>13</v>
      </c>
      <c r="W7" s="1569">
        <f t="shared" ref="W7:W15" si="2">J7</f>
        <v>0</v>
      </c>
      <c r="X7" s="1570"/>
      <c r="Y7" s="3978" t="s">
        <v>530</v>
      </c>
      <c r="Z7" s="3979"/>
      <c r="AA7" s="1571" t="e">
        <f>D7/F7</f>
        <v>#DIV/0!</v>
      </c>
      <c r="AB7" s="1571" t="e">
        <f>D7/H7</f>
        <v>#DIV/0!</v>
      </c>
      <c r="AC7" s="1571"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978" t="s">
        <v>533</v>
      </c>
      <c r="Q8" s="3979"/>
      <c r="R8" s="1568" t="s">
        <v>13</v>
      </c>
      <c r="S8" s="1569">
        <f t="shared" si="0"/>
        <v>0</v>
      </c>
      <c r="T8" s="1568" t="s">
        <v>13</v>
      </c>
      <c r="U8" s="1569">
        <f t="shared" si="1"/>
        <v>0</v>
      </c>
      <c r="V8" s="1568" t="s">
        <v>13</v>
      </c>
      <c r="W8" s="1569">
        <f t="shared" si="2"/>
        <v>0</v>
      </c>
      <c r="X8" s="1570"/>
      <c r="Y8" s="3978" t="s">
        <v>533</v>
      </c>
      <c r="Z8" s="3979"/>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944" t="s">
        <v>535</v>
      </c>
      <c r="Q9" s="1151" t="str">
        <f t="shared" ref="Q9:Q15" si="6">B9</f>
        <v>用途</v>
      </c>
      <c r="R9" s="1568" t="s">
        <v>8</v>
      </c>
      <c r="S9" s="1569">
        <f t="shared" si="0"/>
        <v>100</v>
      </c>
      <c r="T9" s="1568" t="s">
        <v>8</v>
      </c>
      <c r="U9" s="1569">
        <f t="shared" si="1"/>
        <v>100</v>
      </c>
      <c r="V9" s="1568" t="s">
        <v>8</v>
      </c>
      <c r="W9" s="1569">
        <f t="shared" si="2"/>
        <v>100</v>
      </c>
      <c r="X9" s="1570"/>
      <c r="Y9" s="3798"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944"/>
      <c r="Q10" s="1151" t="str">
        <f t="shared" si="6"/>
        <v>土地使用年限（年）</v>
      </c>
      <c r="R10" s="1568" t="s">
        <v>8</v>
      </c>
      <c r="S10" s="1569">
        <f t="shared" si="0"/>
        <v>100</v>
      </c>
      <c r="T10" s="1568" t="s">
        <v>8</v>
      </c>
      <c r="U10" s="1569">
        <f t="shared" si="1"/>
        <v>100</v>
      </c>
      <c r="V10" s="1568" t="s">
        <v>8</v>
      </c>
      <c r="W10" s="1569">
        <f t="shared" si="2"/>
        <v>100</v>
      </c>
      <c r="X10" s="1570"/>
      <c r="Y10" s="3798"/>
      <c r="Z10" s="1150" t="str">
        <f t="shared" si="7"/>
        <v>土地使用年限（年）</v>
      </c>
      <c r="AA10" s="1571">
        <f t="shared" si="3"/>
        <v>1</v>
      </c>
      <c r="AB10" s="1571">
        <f t="shared" si="4"/>
        <v>1</v>
      </c>
      <c r="AC10" s="1571">
        <f t="shared" si="5"/>
        <v>1</v>
      </c>
    </row>
    <row r="11" spans="1:29" ht="15">
      <c r="A11" s="2894"/>
      <c r="B11" s="2898"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944"/>
      <c r="Q11" s="1151" t="str">
        <f t="shared" si="6"/>
        <v>容积率</v>
      </c>
      <c r="R11" s="1568" t="s">
        <v>11</v>
      </c>
      <c r="S11" s="1569" t="e">
        <f t="shared" si="0"/>
        <v>#N/A</v>
      </c>
      <c r="T11" s="1568" t="s">
        <v>11</v>
      </c>
      <c r="U11" s="1569" t="e">
        <f t="shared" si="1"/>
        <v>#N/A</v>
      </c>
      <c r="V11" s="1568" t="s">
        <v>11</v>
      </c>
      <c r="W11" s="1569" t="e">
        <f t="shared" si="2"/>
        <v>#N/A</v>
      </c>
      <c r="X11" s="1570"/>
      <c r="Y11" s="3798"/>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944"/>
      <c r="Q12" s="1151">
        <f t="shared" si="6"/>
        <v>111</v>
      </c>
      <c r="R12" s="1568" t="s">
        <v>11</v>
      </c>
      <c r="S12" s="1569">
        <f t="shared" si="0"/>
        <v>100</v>
      </c>
      <c r="T12" s="1568" t="s">
        <v>11</v>
      </c>
      <c r="U12" s="1569">
        <f t="shared" si="1"/>
        <v>100</v>
      </c>
      <c r="V12" s="1568" t="s">
        <v>11</v>
      </c>
      <c r="W12" s="1569">
        <f t="shared" si="2"/>
        <v>100</v>
      </c>
      <c r="X12" s="1570"/>
      <c r="Y12" s="3798"/>
      <c r="Z12" s="1150">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944"/>
      <c r="Q13" s="1151">
        <f t="shared" si="6"/>
        <v>111</v>
      </c>
      <c r="R13" s="1568" t="s">
        <v>11</v>
      </c>
      <c r="S13" s="1569">
        <f t="shared" si="0"/>
        <v>100</v>
      </c>
      <c r="T13" s="1568" t="s">
        <v>11</v>
      </c>
      <c r="U13" s="1569">
        <f t="shared" si="1"/>
        <v>100</v>
      </c>
      <c r="V13" s="1568" t="s">
        <v>11</v>
      </c>
      <c r="W13" s="1569">
        <f t="shared" si="2"/>
        <v>100</v>
      </c>
      <c r="X13" s="1570"/>
      <c r="Y13" s="3798"/>
      <c r="Z13" s="1150">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944"/>
      <c r="Q14" s="1151">
        <f t="shared" si="6"/>
        <v>111</v>
      </c>
      <c r="R14" s="1568" t="s">
        <v>11</v>
      </c>
      <c r="S14" s="1569">
        <f t="shared" si="0"/>
        <v>100</v>
      </c>
      <c r="T14" s="1568" t="s">
        <v>11</v>
      </c>
      <c r="U14" s="1569">
        <f t="shared" si="1"/>
        <v>100</v>
      </c>
      <c r="V14" s="1568" t="s">
        <v>11</v>
      </c>
      <c r="W14" s="1569">
        <f t="shared" si="2"/>
        <v>100</v>
      </c>
      <c r="X14" s="1570"/>
      <c r="Y14" s="3798"/>
      <c r="Z14" s="1150">
        <f t="shared" si="7"/>
        <v>111</v>
      </c>
      <c r="AA14" s="1571">
        <f t="shared" si="3"/>
        <v>1</v>
      </c>
      <c r="AB14" s="1571">
        <f t="shared" si="4"/>
        <v>1</v>
      </c>
      <c r="AC14" s="1571">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949" t="s">
        <v>540</v>
      </c>
      <c r="Q15" s="1572" t="str">
        <f t="shared" si="6"/>
        <v>居住社区成熟度</v>
      </c>
      <c r="R15" s="1573" t="s">
        <v>11</v>
      </c>
      <c r="S15" s="1574">
        <f t="shared" si="0"/>
        <v>100</v>
      </c>
      <c r="T15" s="1573" t="s">
        <v>11</v>
      </c>
      <c r="U15" s="1574">
        <f t="shared" si="1"/>
        <v>100</v>
      </c>
      <c r="V15" s="1573" t="s">
        <v>11</v>
      </c>
      <c r="W15" s="1574">
        <f t="shared" si="2"/>
        <v>100</v>
      </c>
      <c r="X15" s="1567"/>
      <c r="Y15" s="3949"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950"/>
      <c r="Q16" s="1572"/>
      <c r="R16" s="1573"/>
      <c r="S16" s="1574"/>
      <c r="T16" s="1573"/>
      <c r="U16" s="1574"/>
      <c r="V16" s="1573"/>
      <c r="W16" s="1574"/>
      <c r="X16" s="1567"/>
      <c r="Y16" s="395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950"/>
      <c r="Q17" s="1572" t="str">
        <f>B17</f>
        <v>交通便捷度</v>
      </c>
      <c r="R17" s="1573" t="s">
        <v>11</v>
      </c>
      <c r="S17" s="1574">
        <f>F17</f>
        <v>100</v>
      </c>
      <c r="T17" s="1573" t="s">
        <v>11</v>
      </c>
      <c r="U17" s="1574">
        <f>H17</f>
        <v>100</v>
      </c>
      <c r="V17" s="1573" t="s">
        <v>11</v>
      </c>
      <c r="W17" s="1574">
        <f>J17</f>
        <v>100</v>
      </c>
      <c r="X17" s="1567"/>
      <c r="Y17" s="395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950"/>
      <c r="Q18" s="1572"/>
      <c r="R18" s="1573"/>
      <c r="S18" s="1574"/>
      <c r="T18" s="1573"/>
      <c r="U18" s="1574"/>
      <c r="V18" s="1573"/>
      <c r="W18" s="1574"/>
      <c r="X18" s="1567"/>
      <c r="Y18" s="3950"/>
      <c r="Z18" s="1575"/>
      <c r="AA18" s="1576">
        <v>1</v>
      </c>
      <c r="AB18" s="1576">
        <v>1</v>
      </c>
      <c r="AC18" s="1576">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950"/>
      <c r="Q19" s="1572" t="str">
        <f>B19</f>
        <v>公共配套设施</v>
      </c>
      <c r="R19" s="1573" t="s">
        <v>11</v>
      </c>
      <c r="S19" s="1574">
        <f>F19</f>
        <v>100</v>
      </c>
      <c r="T19" s="1573" t="s">
        <v>11</v>
      </c>
      <c r="U19" s="1574">
        <f>H19</f>
        <v>100</v>
      </c>
      <c r="V19" s="1573" t="s">
        <v>11</v>
      </c>
      <c r="W19" s="1574">
        <f>J19</f>
        <v>100</v>
      </c>
      <c r="X19" s="1567"/>
      <c r="Y19" s="395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950"/>
      <c r="Q20" s="1572"/>
      <c r="R20" s="1573"/>
      <c r="S20" s="1574"/>
      <c r="T20" s="1573"/>
      <c r="U20" s="1574"/>
      <c r="V20" s="1573"/>
      <c r="W20" s="1574"/>
      <c r="X20" s="1567"/>
      <c r="Y20" s="3950"/>
      <c r="Z20" s="1575"/>
      <c r="AA20" s="1576">
        <v>1</v>
      </c>
      <c r="AB20" s="1576">
        <v>1</v>
      </c>
      <c r="AC20" s="1576">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950"/>
      <c r="Q21" s="2558" t="str">
        <f>B21</f>
        <v>基础设施水平</v>
      </c>
      <c r="R21" s="1573" t="s">
        <v>11</v>
      </c>
      <c r="S21" s="1574">
        <f>F21</f>
        <v>100</v>
      </c>
      <c r="T21" s="1573" t="s">
        <v>11</v>
      </c>
      <c r="U21" s="1574">
        <f>H21</f>
        <v>100</v>
      </c>
      <c r="V21" s="1573" t="s">
        <v>11</v>
      </c>
      <c r="W21" s="1574">
        <f>J21</f>
        <v>100</v>
      </c>
      <c r="X21" s="2560"/>
      <c r="Y21" s="3950"/>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950"/>
      <c r="Q22" s="2558"/>
      <c r="R22" s="1573"/>
      <c r="S22" s="1574"/>
      <c r="T22" s="1573"/>
      <c r="U22" s="1574"/>
      <c r="V22" s="1573"/>
      <c r="W22" s="1574"/>
      <c r="X22" s="2560"/>
      <c r="Y22" s="3950"/>
      <c r="Z22" s="2559"/>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950"/>
      <c r="Q23" s="1572" t="str">
        <f>B23</f>
        <v>自然及人文环境</v>
      </c>
      <c r="R23" s="1573" t="s">
        <v>11</v>
      </c>
      <c r="S23" s="1574">
        <f>F23</f>
        <v>100</v>
      </c>
      <c r="T23" s="1573" t="s">
        <v>11</v>
      </c>
      <c r="U23" s="1574">
        <f>H23</f>
        <v>100</v>
      </c>
      <c r="V23" s="1573" t="s">
        <v>11</v>
      </c>
      <c r="W23" s="1574">
        <f>J23</f>
        <v>100</v>
      </c>
      <c r="X23" s="1567"/>
      <c r="Y23" s="395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950"/>
      <c r="Q24" s="1572"/>
      <c r="R24" s="1573"/>
      <c r="S24" s="1574"/>
      <c r="T24" s="1573"/>
      <c r="U24" s="1574"/>
      <c r="V24" s="1573"/>
      <c r="W24" s="1574"/>
      <c r="X24" s="1567"/>
      <c r="Y24" s="3950"/>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950"/>
      <c r="Q25" s="1572" t="str">
        <f t="shared" ref="Q25:Q46" si="11">B25</f>
        <v>楼层-1</v>
      </c>
      <c r="R25" s="1573" t="s">
        <v>11</v>
      </c>
      <c r="S25" s="1574">
        <f>F25</f>
        <v>100</v>
      </c>
      <c r="T25" s="1573" t="s">
        <v>11</v>
      </c>
      <c r="U25" s="1574">
        <f>H25</f>
        <v>100</v>
      </c>
      <c r="V25" s="1573" t="s">
        <v>11</v>
      </c>
      <c r="W25" s="1574">
        <f>J25</f>
        <v>100</v>
      </c>
      <c r="X25" s="1567"/>
      <c r="Y25" s="395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950"/>
      <c r="Q26" s="1572" t="str">
        <f t="shared" si="11"/>
        <v>朝向</v>
      </c>
      <c r="R26" s="1573" t="s">
        <v>11</v>
      </c>
      <c r="S26" s="1574">
        <f>F26</f>
        <v>100</v>
      </c>
      <c r="T26" s="1573" t="s">
        <v>11</v>
      </c>
      <c r="U26" s="1574">
        <f>H26</f>
        <v>100</v>
      </c>
      <c r="V26" s="1573" t="s">
        <v>11</v>
      </c>
      <c r="W26" s="1574">
        <f>J26</f>
        <v>100</v>
      </c>
      <c r="X26" s="1567"/>
      <c r="Y26" s="3950"/>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950"/>
      <c r="Q27" s="1151" t="str">
        <f t="shared" si="11"/>
        <v>道路级别</v>
      </c>
      <c r="R27" s="1568" t="s">
        <v>11</v>
      </c>
      <c r="S27" s="1569">
        <f>F27</f>
        <v>100</v>
      </c>
      <c r="T27" s="1568" t="s">
        <v>11</v>
      </c>
      <c r="U27" s="1569">
        <f>H27</f>
        <v>100</v>
      </c>
      <c r="V27" s="1568" t="s">
        <v>11</v>
      </c>
      <c r="W27" s="1569">
        <f>J27</f>
        <v>100</v>
      </c>
      <c r="X27" s="1570"/>
      <c r="Y27" s="395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950"/>
      <c r="Q28" s="1572">
        <f t="shared" si="11"/>
        <v>111</v>
      </c>
      <c r="R28" s="1573" t="s">
        <v>11</v>
      </c>
      <c r="S28" s="1574">
        <f t="shared" ref="S28:S46" si="12">F28</f>
        <v>100</v>
      </c>
      <c r="T28" s="1573" t="s">
        <v>11</v>
      </c>
      <c r="U28" s="1574">
        <f t="shared" ref="U28:U46" si="13">H28</f>
        <v>100</v>
      </c>
      <c r="V28" s="1573" t="s">
        <v>11</v>
      </c>
      <c r="W28" s="1574">
        <f t="shared" ref="W28:W46" si="14">J28</f>
        <v>100</v>
      </c>
      <c r="X28" s="1567"/>
      <c r="Y28" s="395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950"/>
      <c r="Q29" s="1572">
        <f t="shared" si="11"/>
        <v>111</v>
      </c>
      <c r="R29" s="1573" t="s">
        <v>11</v>
      </c>
      <c r="S29" s="1574">
        <f t="shared" si="12"/>
        <v>100</v>
      </c>
      <c r="T29" s="1573" t="s">
        <v>11</v>
      </c>
      <c r="U29" s="1574">
        <f t="shared" si="13"/>
        <v>100</v>
      </c>
      <c r="V29" s="1573" t="s">
        <v>11</v>
      </c>
      <c r="W29" s="1574">
        <f t="shared" si="14"/>
        <v>100</v>
      </c>
      <c r="X29" s="1567"/>
      <c r="Y29" s="395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950"/>
      <c r="Q30" s="1572">
        <f t="shared" si="11"/>
        <v>111</v>
      </c>
      <c r="R30" s="1573" t="s">
        <v>11</v>
      </c>
      <c r="S30" s="1574">
        <f t="shared" si="12"/>
        <v>100</v>
      </c>
      <c r="T30" s="1573" t="s">
        <v>11</v>
      </c>
      <c r="U30" s="1574">
        <f t="shared" si="13"/>
        <v>100</v>
      </c>
      <c r="V30" s="1573" t="s">
        <v>11</v>
      </c>
      <c r="W30" s="1574">
        <f t="shared" si="14"/>
        <v>100</v>
      </c>
      <c r="X30" s="1567"/>
      <c r="Y30" s="395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950"/>
      <c r="Q31" s="1572">
        <f t="shared" si="11"/>
        <v>111</v>
      </c>
      <c r="R31" s="1573" t="s">
        <v>11</v>
      </c>
      <c r="S31" s="1574">
        <f t="shared" si="12"/>
        <v>100</v>
      </c>
      <c r="T31" s="1573" t="s">
        <v>11</v>
      </c>
      <c r="U31" s="1574">
        <f t="shared" si="13"/>
        <v>100</v>
      </c>
      <c r="V31" s="1573" t="s">
        <v>11</v>
      </c>
      <c r="W31" s="1574">
        <f t="shared" si="14"/>
        <v>100</v>
      </c>
      <c r="X31" s="1567"/>
      <c r="Y31" s="3950"/>
      <c r="Z31" s="1575">
        <f t="shared" si="15"/>
        <v>111</v>
      </c>
      <c r="AA31" s="1576">
        <f t="shared" si="3"/>
        <v>1</v>
      </c>
      <c r="AB31" s="1576">
        <f t="shared" si="4"/>
        <v>1</v>
      </c>
      <c r="AC31" s="1576">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951" t="s">
        <v>550</v>
      </c>
      <c r="Q32" s="1572" t="str">
        <f t="shared" si="11"/>
        <v>建筑类型</v>
      </c>
      <c r="R32" s="1573" t="s">
        <v>11</v>
      </c>
      <c r="S32" s="1574">
        <f t="shared" si="12"/>
        <v>100</v>
      </c>
      <c r="T32" s="1573" t="s">
        <v>11</v>
      </c>
      <c r="U32" s="1574">
        <f t="shared" si="13"/>
        <v>100</v>
      </c>
      <c r="V32" s="1573" t="s">
        <v>11</v>
      </c>
      <c r="W32" s="1574">
        <f t="shared" si="14"/>
        <v>100</v>
      </c>
      <c r="X32" s="1567"/>
      <c r="Y32" s="3952"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952"/>
      <c r="Q33" s="1605" t="str">
        <f t="shared" si="11"/>
        <v>项目建筑规模</v>
      </c>
      <c r="R33" s="1577" t="s">
        <v>11</v>
      </c>
      <c r="S33" s="1578" t="e">
        <f t="shared" si="12"/>
        <v>#N/A</v>
      </c>
      <c r="T33" s="1577" t="s">
        <v>11</v>
      </c>
      <c r="U33" s="1578" t="e">
        <f t="shared" si="13"/>
        <v>#N/A</v>
      </c>
      <c r="V33" s="1577" t="s">
        <v>11</v>
      </c>
      <c r="W33" s="1578" t="e">
        <f t="shared" si="14"/>
        <v>#N/A</v>
      </c>
      <c r="X33" s="1579"/>
      <c r="Y33" s="395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952"/>
      <c r="Q34" s="1572" t="str">
        <f t="shared" si="11"/>
        <v>建筑结构</v>
      </c>
      <c r="R34" s="1573" t="s">
        <v>11</v>
      </c>
      <c r="S34" s="1574">
        <f t="shared" si="12"/>
        <v>100</v>
      </c>
      <c r="T34" s="1573" t="s">
        <v>11</v>
      </c>
      <c r="U34" s="1574">
        <f t="shared" si="13"/>
        <v>100</v>
      </c>
      <c r="V34" s="1573" t="s">
        <v>11</v>
      </c>
      <c r="W34" s="1574">
        <f t="shared" si="14"/>
        <v>100</v>
      </c>
      <c r="X34" s="1567"/>
      <c r="Y34" s="3952"/>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952"/>
      <c r="Q35" s="1572" t="str">
        <f t="shared" si="11"/>
        <v>建筑品质</v>
      </c>
      <c r="R35" s="1573" t="s">
        <v>11</v>
      </c>
      <c r="S35" s="1574">
        <f t="shared" si="12"/>
        <v>100</v>
      </c>
      <c r="T35" s="1573" t="s">
        <v>11</v>
      </c>
      <c r="U35" s="1574">
        <f t="shared" si="13"/>
        <v>100</v>
      </c>
      <c r="V35" s="1573" t="s">
        <v>11</v>
      </c>
      <c r="W35" s="1574">
        <f t="shared" si="14"/>
        <v>100</v>
      </c>
      <c r="X35" s="1567"/>
      <c r="Y35" s="3952"/>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952"/>
      <c r="Q36" s="1572" t="str">
        <f t="shared" si="11"/>
        <v>公共部分装修</v>
      </c>
      <c r="R36" s="1573" t="s">
        <v>11</v>
      </c>
      <c r="S36" s="1574">
        <f t="shared" si="12"/>
        <v>100</v>
      </c>
      <c r="T36" s="1573" t="s">
        <v>11</v>
      </c>
      <c r="U36" s="1574">
        <f t="shared" si="13"/>
        <v>100</v>
      </c>
      <c r="V36" s="1573" t="s">
        <v>11</v>
      </c>
      <c r="W36" s="1574">
        <f t="shared" si="14"/>
        <v>100</v>
      </c>
      <c r="X36" s="1567"/>
      <c r="Y36" s="3952"/>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952"/>
      <c r="Q37" s="1151" t="str">
        <f t="shared" si="11"/>
        <v>成新度</v>
      </c>
      <c r="R37" s="1568" t="s">
        <v>11</v>
      </c>
      <c r="S37" s="1569" t="e">
        <f t="shared" si="12"/>
        <v>#N/A</v>
      </c>
      <c r="T37" s="1568" t="s">
        <v>11</v>
      </c>
      <c r="U37" s="1569" t="e">
        <f t="shared" si="13"/>
        <v>#N/A</v>
      </c>
      <c r="V37" s="1568" t="s">
        <v>11</v>
      </c>
      <c r="W37" s="1569" t="e">
        <f t="shared" si="14"/>
        <v>#N/A</v>
      </c>
      <c r="X37" s="1570"/>
      <c r="Y37" s="3952"/>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952" t="s">
        <v>550</v>
      </c>
      <c r="Q38" s="1572" t="str">
        <f t="shared" si="11"/>
        <v>物业管理</v>
      </c>
      <c r="R38" s="1573" t="s">
        <v>11</v>
      </c>
      <c r="S38" s="1574">
        <f t="shared" si="12"/>
        <v>100</v>
      </c>
      <c r="T38" s="1573" t="s">
        <v>11</v>
      </c>
      <c r="U38" s="1574">
        <f t="shared" si="13"/>
        <v>100</v>
      </c>
      <c r="V38" s="1573" t="s">
        <v>11</v>
      </c>
      <c r="W38" s="1574">
        <f t="shared" si="14"/>
        <v>100</v>
      </c>
      <c r="X38" s="1567"/>
      <c r="Y38" s="3952"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952"/>
      <c r="Q39" s="1572" t="str">
        <f t="shared" si="11"/>
        <v>市政基础设施</v>
      </c>
      <c r="R39" s="1573" t="s">
        <v>11</v>
      </c>
      <c r="S39" s="1574">
        <f t="shared" si="12"/>
        <v>100</v>
      </c>
      <c r="T39" s="1573" t="s">
        <v>11</v>
      </c>
      <c r="U39" s="1574">
        <f t="shared" si="13"/>
        <v>100</v>
      </c>
      <c r="V39" s="1573" t="s">
        <v>11</v>
      </c>
      <c r="W39" s="1574">
        <f t="shared" si="14"/>
        <v>100</v>
      </c>
      <c r="X39" s="1567"/>
      <c r="Y39" s="395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952"/>
      <c r="Q40" s="1572" t="str">
        <f t="shared" si="11"/>
        <v>房型</v>
      </c>
      <c r="R40" s="1573" t="s">
        <v>11</v>
      </c>
      <c r="S40" s="1574">
        <f t="shared" si="12"/>
        <v>100</v>
      </c>
      <c r="T40" s="1573" t="s">
        <v>11</v>
      </c>
      <c r="U40" s="1574">
        <f t="shared" si="13"/>
        <v>100</v>
      </c>
      <c r="V40" s="1573" t="s">
        <v>11</v>
      </c>
      <c r="W40" s="1574">
        <f t="shared" si="14"/>
        <v>100</v>
      </c>
      <c r="X40" s="1567"/>
      <c r="Y40" s="395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952"/>
      <c r="Q41" s="1605" t="str">
        <f t="shared" si="11"/>
        <v>单套/主力户型建筑面积</v>
      </c>
      <c r="R41" s="1577" t="s">
        <v>11</v>
      </c>
      <c r="S41" s="1578">
        <f t="shared" si="12"/>
        <v>100</v>
      </c>
      <c r="T41" s="1577" t="s">
        <v>11</v>
      </c>
      <c r="U41" s="1578">
        <f t="shared" si="13"/>
        <v>100</v>
      </c>
      <c r="V41" s="1577" t="s">
        <v>11</v>
      </c>
      <c r="W41" s="1578">
        <f t="shared" si="14"/>
        <v>100</v>
      </c>
      <c r="X41" s="1579"/>
      <c r="Y41" s="3952"/>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952"/>
      <c r="Q42" s="1572" t="str">
        <f t="shared" si="11"/>
        <v>内部装修</v>
      </c>
      <c r="R42" s="1573" t="s">
        <v>11</v>
      </c>
      <c r="S42" s="1574">
        <f t="shared" si="12"/>
        <v>100</v>
      </c>
      <c r="T42" s="1573" t="s">
        <v>11</v>
      </c>
      <c r="U42" s="1574">
        <f t="shared" si="13"/>
        <v>100</v>
      </c>
      <c r="V42" s="1573" t="s">
        <v>11</v>
      </c>
      <c r="W42" s="1574">
        <f t="shared" si="14"/>
        <v>100</v>
      </c>
      <c r="X42" s="1567"/>
      <c r="Y42" s="3952"/>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952"/>
      <c r="Q43" s="1572" t="str">
        <f t="shared" si="11"/>
        <v>内部装修维护情况</v>
      </c>
      <c r="R43" s="1573" t="s">
        <v>11</v>
      </c>
      <c r="S43" s="1574">
        <f t="shared" si="12"/>
        <v>100</v>
      </c>
      <c r="T43" s="1573" t="s">
        <v>11</v>
      </c>
      <c r="U43" s="1574">
        <f t="shared" si="13"/>
        <v>100</v>
      </c>
      <c r="V43" s="1573" t="s">
        <v>11</v>
      </c>
      <c r="W43" s="1574">
        <f t="shared" si="14"/>
        <v>100</v>
      </c>
      <c r="X43" s="1567"/>
      <c r="Y43" s="395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952"/>
      <c r="Q44" s="1151">
        <f t="shared" si="11"/>
        <v>111</v>
      </c>
      <c r="R44" s="1568" t="s">
        <v>11</v>
      </c>
      <c r="S44" s="1569">
        <f t="shared" si="12"/>
        <v>100</v>
      </c>
      <c r="T44" s="1568" t="s">
        <v>11</v>
      </c>
      <c r="U44" s="1569">
        <f t="shared" si="13"/>
        <v>100</v>
      </c>
      <c r="V44" s="1568" t="s">
        <v>11</v>
      </c>
      <c r="W44" s="1569">
        <f t="shared" si="14"/>
        <v>100</v>
      </c>
      <c r="X44" s="1570"/>
      <c r="Y44" s="395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952"/>
      <c r="Q45" s="1572">
        <f t="shared" si="11"/>
        <v>111</v>
      </c>
      <c r="R45" s="1573" t="s">
        <v>11</v>
      </c>
      <c r="S45" s="1574">
        <f t="shared" si="12"/>
        <v>100</v>
      </c>
      <c r="T45" s="1573" t="s">
        <v>11</v>
      </c>
      <c r="U45" s="1574">
        <f t="shared" si="13"/>
        <v>100</v>
      </c>
      <c r="V45" s="1573" t="s">
        <v>11</v>
      </c>
      <c r="W45" s="1574">
        <f t="shared" si="14"/>
        <v>100</v>
      </c>
      <c r="X45" s="1567"/>
      <c r="Y45" s="395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53"/>
      <c r="Q46" s="1572">
        <f t="shared" si="11"/>
        <v>111</v>
      </c>
      <c r="R46" s="1573" t="s">
        <v>10</v>
      </c>
      <c r="S46" s="1574">
        <f t="shared" si="12"/>
        <v>100</v>
      </c>
      <c r="T46" s="1573" t="s">
        <v>10</v>
      </c>
      <c r="U46" s="1574">
        <f t="shared" si="13"/>
        <v>100</v>
      </c>
      <c r="V46" s="1573" t="s">
        <v>10</v>
      </c>
      <c r="W46" s="1574">
        <f t="shared" si="14"/>
        <v>100</v>
      </c>
      <c r="X46" s="1567"/>
      <c r="Y46" s="3953"/>
      <c r="Z46" s="1575">
        <f t="shared" si="15"/>
        <v>111</v>
      </c>
      <c r="AA46" s="1576">
        <f t="shared" si="3"/>
        <v>1</v>
      </c>
      <c r="AB46" s="1576">
        <f t="shared" si="4"/>
        <v>1</v>
      </c>
      <c r="AC46" s="1576">
        <f t="shared" si="5"/>
        <v>1</v>
      </c>
    </row>
    <row r="47" spans="1:29" ht="15">
      <c r="A47" s="607" t="s">
        <v>736</v>
      </c>
      <c r="B47" s="887"/>
      <c r="C47" s="2606" t="s">
        <v>9</v>
      </c>
      <c r="D47" s="2607"/>
      <c r="E47" s="2608"/>
      <c r="F47" s="2609"/>
      <c r="G47" s="2610"/>
      <c r="H47" s="2611"/>
      <c r="I47" s="2608"/>
      <c r="J47" s="2611"/>
      <c r="K47" s="1606"/>
      <c r="L47" s="2144"/>
      <c r="M47" s="2145"/>
      <c r="N47" s="2134"/>
      <c r="O47" s="2145"/>
      <c r="P47" s="3944" t="str">
        <f>A47</f>
        <v>成交单价（元/平方米）</v>
      </c>
      <c r="Q47" s="3944"/>
      <c r="R47" s="3945">
        <f>E47</f>
        <v>0</v>
      </c>
      <c r="S47" s="3945"/>
      <c r="T47" s="3945">
        <f>G47</f>
        <v>0</v>
      </c>
      <c r="U47" s="3945"/>
      <c r="V47" s="3945">
        <f>I47</f>
        <v>0</v>
      </c>
      <c r="W47" s="3945"/>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07"/>
      <c r="L48" s="2144"/>
      <c r="M48" s="2145"/>
      <c r="N48" s="2145"/>
      <c r="O48" s="2145"/>
      <c r="P48" s="3944" t="str">
        <f>A48</f>
        <v>比较价格（元/平方米）</v>
      </c>
      <c r="Q48" s="3944"/>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1559"/>
      <c r="Y48" s="1559"/>
      <c r="Z48" s="1559"/>
      <c r="AA48" s="1559"/>
      <c r="AB48" s="1559"/>
      <c r="AC48" s="1559"/>
    </row>
    <row r="49" spans="1:29" ht="15.75" thickBot="1">
      <c r="A49" s="621" t="s">
        <v>2937</v>
      </c>
      <c r="B49" s="622"/>
      <c r="C49" s="2615" t="e">
        <f>R49</f>
        <v>#DIV/0!</v>
      </c>
      <c r="D49" s="2615"/>
      <c r="E49" s="2615"/>
      <c r="F49" s="2615"/>
      <c r="G49" s="2615"/>
      <c r="H49" s="2615"/>
      <c r="I49" s="2615"/>
      <c r="J49" s="2615"/>
      <c r="K49" s="1608"/>
      <c r="L49" s="2144"/>
      <c r="M49" s="2145"/>
      <c r="N49" s="2145"/>
      <c r="O49" s="2145"/>
      <c r="P49" s="3946" t="str">
        <f>A49</f>
        <v>估价对象XX用房的比较价格（楼面单价，元/平方米）</v>
      </c>
      <c r="Q49" s="3947"/>
      <c r="R49" s="3948" t="e">
        <f>IF(F1="售价",ROUND(AVERAGE(R48:V48),0),ROUND(AVERAGE(R48:V48),1))</f>
        <v>#DIV/0!</v>
      </c>
      <c r="S49" s="3948"/>
      <c r="T49" s="3948"/>
      <c r="U49" s="3948"/>
      <c r="V49" s="3948"/>
      <c r="W49" s="394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0" priority="15" stopIfTrue="1" operator="containsText" text="超过">
      <formula>NOT(ISERROR(SEARCH("超过",F52)))</formula>
    </cfRule>
  </conditionalFormatting>
  <conditionalFormatting sqref="J54">
    <cfRule type="containsText" dxfId="79" priority="14" stopIfTrue="1" operator="containsText" text="超过">
      <formula>NOT(ISERROR(SEARCH("超过",J54)))</formula>
    </cfRule>
  </conditionalFormatting>
  <conditionalFormatting sqref="H54">
    <cfRule type="containsText" dxfId="78" priority="13" stopIfTrue="1" operator="containsText" text="超过">
      <formula>NOT(ISERROR(SEARCH("超过",H54)))</formula>
    </cfRule>
  </conditionalFormatting>
  <conditionalFormatting sqref="F54">
    <cfRule type="containsText" dxfId="77" priority="12" stopIfTrue="1" operator="containsText" text="超过">
      <formula>NOT(ISERROR(SEARCH("超过",F54)))</formula>
    </cfRule>
  </conditionalFormatting>
  <conditionalFormatting sqref="F53 H53 J53">
    <cfRule type="containsText" dxfId="76" priority="11" stopIfTrue="1" operator="containsText" text="超过">
      <formula>NOT(ISERROR(SEARCH("超过",F53)))</formula>
    </cfRule>
  </conditionalFormatting>
  <conditionalFormatting sqref="E52">
    <cfRule type="expression" dxfId="75" priority="10" stopIfTrue="1">
      <formula>$F$52="超过30%"</formula>
    </cfRule>
  </conditionalFormatting>
  <conditionalFormatting sqref="G54">
    <cfRule type="expression" dxfId="74" priority="8" stopIfTrue="1">
      <formula>$H$54="超过30%"</formula>
    </cfRule>
  </conditionalFormatting>
  <conditionalFormatting sqref="E53">
    <cfRule type="expression" dxfId="73" priority="7" stopIfTrue="1">
      <formula>$F$53="超过20%"</formula>
    </cfRule>
  </conditionalFormatting>
  <conditionalFormatting sqref="E54">
    <cfRule type="expression" dxfId="72" priority="6" stopIfTrue="1">
      <formula>$F$54="超过30%"</formula>
    </cfRule>
  </conditionalFormatting>
  <conditionalFormatting sqref="G52">
    <cfRule type="expression" dxfId="71" priority="5" stopIfTrue="1">
      <formula>$H$52="超过30%"</formula>
    </cfRule>
  </conditionalFormatting>
  <conditionalFormatting sqref="G53">
    <cfRule type="expression" dxfId="70" priority="4" stopIfTrue="1">
      <formula>$H$53="超过20%"</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59999389629810485"/>
    <pageSetUpPr fitToPage="1"/>
  </sheetPr>
  <dimension ref="A1:AC853"/>
  <sheetViews>
    <sheetView topLeftCell="A21" zoomScale="80" zoomScaleNormal="80" workbookViewId="0">
      <selection activeCell="K43" sqref="K4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3001</v>
      </c>
      <c r="E1" s="506"/>
      <c r="F1" s="2785" t="s">
        <v>3247</v>
      </c>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f>ROUND(B3*D3/10000,0)</f>
        <v>228859</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f>C50</f>
        <v>57357</v>
      </c>
      <c r="C3" s="852" t="s">
        <v>722</v>
      </c>
      <c r="D3" s="851">
        <f>SUMIF('数据-汇总表'!$C19:$C33,D1,'数据-汇总表'!$E19:$E33)</f>
        <v>39900.839999999997</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957" t="s">
        <v>522</v>
      </c>
      <c r="D4" s="3958"/>
      <c r="E4" s="3959" t="s">
        <v>523</v>
      </c>
      <c r="F4" s="3960"/>
      <c r="G4" s="3957" t="s">
        <v>524</v>
      </c>
      <c r="H4" s="3958"/>
      <c r="I4" s="3957" t="s">
        <v>525</v>
      </c>
      <c r="J4" s="3958"/>
      <c r="K4" s="514" t="s">
        <v>526</v>
      </c>
      <c r="L4" s="2133"/>
      <c r="M4" s="2134"/>
      <c r="N4" s="2134"/>
      <c r="O4" s="2134"/>
      <c r="P4" s="4037" t="s">
        <v>527</v>
      </c>
      <c r="Q4" s="3962"/>
      <c r="R4" s="3967" t="s">
        <v>523</v>
      </c>
      <c r="S4" s="3968"/>
      <c r="T4" s="3967" t="s">
        <v>524</v>
      </c>
      <c r="U4" s="3968"/>
      <c r="V4" s="3973" t="s">
        <v>525</v>
      </c>
      <c r="W4" s="3973"/>
      <c r="X4" s="1567"/>
      <c r="Y4" s="3967" t="s">
        <v>527</v>
      </c>
      <c r="Z4" s="3968"/>
      <c r="AA4" s="3954" t="s">
        <v>523</v>
      </c>
      <c r="AB4" s="3954" t="s">
        <v>524</v>
      </c>
      <c r="AC4" s="3954" t="s">
        <v>525</v>
      </c>
    </row>
    <row r="5" spans="1:29" ht="26.25" customHeight="1" thickBot="1">
      <c r="A5" s="515"/>
      <c r="B5" s="516"/>
      <c r="C5" s="3976" t="s">
        <v>3287</v>
      </c>
      <c r="D5" s="3977"/>
      <c r="E5" s="3983" t="s">
        <v>3312</v>
      </c>
      <c r="F5" s="3984"/>
      <c r="G5" s="3976" t="s">
        <v>3313</v>
      </c>
      <c r="H5" s="3977"/>
      <c r="I5" s="3976" t="s">
        <v>3314</v>
      </c>
      <c r="J5" s="3977"/>
      <c r="K5" s="514"/>
      <c r="L5" s="2133"/>
      <c r="M5" s="2134"/>
      <c r="N5" s="2134"/>
      <c r="O5" s="2134"/>
      <c r="P5" s="4038"/>
      <c r="Q5" s="3964"/>
      <c r="R5" s="3969"/>
      <c r="S5" s="3970"/>
      <c r="T5" s="3969"/>
      <c r="U5" s="3970"/>
      <c r="V5" s="3973"/>
      <c r="W5" s="3973"/>
      <c r="X5" s="1567"/>
      <c r="Y5" s="3969"/>
      <c r="Z5" s="3970"/>
      <c r="AA5" s="3955"/>
      <c r="AB5" s="3955"/>
      <c r="AC5" s="3955"/>
    </row>
    <row r="6" spans="1:29" ht="15.75" hidden="1" thickBot="1">
      <c r="A6" s="517"/>
      <c r="B6" s="518"/>
      <c r="C6" s="3974" t="s">
        <v>2935</v>
      </c>
      <c r="D6" s="3975"/>
      <c r="E6" s="3981" t="s">
        <v>2935</v>
      </c>
      <c r="F6" s="3982"/>
      <c r="G6" s="3974" t="s">
        <v>2935</v>
      </c>
      <c r="H6" s="3975"/>
      <c r="I6" s="3974" t="s">
        <v>2935</v>
      </c>
      <c r="J6" s="3975"/>
      <c r="K6" s="514" t="s">
        <v>528</v>
      </c>
      <c r="L6" s="2133"/>
      <c r="M6" s="2134"/>
      <c r="N6" s="2134"/>
      <c r="O6" s="2134"/>
      <c r="P6" s="4039"/>
      <c r="Q6" s="3966"/>
      <c r="R6" s="3969"/>
      <c r="S6" s="3970"/>
      <c r="T6" s="3971"/>
      <c r="U6" s="3972"/>
      <c r="V6" s="3973"/>
      <c r="W6" s="3973"/>
      <c r="X6" s="1567"/>
      <c r="Y6" s="3971"/>
      <c r="Z6" s="3972"/>
      <c r="AA6" s="3956"/>
      <c r="AB6" s="3956"/>
      <c r="AC6" s="3956"/>
    </row>
    <row r="7" spans="1:29" s="1220" customFormat="1" ht="15.75" thickBot="1">
      <c r="A7" s="2890"/>
      <c r="B7" s="2897" t="s">
        <v>529</v>
      </c>
      <c r="C7" s="519">
        <f>'数据-取费表'!B2</f>
        <v>43552</v>
      </c>
      <c r="D7" s="520">
        <v>100</v>
      </c>
      <c r="E7" s="521">
        <v>43552</v>
      </c>
      <c r="F7" s="522">
        <f>SUMIF(59:59,YEAR(E7)&amp;"-"&amp;MONTH(E7),60:60)</f>
        <v>100</v>
      </c>
      <c r="G7" s="521">
        <v>43552</v>
      </c>
      <c r="H7" s="520">
        <f>SUMIF(59:59,YEAR(G7)&amp;"-"&amp;MONTH(G7),60:60)</f>
        <v>100</v>
      </c>
      <c r="I7" s="521">
        <v>43552</v>
      </c>
      <c r="J7" s="520">
        <f>SUMIF(59:59,YEAR(I7)&amp;"-"&amp;MONTH(I7),60:60)</f>
        <v>100</v>
      </c>
      <c r="K7" s="524"/>
      <c r="L7" s="2135"/>
      <c r="M7" s="2136"/>
      <c r="N7" s="2136"/>
      <c r="O7" s="2136"/>
      <c r="P7" s="3980" t="s">
        <v>530</v>
      </c>
      <c r="Q7" s="3980"/>
      <c r="R7" s="1568" t="s">
        <v>8</v>
      </c>
      <c r="S7" s="1569">
        <f t="shared" ref="S7:S15" si="0">F7</f>
        <v>100</v>
      </c>
      <c r="T7" s="1568" t="s">
        <v>8</v>
      </c>
      <c r="U7" s="1569">
        <f t="shared" ref="U7:U15" si="1">H7</f>
        <v>100</v>
      </c>
      <c r="V7" s="1568" t="s">
        <v>8</v>
      </c>
      <c r="W7" s="1569">
        <f t="shared" ref="W7:W15" si="2">J7</f>
        <v>100</v>
      </c>
      <c r="X7" s="1570"/>
      <c r="Y7" s="3978" t="s">
        <v>530</v>
      </c>
      <c r="Z7" s="3979"/>
      <c r="AA7" s="1571">
        <f>D7/F7</f>
        <v>1</v>
      </c>
      <c r="AB7" s="1571">
        <f>D7/H7</f>
        <v>1</v>
      </c>
      <c r="AC7" s="1571">
        <f>D7/J7</f>
        <v>1</v>
      </c>
    </row>
    <row r="8" spans="1:29" s="1220" customFormat="1" ht="15.75" thickBot="1">
      <c r="A8" s="2891"/>
      <c r="B8" s="2898" t="s">
        <v>531</v>
      </c>
      <c r="C8" s="525" t="s">
        <v>576</v>
      </c>
      <c r="D8" s="520">
        <v>100</v>
      </c>
      <c r="E8" s="525" t="s">
        <v>3248</v>
      </c>
      <c r="F8" s="522">
        <f>SUMIF(62:62,E8,63:63)-SUMIF(62:62,C8,63:63)+100</f>
        <v>100</v>
      </c>
      <c r="G8" s="525" t="s">
        <v>3248</v>
      </c>
      <c r="H8" s="520">
        <f>SUMIF(62:62,G8,63:63)-SUMIF(62:62,C8,63:63)+100</f>
        <v>100</v>
      </c>
      <c r="I8" s="525" t="s">
        <v>3248</v>
      </c>
      <c r="J8" s="520">
        <f>SUMIF(62:62,I8,63:63)-SUMIF(62:62,C8,63:63)+100</f>
        <v>100</v>
      </c>
      <c r="K8" s="524"/>
      <c r="L8" s="2135"/>
      <c r="M8" s="2136"/>
      <c r="N8" s="2136"/>
      <c r="O8" s="2136"/>
      <c r="P8" s="3980" t="s">
        <v>533</v>
      </c>
      <c r="Q8" s="3979"/>
      <c r="R8" s="1568" t="s">
        <v>8</v>
      </c>
      <c r="S8" s="1569">
        <f t="shared" si="0"/>
        <v>100</v>
      </c>
      <c r="T8" s="1568" t="s">
        <v>8</v>
      </c>
      <c r="U8" s="1569">
        <f t="shared" si="1"/>
        <v>100</v>
      </c>
      <c r="V8" s="1568" t="s">
        <v>8</v>
      </c>
      <c r="W8" s="1569">
        <f t="shared" si="2"/>
        <v>100</v>
      </c>
      <c r="X8" s="1570"/>
      <c r="Y8" s="3978" t="s">
        <v>533</v>
      </c>
      <c r="Z8" s="3979"/>
      <c r="AA8" s="1571">
        <f t="shared" ref="AA8:AA47" si="3">D8/F8</f>
        <v>1</v>
      </c>
      <c r="AB8" s="1571">
        <f t="shared" ref="AB8:AB47" si="4">D8/H8</f>
        <v>1</v>
      </c>
      <c r="AC8" s="1571">
        <f t="shared" ref="AC8:AC47" si="5">D8/J8</f>
        <v>1</v>
      </c>
    </row>
    <row r="9" spans="1:29" s="1220" customFormat="1" ht="15">
      <c r="A9" s="2892"/>
      <c r="B9" s="2899" t="s">
        <v>2757</v>
      </c>
      <c r="C9" s="3573" t="s">
        <v>3292</v>
      </c>
      <c r="D9" s="254">
        <v>100</v>
      </c>
      <c r="E9" s="860" t="s">
        <v>1678</v>
      </c>
      <c r="F9" s="254">
        <f>SUMIF(64:64,E9,65:65)-SUMIF(64:64,C9,65:65)+100</f>
        <v>100</v>
      </c>
      <c r="G9" s="860" t="s">
        <v>1678</v>
      </c>
      <c r="H9" s="254">
        <f>SUMIF(64:64,G9,65:65)-SUMIF(64:64,C9,65:65)+100</f>
        <v>100</v>
      </c>
      <c r="I9" s="860" t="s">
        <v>1678</v>
      </c>
      <c r="J9" s="254">
        <f>SUMIF(64:64,I9,65:65)-SUMIF(64:64,C9,65:65)+100</f>
        <v>100</v>
      </c>
      <c r="K9" s="524"/>
      <c r="L9" s="2135"/>
      <c r="M9" s="2136"/>
      <c r="N9" s="2136"/>
      <c r="O9" s="2136"/>
      <c r="P9" s="3944" t="s">
        <v>535</v>
      </c>
      <c r="Q9" s="1151" t="str">
        <f t="shared" ref="Q9:Q15" si="6">B9</f>
        <v>用途</v>
      </c>
      <c r="R9" s="1568" t="s">
        <v>8</v>
      </c>
      <c r="S9" s="1569">
        <f t="shared" si="0"/>
        <v>100</v>
      </c>
      <c r="T9" s="1568" t="s">
        <v>8</v>
      </c>
      <c r="U9" s="1569">
        <f t="shared" si="1"/>
        <v>100</v>
      </c>
      <c r="V9" s="1568" t="s">
        <v>8</v>
      </c>
      <c r="W9" s="1569">
        <f t="shared" si="2"/>
        <v>100</v>
      </c>
      <c r="X9" s="1570"/>
      <c r="Y9" s="3798" t="s">
        <v>536</v>
      </c>
      <c r="Z9" s="1150" t="str">
        <f t="shared" ref="Z9:Z15" si="7">Q9</f>
        <v>用途</v>
      </c>
      <c r="AA9" s="1571">
        <f t="shared" si="3"/>
        <v>1</v>
      </c>
      <c r="AB9" s="1571">
        <f t="shared" si="4"/>
        <v>1</v>
      </c>
      <c r="AC9" s="1571">
        <f t="shared" si="5"/>
        <v>1</v>
      </c>
    </row>
    <row r="10" spans="1:29" s="1338" customFormat="1" ht="27.75" thickBot="1">
      <c r="A10" s="2893"/>
      <c r="B10" s="2898" t="s">
        <v>2758</v>
      </c>
      <c r="C10" s="861" t="s">
        <v>3251</v>
      </c>
      <c r="D10" s="255">
        <v>100</v>
      </c>
      <c r="E10" s="861" t="s">
        <v>3252</v>
      </c>
      <c r="F10" s="255">
        <f>SUMIF(66:66,E10,67:67)-SUMIF(66:66,C10,67:67)+100</f>
        <v>99</v>
      </c>
      <c r="G10" s="862" t="s">
        <v>3252</v>
      </c>
      <c r="H10" s="255">
        <f>SUMIF(66:66,G10,67:67)-SUMIF(66:66,C10,67:67)+100</f>
        <v>99</v>
      </c>
      <c r="I10" s="861" t="s">
        <v>3252</v>
      </c>
      <c r="J10" s="255">
        <f>SUMIF(66:66,I10,67:67)-SUMIF(66:66,C10,67:67)+100</f>
        <v>99</v>
      </c>
      <c r="K10" s="584">
        <v>1</v>
      </c>
      <c r="L10" s="2138"/>
      <c r="M10" s="2178"/>
      <c r="N10" s="2178"/>
      <c r="O10" s="2178"/>
      <c r="P10" s="3944"/>
      <c r="Q10" s="1151" t="str">
        <f t="shared" si="6"/>
        <v>土地使用年限（年）</v>
      </c>
      <c r="R10" s="1568" t="s">
        <v>8</v>
      </c>
      <c r="S10" s="1569">
        <f t="shared" si="0"/>
        <v>99</v>
      </c>
      <c r="T10" s="1568" t="s">
        <v>8</v>
      </c>
      <c r="U10" s="1569">
        <f t="shared" si="1"/>
        <v>99</v>
      </c>
      <c r="V10" s="1568" t="s">
        <v>8</v>
      </c>
      <c r="W10" s="1569">
        <f t="shared" si="2"/>
        <v>99</v>
      </c>
      <c r="X10" s="1570"/>
      <c r="Y10" s="3798"/>
      <c r="Z10" s="1150" t="str">
        <f t="shared" si="7"/>
        <v>土地使用年限（年）</v>
      </c>
      <c r="AA10" s="1571">
        <f t="shared" si="3"/>
        <v>1.0101010101010102</v>
      </c>
      <c r="AB10" s="1571">
        <f t="shared" si="4"/>
        <v>1.0101010101010102</v>
      </c>
      <c r="AC10" s="1571">
        <f t="shared" si="5"/>
        <v>1.0101010101010102</v>
      </c>
    </row>
    <row r="11" spans="1:29" ht="15" hidden="1">
      <c r="A11" s="2894"/>
      <c r="B11" s="2898" t="s">
        <v>2759</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v>1</v>
      </c>
      <c r="L11" s="2140"/>
      <c r="M11" s="2134"/>
      <c r="N11" s="2134"/>
      <c r="O11" s="2134"/>
      <c r="P11" s="3944"/>
      <c r="Q11" s="1151" t="str">
        <f t="shared" si="6"/>
        <v>容积率</v>
      </c>
      <c r="R11" s="1568" t="s">
        <v>8</v>
      </c>
      <c r="S11" s="1569">
        <f t="shared" si="0"/>
        <v>100</v>
      </c>
      <c r="T11" s="1568" t="s">
        <v>8</v>
      </c>
      <c r="U11" s="1569">
        <f t="shared" si="1"/>
        <v>100</v>
      </c>
      <c r="V11" s="1568" t="s">
        <v>8</v>
      </c>
      <c r="W11" s="1569">
        <f t="shared" si="2"/>
        <v>100</v>
      </c>
      <c r="X11" s="1570"/>
      <c r="Y11" s="3798"/>
      <c r="Z11" s="1150" t="str">
        <f t="shared" si="7"/>
        <v>容积率</v>
      </c>
      <c r="AA11" s="1571">
        <f t="shared" si="3"/>
        <v>1</v>
      </c>
      <c r="AB11" s="1571">
        <f t="shared" si="4"/>
        <v>1</v>
      </c>
      <c r="AC11" s="1571">
        <f t="shared" si="5"/>
        <v>1</v>
      </c>
    </row>
    <row r="12" spans="1:29" s="1220" customFormat="1" ht="15" hidden="1">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944"/>
      <c r="Q12" s="1151">
        <f t="shared" si="6"/>
        <v>111</v>
      </c>
      <c r="R12" s="1568" t="s">
        <v>8</v>
      </c>
      <c r="S12" s="1569">
        <f t="shared" si="0"/>
        <v>100</v>
      </c>
      <c r="T12" s="1568" t="s">
        <v>8</v>
      </c>
      <c r="U12" s="1569">
        <f t="shared" si="1"/>
        <v>100</v>
      </c>
      <c r="V12" s="1568" t="s">
        <v>8</v>
      </c>
      <c r="W12" s="1569">
        <f t="shared" si="2"/>
        <v>100</v>
      </c>
      <c r="X12" s="1570"/>
      <c r="Y12" s="3798"/>
      <c r="Z12" s="1150">
        <f t="shared" si="7"/>
        <v>111</v>
      </c>
      <c r="AA12" s="1571">
        <f>D12/F12</f>
        <v>1</v>
      </c>
      <c r="AB12" s="1571">
        <f>D12/H12</f>
        <v>1</v>
      </c>
      <c r="AC12" s="1571">
        <f>D12/J12</f>
        <v>1</v>
      </c>
    </row>
    <row r="13" spans="1:29" ht="15" hidden="1">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944"/>
      <c r="Q13" s="1151">
        <f t="shared" si="6"/>
        <v>111</v>
      </c>
      <c r="R13" s="1568" t="s">
        <v>8</v>
      </c>
      <c r="S13" s="1569">
        <f t="shared" si="0"/>
        <v>100</v>
      </c>
      <c r="T13" s="1568" t="s">
        <v>8</v>
      </c>
      <c r="U13" s="1569">
        <f t="shared" si="1"/>
        <v>100</v>
      </c>
      <c r="V13" s="1568" t="s">
        <v>8</v>
      </c>
      <c r="W13" s="1569">
        <f t="shared" si="2"/>
        <v>100</v>
      </c>
      <c r="X13" s="1570"/>
      <c r="Y13" s="3798"/>
      <c r="Z13" s="1150">
        <f t="shared" si="7"/>
        <v>111</v>
      </c>
      <c r="AA13" s="1571">
        <f t="shared" si="3"/>
        <v>1</v>
      </c>
      <c r="AB13" s="1571">
        <f t="shared" si="4"/>
        <v>1</v>
      </c>
      <c r="AC13" s="1571">
        <f t="shared" si="5"/>
        <v>1</v>
      </c>
    </row>
    <row r="14" spans="1:29" ht="15.75" hidden="1"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944"/>
      <c r="Q14" s="1151">
        <f t="shared" si="6"/>
        <v>111</v>
      </c>
      <c r="R14" s="1568" t="s">
        <v>8</v>
      </c>
      <c r="S14" s="1569">
        <f t="shared" si="0"/>
        <v>100</v>
      </c>
      <c r="T14" s="1568" t="s">
        <v>8</v>
      </c>
      <c r="U14" s="1569">
        <f t="shared" si="1"/>
        <v>100</v>
      </c>
      <c r="V14" s="1568" t="s">
        <v>8</v>
      </c>
      <c r="W14" s="1569">
        <f t="shared" si="2"/>
        <v>100</v>
      </c>
      <c r="X14" s="1570"/>
      <c r="Y14" s="3798"/>
      <c r="Z14" s="1150">
        <f t="shared" si="7"/>
        <v>111</v>
      </c>
      <c r="AA14" s="1571">
        <f t="shared" si="3"/>
        <v>1</v>
      </c>
      <c r="AB14" s="1571">
        <f t="shared" si="4"/>
        <v>1</v>
      </c>
      <c r="AC14" s="1571">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101</v>
      </c>
      <c r="G15" s="550"/>
      <c r="H15" s="549">
        <f>SUMIF(77:77,G16,78:78)-SUMIF(77:77,C16,78:78)+100</f>
        <v>101</v>
      </c>
      <c r="I15" s="550"/>
      <c r="J15" s="549">
        <f>SUMIF(77:77,I16,78:78)-SUMIF(77:77,C16,78:78)+100</f>
        <v>101</v>
      </c>
      <c r="K15" s="898">
        <v>1</v>
      </c>
      <c r="L15" s="2142"/>
      <c r="M15" s="2134"/>
      <c r="N15" s="2134"/>
      <c r="O15" s="2134"/>
      <c r="P15" s="3949" t="s">
        <v>540</v>
      </c>
      <c r="Q15" s="1572" t="str">
        <f t="shared" si="6"/>
        <v>办公集聚程度</v>
      </c>
      <c r="R15" s="1573" t="s">
        <v>8</v>
      </c>
      <c r="S15" s="1574">
        <f t="shared" si="0"/>
        <v>101</v>
      </c>
      <c r="T15" s="1573" t="s">
        <v>8</v>
      </c>
      <c r="U15" s="1574">
        <f t="shared" si="1"/>
        <v>101</v>
      </c>
      <c r="V15" s="1573" t="s">
        <v>8</v>
      </c>
      <c r="W15" s="1574">
        <f t="shared" si="2"/>
        <v>101</v>
      </c>
      <c r="X15" s="1567"/>
      <c r="Y15" s="3949" t="s">
        <v>540</v>
      </c>
      <c r="Z15" s="1575" t="str">
        <f t="shared" si="7"/>
        <v>办公集聚程度</v>
      </c>
      <c r="AA15" s="1576">
        <f t="shared" si="3"/>
        <v>0.99009900990099009</v>
      </c>
      <c r="AB15" s="1576">
        <f t="shared" si="4"/>
        <v>0.99009900990099009</v>
      </c>
      <c r="AC15" s="1576">
        <f t="shared" si="5"/>
        <v>0.99009900990099009</v>
      </c>
    </row>
    <row r="16" spans="1:29" ht="15">
      <c r="A16" s="532"/>
      <c r="B16" s="553"/>
      <c r="C16" s="554" t="s">
        <v>3011</v>
      </c>
      <c r="D16" s="555"/>
      <c r="E16" s="576" t="s">
        <v>3012</v>
      </c>
      <c r="F16" s="555"/>
      <c r="G16" s="554" t="s">
        <v>3012</v>
      </c>
      <c r="H16" s="559"/>
      <c r="I16" s="576" t="s">
        <v>3012</v>
      </c>
      <c r="J16" s="555"/>
      <c r="K16" s="899"/>
      <c r="L16" s="2142"/>
      <c r="M16" s="2134"/>
      <c r="N16" s="2134"/>
      <c r="O16" s="2134"/>
      <c r="P16" s="3950"/>
      <c r="Q16" s="1572"/>
      <c r="R16" s="1573"/>
      <c r="S16" s="1574"/>
      <c r="T16" s="1573"/>
      <c r="U16" s="1574"/>
      <c r="V16" s="1573"/>
      <c r="W16" s="1574"/>
      <c r="X16" s="1567"/>
      <c r="Y16" s="395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v>2</v>
      </c>
      <c r="L17" s="2142"/>
      <c r="M17" s="2134"/>
      <c r="N17" s="2134"/>
      <c r="O17" s="2134"/>
      <c r="P17" s="3950"/>
      <c r="Q17" s="1572" t="str">
        <f>B17</f>
        <v>交通便捷度</v>
      </c>
      <c r="R17" s="1573" t="s">
        <v>8</v>
      </c>
      <c r="S17" s="1574">
        <f>F17</f>
        <v>100</v>
      </c>
      <c r="T17" s="1573" t="s">
        <v>8</v>
      </c>
      <c r="U17" s="1574">
        <f>H17</f>
        <v>100</v>
      </c>
      <c r="V17" s="1573" t="s">
        <v>8</v>
      </c>
      <c r="W17" s="1574">
        <f>J17</f>
        <v>100</v>
      </c>
      <c r="X17" s="1567"/>
      <c r="Y17" s="3950"/>
      <c r="Z17" s="1575" t="str">
        <f>Q17</f>
        <v>交通便捷度</v>
      </c>
      <c r="AA17" s="1576">
        <f t="shared" si="3"/>
        <v>1</v>
      </c>
      <c r="AB17" s="1576">
        <f t="shared" si="4"/>
        <v>1</v>
      </c>
      <c r="AC17" s="1576">
        <f t="shared" si="5"/>
        <v>1</v>
      </c>
    </row>
    <row r="18" spans="1:29" ht="15">
      <c r="A18" s="532"/>
      <c r="B18" s="566"/>
      <c r="C18" s="567" t="s">
        <v>3011</v>
      </c>
      <c r="D18" s="559"/>
      <c r="E18" s="569" t="s">
        <v>3011</v>
      </c>
      <c r="F18" s="559"/>
      <c r="G18" s="568" t="s">
        <v>3011</v>
      </c>
      <c r="H18" s="555"/>
      <c r="I18" s="568" t="s">
        <v>3011</v>
      </c>
      <c r="J18" s="555"/>
      <c r="K18" s="899"/>
      <c r="L18" s="2142"/>
      <c r="M18" s="2134"/>
      <c r="N18" s="2134"/>
      <c r="O18" s="2134"/>
      <c r="P18" s="3950"/>
      <c r="Q18" s="1572"/>
      <c r="R18" s="1573"/>
      <c r="S18" s="1574"/>
      <c r="T18" s="1573"/>
      <c r="U18" s="1574"/>
      <c r="V18" s="1573"/>
      <c r="W18" s="1574"/>
      <c r="X18" s="1567"/>
      <c r="Y18" s="3950"/>
      <c r="Z18" s="1575"/>
      <c r="AA18" s="1576">
        <v>1</v>
      </c>
      <c r="AB18" s="1576">
        <v>1</v>
      </c>
      <c r="AC18" s="1576">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v>2</v>
      </c>
      <c r="L19" s="2142"/>
      <c r="M19" s="2134"/>
      <c r="N19" s="2134"/>
      <c r="O19" s="2134"/>
      <c r="P19" s="3950"/>
      <c r="Q19" s="1572" t="str">
        <f>B19</f>
        <v>公共配套设施</v>
      </c>
      <c r="R19" s="1573" t="s">
        <v>8</v>
      </c>
      <c r="S19" s="1574">
        <f>F19</f>
        <v>100</v>
      </c>
      <c r="T19" s="1573" t="s">
        <v>8</v>
      </c>
      <c r="U19" s="1574">
        <f>H19</f>
        <v>100</v>
      </c>
      <c r="V19" s="1573" t="s">
        <v>8</v>
      </c>
      <c r="W19" s="1574">
        <f>J19</f>
        <v>100</v>
      </c>
      <c r="X19" s="1567"/>
      <c r="Y19" s="3950"/>
      <c r="Z19" s="1575" t="str">
        <f>Q19</f>
        <v>公共配套设施</v>
      </c>
      <c r="AA19" s="1576">
        <f t="shared" si="3"/>
        <v>1</v>
      </c>
      <c r="AB19" s="1576">
        <f t="shared" si="4"/>
        <v>1</v>
      </c>
      <c r="AC19" s="1576">
        <f t="shared" si="5"/>
        <v>1</v>
      </c>
    </row>
    <row r="20" spans="1:29" ht="15">
      <c r="A20" s="532"/>
      <c r="B20" s="566"/>
      <c r="C20" s="554" t="s">
        <v>3011</v>
      </c>
      <c r="D20" s="555"/>
      <c r="E20" s="558" t="s">
        <v>3011</v>
      </c>
      <c r="F20" s="555"/>
      <c r="G20" s="556" t="s">
        <v>3011</v>
      </c>
      <c r="H20" s="555"/>
      <c r="I20" s="556" t="s">
        <v>3011</v>
      </c>
      <c r="J20" s="555"/>
      <c r="K20" s="899"/>
      <c r="L20" s="2142"/>
      <c r="M20" s="2134"/>
      <c r="N20" s="2134"/>
      <c r="O20" s="2134"/>
      <c r="P20" s="3950"/>
      <c r="Q20" s="1572"/>
      <c r="R20" s="1573"/>
      <c r="S20" s="1574"/>
      <c r="T20" s="1573"/>
      <c r="U20" s="1574"/>
      <c r="V20" s="1573"/>
      <c r="W20" s="1574"/>
      <c r="X20" s="1567"/>
      <c r="Y20" s="3950"/>
      <c r="Z20" s="1575"/>
      <c r="AA20" s="1576">
        <v>1</v>
      </c>
      <c r="AB20" s="1576">
        <v>1</v>
      </c>
      <c r="AC20" s="1576">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1</v>
      </c>
      <c r="L21" s="2142"/>
      <c r="M21" s="2134"/>
      <c r="N21" s="2134"/>
      <c r="O21" s="2134"/>
      <c r="P21" s="3950"/>
      <c r="Q21" s="2558" t="str">
        <f>B21</f>
        <v>基础设施水平</v>
      </c>
      <c r="R21" s="1573" t="s">
        <v>8</v>
      </c>
      <c r="S21" s="1574">
        <f>F21</f>
        <v>100</v>
      </c>
      <c r="T21" s="1573" t="s">
        <v>8</v>
      </c>
      <c r="U21" s="1574">
        <f>H21</f>
        <v>100</v>
      </c>
      <c r="V21" s="1573" t="s">
        <v>8</v>
      </c>
      <c r="W21" s="1574">
        <f>J21</f>
        <v>100</v>
      </c>
      <c r="X21" s="2560"/>
      <c r="Y21" s="3950"/>
      <c r="Z21" s="2559" t="str">
        <f>Q21</f>
        <v>基础设施水平</v>
      </c>
      <c r="AA21" s="1576">
        <f t="shared" ref="AA21" si="8">D21/F21</f>
        <v>1</v>
      </c>
      <c r="AB21" s="1576">
        <f t="shared" ref="AB21" si="9">D21/H21</f>
        <v>1</v>
      </c>
      <c r="AC21" s="1576">
        <f t="shared" ref="AC21" si="10">D21/J21</f>
        <v>1</v>
      </c>
    </row>
    <row r="22" spans="1:29" ht="15">
      <c r="A22" s="532"/>
      <c r="B22" s="578"/>
      <c r="C22" s="3581" t="s">
        <v>3338</v>
      </c>
      <c r="D22" s="555"/>
      <c r="E22" s="3581" t="s">
        <v>3338</v>
      </c>
      <c r="F22" s="555"/>
      <c r="G22" s="3581" t="s">
        <v>3338</v>
      </c>
      <c r="H22" s="555"/>
      <c r="I22" s="3581" t="s">
        <v>3338</v>
      </c>
      <c r="J22" s="555"/>
      <c r="K22" s="2581"/>
      <c r="L22" s="2142"/>
      <c r="M22" s="2134"/>
      <c r="N22" s="2134"/>
      <c r="O22" s="2134"/>
      <c r="P22" s="3950"/>
      <c r="Q22" s="2558"/>
      <c r="R22" s="1573"/>
      <c r="S22" s="1574"/>
      <c r="T22" s="1573"/>
      <c r="U22" s="1574"/>
      <c r="V22" s="1573"/>
      <c r="W22" s="1574"/>
      <c r="X22" s="2560"/>
      <c r="Y22" s="3950"/>
      <c r="Z22" s="2559"/>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102</v>
      </c>
      <c r="G23" s="562"/>
      <c r="H23" s="559">
        <f>SUMIF(85:85,G24,86:86)-SUMIF(85:85,C24,86:86)+100</f>
        <v>102</v>
      </c>
      <c r="I23" s="562"/>
      <c r="J23" s="559">
        <f>SUMIF(85:85,I24,86:86)-SUMIF(85:85,C24,86:86)+100</f>
        <v>102</v>
      </c>
      <c r="K23" s="898">
        <v>2</v>
      </c>
      <c r="L23" s="2142"/>
      <c r="M23" s="2134"/>
      <c r="N23" s="2134"/>
      <c r="O23" s="2134"/>
      <c r="P23" s="3950"/>
      <c r="Q23" s="1572" t="str">
        <f>B23</f>
        <v>环境质量</v>
      </c>
      <c r="R23" s="1573" t="s">
        <v>8</v>
      </c>
      <c r="S23" s="1574">
        <f>F23</f>
        <v>102</v>
      </c>
      <c r="T23" s="1573" t="s">
        <v>8</v>
      </c>
      <c r="U23" s="1574">
        <f>H23</f>
        <v>102</v>
      </c>
      <c r="V23" s="1573" t="s">
        <v>8</v>
      </c>
      <c r="W23" s="1574">
        <f>J23</f>
        <v>102</v>
      </c>
      <c r="X23" s="1567"/>
      <c r="Y23" s="3950"/>
      <c r="Z23" s="1575" t="str">
        <f>Q23</f>
        <v>环境质量</v>
      </c>
      <c r="AA23" s="1576">
        <f t="shared" si="3"/>
        <v>0.98039215686274506</v>
      </c>
      <c r="AB23" s="1576">
        <f t="shared" si="4"/>
        <v>0.98039215686274506</v>
      </c>
      <c r="AC23" s="1576">
        <f t="shared" si="5"/>
        <v>0.98039215686274506</v>
      </c>
    </row>
    <row r="24" spans="1:29" ht="15">
      <c r="A24" s="532"/>
      <c r="B24" s="578"/>
      <c r="C24" s="554" t="s">
        <v>3013</v>
      </c>
      <c r="D24" s="555"/>
      <c r="E24" s="558" t="s">
        <v>3011</v>
      </c>
      <c r="F24" s="555"/>
      <c r="G24" s="556" t="s">
        <v>3011</v>
      </c>
      <c r="H24" s="555"/>
      <c r="I24" s="556" t="s">
        <v>3011</v>
      </c>
      <c r="J24" s="555"/>
      <c r="K24" s="899"/>
      <c r="L24" s="2142"/>
      <c r="M24" s="2134"/>
      <c r="N24" s="2134"/>
      <c r="O24" s="2134"/>
      <c r="P24" s="3950"/>
      <c r="Q24" s="1572"/>
      <c r="R24" s="1573"/>
      <c r="S24" s="1574"/>
      <c r="T24" s="1573"/>
      <c r="U24" s="1574"/>
      <c r="V24" s="1573"/>
      <c r="W24" s="1574"/>
      <c r="X24" s="1567"/>
      <c r="Y24" s="3950"/>
      <c r="Z24" s="1575"/>
      <c r="AA24" s="1576">
        <v>1</v>
      </c>
      <c r="AB24" s="1576">
        <v>1</v>
      </c>
      <c r="AC24" s="1576">
        <v>1</v>
      </c>
    </row>
    <row r="25" spans="1:29" ht="27">
      <c r="A25" s="515"/>
      <c r="B25" s="560" t="s">
        <v>548</v>
      </c>
      <c r="C25" s="3583" t="s">
        <v>3297</v>
      </c>
      <c r="D25" s="540">
        <v>100</v>
      </c>
      <c r="E25" s="3577" t="s">
        <v>3299</v>
      </c>
      <c r="F25" s="540">
        <f>SUMIF(87:87,E26,88:88)-SUMIF(87:87,C26,88:88)+100</f>
        <v>102</v>
      </c>
      <c r="G25" s="3583" t="s">
        <v>3299</v>
      </c>
      <c r="H25" s="540">
        <f>SUMIF(87:87,G26,88:88)-SUMIF(87:87,C26,88:88)+100</f>
        <v>102</v>
      </c>
      <c r="I25" s="3583" t="s">
        <v>3299</v>
      </c>
      <c r="J25" s="540">
        <f>SUMIF(87:87,I26,88:88)-SUMIF(87:87,C26,88:88)+100</f>
        <v>102</v>
      </c>
      <c r="K25" s="898">
        <v>2</v>
      </c>
      <c r="L25" s="2142"/>
      <c r="M25" s="2134"/>
      <c r="N25" s="2134"/>
      <c r="O25" s="2134"/>
      <c r="P25" s="3950"/>
      <c r="Q25" s="1572" t="str">
        <f>B25</f>
        <v>毗邻道路的类型与等级</v>
      </c>
      <c r="R25" s="1573" t="s">
        <v>8</v>
      </c>
      <c r="S25" s="1574">
        <f>F25</f>
        <v>102</v>
      </c>
      <c r="T25" s="1573" t="s">
        <v>8</v>
      </c>
      <c r="U25" s="1574">
        <f>H25</f>
        <v>102</v>
      </c>
      <c r="V25" s="1573" t="s">
        <v>8</v>
      </c>
      <c r="W25" s="1574">
        <f>J25</f>
        <v>102</v>
      </c>
      <c r="X25" s="1567"/>
      <c r="Y25" s="3950"/>
      <c r="Z25" s="1575" t="str">
        <f>Q25</f>
        <v>毗邻道路的类型与等级</v>
      </c>
      <c r="AA25" s="1576">
        <f t="shared" si="3"/>
        <v>0.98039215686274506</v>
      </c>
      <c r="AB25" s="1576">
        <f t="shared" si="4"/>
        <v>0.98039215686274506</v>
      </c>
      <c r="AC25" s="1576">
        <f t="shared" si="5"/>
        <v>0.98039215686274506</v>
      </c>
    </row>
    <row r="26" spans="1:29" ht="15.75" thickBot="1">
      <c r="A26" s="515"/>
      <c r="B26" s="566"/>
      <c r="C26" s="580" t="s">
        <v>3258</v>
      </c>
      <c r="D26" s="540"/>
      <c r="E26" s="583" t="s">
        <v>3295</v>
      </c>
      <c r="F26" s="540"/>
      <c r="G26" s="580" t="s">
        <v>3295</v>
      </c>
      <c r="H26" s="540"/>
      <c r="I26" s="583" t="s">
        <v>3295</v>
      </c>
      <c r="J26" s="540"/>
      <c r="K26" s="899"/>
      <c r="L26" s="2142"/>
      <c r="M26" s="2134"/>
      <c r="N26" s="2134"/>
      <c r="O26" s="2134"/>
      <c r="P26" s="3950"/>
      <c r="Q26" s="1572"/>
      <c r="R26" s="1573"/>
      <c r="S26" s="1574"/>
      <c r="T26" s="1573"/>
      <c r="U26" s="1574"/>
      <c r="V26" s="1573"/>
      <c r="W26" s="1574"/>
      <c r="X26" s="1567"/>
      <c r="Y26" s="3950"/>
      <c r="Z26" s="1575"/>
      <c r="AA26" s="1576">
        <v>1</v>
      </c>
      <c r="AB26" s="1576">
        <v>1</v>
      </c>
      <c r="AC26" s="1576">
        <v>1</v>
      </c>
    </row>
    <row r="27" spans="1:29" ht="15.75" hidden="1" thickTop="1">
      <c r="A27" s="532"/>
      <c r="B27" s="566" t="s">
        <v>761</v>
      </c>
      <c r="C27" s="688" t="s">
        <v>3300</v>
      </c>
      <c r="D27" s="540">
        <v>100</v>
      </c>
      <c r="E27" s="688" t="s">
        <v>3301</v>
      </c>
      <c r="F27" s="540">
        <f>SUMIF(89:89,E27,90:90)-SUMIF(89:89,C27,90:90)+100</f>
        <v>100</v>
      </c>
      <c r="G27" s="688" t="s">
        <v>3303</v>
      </c>
      <c r="H27" s="540">
        <f>SUMIF(89:89,G27,90:90)-SUMIF(89:89,C27,90:90)+100</f>
        <v>100</v>
      </c>
      <c r="I27" s="892" t="s">
        <v>3302</v>
      </c>
      <c r="J27" s="540">
        <f>SUMIF(89:89,I27,90:90)-SUMIF(89:89,C27,90:90)+100</f>
        <v>100</v>
      </c>
      <c r="K27" s="584"/>
      <c r="L27" s="2142"/>
      <c r="M27" s="2134"/>
      <c r="N27" s="2134"/>
      <c r="O27" s="2134"/>
      <c r="P27" s="3950"/>
      <c r="Q27" s="1572" t="str">
        <f t="shared" ref="Q27:Q47" si="11">B27</f>
        <v>楼层</v>
      </c>
      <c r="R27" s="1573" t="s">
        <v>8</v>
      </c>
      <c r="S27" s="1574">
        <f>F27</f>
        <v>100</v>
      </c>
      <c r="T27" s="1573" t="s">
        <v>8</v>
      </c>
      <c r="U27" s="1574">
        <f>H27</f>
        <v>100</v>
      </c>
      <c r="V27" s="1573" t="s">
        <v>8</v>
      </c>
      <c r="W27" s="1574">
        <f>J27</f>
        <v>100</v>
      </c>
      <c r="X27" s="1567"/>
      <c r="Y27" s="3950"/>
      <c r="Z27" s="1575" t="str">
        <f>Q27</f>
        <v>楼层</v>
      </c>
      <c r="AA27" s="1576">
        <f t="shared" si="3"/>
        <v>1</v>
      </c>
      <c r="AB27" s="1576">
        <f t="shared" si="4"/>
        <v>1</v>
      </c>
      <c r="AC27" s="1576">
        <f t="shared" si="5"/>
        <v>1</v>
      </c>
    </row>
    <row r="28" spans="1:29" s="1220"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950"/>
      <c r="Q28" s="1151" t="str">
        <f t="shared" si="11"/>
        <v>朝向</v>
      </c>
      <c r="R28" s="1568" t="s">
        <v>8</v>
      </c>
      <c r="S28" s="1569">
        <f>F28</f>
        <v>100</v>
      </c>
      <c r="T28" s="1568" t="s">
        <v>8</v>
      </c>
      <c r="U28" s="1569">
        <f>H28</f>
        <v>100</v>
      </c>
      <c r="V28" s="1568" t="s">
        <v>8</v>
      </c>
      <c r="W28" s="1569">
        <f>J28</f>
        <v>100</v>
      </c>
      <c r="X28" s="1570"/>
      <c r="Y28" s="3950"/>
      <c r="Z28" s="1150" t="str">
        <f>Q28</f>
        <v>朝向</v>
      </c>
      <c r="AA28" s="1576">
        <f>D28/F28</f>
        <v>1</v>
      </c>
      <c r="AB28" s="1576">
        <f>D28/H28</f>
        <v>1</v>
      </c>
      <c r="AC28" s="1576">
        <f>D28/J28</f>
        <v>1</v>
      </c>
    </row>
    <row r="29" spans="1:29" ht="18" customHeight="1" thickTop="1" thickBot="1">
      <c r="A29" s="532"/>
      <c r="B29" s="3584" t="s">
        <v>3304</v>
      </c>
      <c r="C29" s="688" t="s">
        <v>3300</v>
      </c>
      <c r="D29" s="540">
        <v>100</v>
      </c>
      <c r="E29" s="688" t="s">
        <v>3301</v>
      </c>
      <c r="F29" s="540">
        <f>SUMIF(93:93,E29,94:94)-SUMIF(93:93,C29,94:94)+100</f>
        <v>98</v>
      </c>
      <c r="G29" s="688" t="s">
        <v>3303</v>
      </c>
      <c r="H29" s="540">
        <f>SUMIF(93:93,G29,94:94)-SUMIF(93:93,C29,94:94)+100</f>
        <v>100</v>
      </c>
      <c r="I29" s="892" t="s">
        <v>3315</v>
      </c>
      <c r="J29" s="540">
        <f>SUMIF(93:93,I29,94:94)-SUMIF(93:93,C29,94:94)+100</f>
        <v>99</v>
      </c>
      <c r="K29" s="581"/>
      <c r="L29" s="2142"/>
      <c r="M29" s="2134"/>
      <c r="N29" s="2134"/>
      <c r="O29" s="2134"/>
      <c r="P29" s="3950"/>
      <c r="Q29" s="1572" t="str">
        <f t="shared" si="11"/>
        <v>楼层</v>
      </c>
      <c r="R29" s="1573" t="s">
        <v>8</v>
      </c>
      <c r="S29" s="1574">
        <f t="shared" ref="S29:S47" si="12">F29</f>
        <v>98</v>
      </c>
      <c r="T29" s="1573" t="s">
        <v>8</v>
      </c>
      <c r="U29" s="1574">
        <f t="shared" ref="U29:U47" si="13">H29</f>
        <v>100</v>
      </c>
      <c r="V29" s="1573" t="s">
        <v>8</v>
      </c>
      <c r="W29" s="1574">
        <f t="shared" ref="W29:W47" si="14">J29</f>
        <v>99</v>
      </c>
      <c r="X29" s="1567"/>
      <c r="Y29" s="3950"/>
      <c r="Z29" s="1575" t="str">
        <f t="shared" ref="Z29:Z47" si="15">Q29</f>
        <v>楼层</v>
      </c>
      <c r="AA29" s="1576">
        <f t="shared" si="3"/>
        <v>1.0204081632653061</v>
      </c>
      <c r="AB29" s="1576">
        <f t="shared" si="4"/>
        <v>1</v>
      </c>
      <c r="AC29" s="1576">
        <f t="shared" si="5"/>
        <v>1.0101010101010102</v>
      </c>
    </row>
    <row r="30" spans="1:29" ht="18.75" hidden="1" customHeight="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950"/>
      <c r="Q30" s="1572">
        <f t="shared" si="11"/>
        <v>111</v>
      </c>
      <c r="R30" s="1573" t="s">
        <v>8</v>
      </c>
      <c r="S30" s="1574">
        <f t="shared" si="12"/>
        <v>100</v>
      </c>
      <c r="T30" s="1573" t="s">
        <v>8</v>
      </c>
      <c r="U30" s="1574">
        <f t="shared" si="13"/>
        <v>100</v>
      </c>
      <c r="V30" s="1573" t="s">
        <v>8</v>
      </c>
      <c r="W30" s="1574">
        <f t="shared" si="14"/>
        <v>100</v>
      </c>
      <c r="X30" s="1567"/>
      <c r="Y30" s="3950"/>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950"/>
      <c r="Q31" s="1572">
        <f t="shared" si="11"/>
        <v>111</v>
      </c>
      <c r="R31" s="1573" t="s">
        <v>8</v>
      </c>
      <c r="S31" s="1574">
        <f t="shared" si="12"/>
        <v>100</v>
      </c>
      <c r="T31" s="1573" t="s">
        <v>8</v>
      </c>
      <c r="U31" s="1574">
        <f t="shared" si="13"/>
        <v>100</v>
      </c>
      <c r="V31" s="1573" t="s">
        <v>8</v>
      </c>
      <c r="W31" s="1574">
        <f t="shared" si="14"/>
        <v>100</v>
      </c>
      <c r="X31" s="1567"/>
      <c r="Y31" s="3950"/>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950"/>
      <c r="Q32" s="1572">
        <f t="shared" si="11"/>
        <v>111</v>
      </c>
      <c r="R32" s="1573" t="s">
        <v>8</v>
      </c>
      <c r="S32" s="1574">
        <f t="shared" si="12"/>
        <v>100</v>
      </c>
      <c r="T32" s="1573" t="s">
        <v>8</v>
      </c>
      <c r="U32" s="1574">
        <f t="shared" si="13"/>
        <v>100</v>
      </c>
      <c r="V32" s="1573" t="s">
        <v>8</v>
      </c>
      <c r="W32" s="1574">
        <f t="shared" si="14"/>
        <v>100</v>
      </c>
      <c r="X32" s="1567"/>
      <c r="Y32" s="3950"/>
      <c r="Z32" s="1575">
        <f t="shared" si="15"/>
        <v>111</v>
      </c>
      <c r="AA32" s="1576">
        <f t="shared" si="3"/>
        <v>1</v>
      </c>
      <c r="AB32" s="1576">
        <f t="shared" si="4"/>
        <v>1</v>
      </c>
      <c r="AC32" s="1576">
        <f t="shared" si="5"/>
        <v>1</v>
      </c>
    </row>
    <row r="33" spans="1:29" ht="15">
      <c r="A33" s="2885" t="s">
        <v>2756</v>
      </c>
      <c r="B33" s="172" t="s">
        <v>780</v>
      </c>
      <c r="C33" s="916" t="s">
        <v>3305</v>
      </c>
      <c r="D33" s="597">
        <v>100</v>
      </c>
      <c r="E33" s="916" t="s">
        <v>3305</v>
      </c>
      <c r="F33" s="575">
        <f>SUMIF(101:101,E33,102:102)-SUMIF(101:101,C33,102:102)+100</f>
        <v>100</v>
      </c>
      <c r="G33" s="916" t="s">
        <v>3305</v>
      </c>
      <c r="H33" s="540">
        <f>SUMIF(101:101,G33,102:102)-SUMIF(101:101,C33,102:102)+100</f>
        <v>100</v>
      </c>
      <c r="I33" s="916" t="s">
        <v>3305</v>
      </c>
      <c r="J33" s="597">
        <f>SUMIF(101:101,I33,102:102)-SUMIF(101:101,C33,102:102)+100</f>
        <v>100</v>
      </c>
      <c r="K33" s="584">
        <v>2</v>
      </c>
      <c r="L33" s="2142"/>
      <c r="M33" s="2134"/>
      <c r="N33" s="2134"/>
      <c r="O33" s="2134"/>
      <c r="P33" s="3951" t="s">
        <v>550</v>
      </c>
      <c r="Q33" s="1572" t="str">
        <f t="shared" si="11"/>
        <v>建筑类型</v>
      </c>
      <c r="R33" s="1573" t="s">
        <v>8</v>
      </c>
      <c r="S33" s="1574">
        <f t="shared" si="12"/>
        <v>100</v>
      </c>
      <c r="T33" s="1573" t="s">
        <v>8</v>
      </c>
      <c r="U33" s="1574">
        <f t="shared" si="13"/>
        <v>100</v>
      </c>
      <c r="V33" s="1573" t="s">
        <v>8</v>
      </c>
      <c r="W33" s="1574">
        <f t="shared" si="14"/>
        <v>100</v>
      </c>
      <c r="X33" s="1567"/>
      <c r="Y33" s="3952" t="s">
        <v>550</v>
      </c>
      <c r="Z33" s="1575" t="str">
        <f t="shared" si="15"/>
        <v>建筑类型</v>
      </c>
      <c r="AA33" s="1576">
        <f t="shared" si="3"/>
        <v>1</v>
      </c>
      <c r="AB33" s="1576">
        <f t="shared" si="4"/>
        <v>1</v>
      </c>
      <c r="AC33" s="1576">
        <f t="shared" si="5"/>
        <v>1</v>
      </c>
    </row>
    <row r="34" spans="1:29" s="1339" customFormat="1" ht="15">
      <c r="A34" s="603"/>
      <c r="B34" s="527" t="s">
        <v>726</v>
      </c>
      <c r="C34" s="880">
        <f>'数据-汇总表'!E19</f>
        <v>39900.839999999997</v>
      </c>
      <c r="D34" s="255">
        <v>100</v>
      </c>
      <c r="E34" s="534">
        <v>300</v>
      </c>
      <c r="F34" s="863">
        <f>LOOKUP(E34,104:104,105:105)-LOOKUP(C34,104:104,105:105)+100</f>
        <v>110</v>
      </c>
      <c r="G34" s="533">
        <v>898</v>
      </c>
      <c r="H34" s="255">
        <f>LOOKUP(G34,104:104,105:105)-LOOKUP(C34,104:104,105:105)+100</f>
        <v>110</v>
      </c>
      <c r="I34" s="533">
        <v>5000</v>
      </c>
      <c r="J34" s="255">
        <f>LOOKUP(I34,104:104,105:105)-LOOKUP(C34,104:104,105:105)+100</f>
        <v>107</v>
      </c>
      <c r="K34" s="581"/>
      <c r="L34" s="2140"/>
      <c r="M34" s="2171"/>
      <c r="N34" s="2171"/>
      <c r="O34" s="2171"/>
      <c r="P34" s="3952"/>
      <c r="Q34" s="1605" t="str">
        <f t="shared" si="11"/>
        <v>项目建筑规模</v>
      </c>
      <c r="R34" s="1577" t="s">
        <v>8</v>
      </c>
      <c r="S34" s="1578">
        <f t="shared" si="12"/>
        <v>110</v>
      </c>
      <c r="T34" s="1577" t="s">
        <v>8</v>
      </c>
      <c r="U34" s="1578">
        <f t="shared" si="13"/>
        <v>110</v>
      </c>
      <c r="V34" s="1577" t="s">
        <v>8</v>
      </c>
      <c r="W34" s="1578">
        <f t="shared" si="14"/>
        <v>107</v>
      </c>
      <c r="X34" s="1579"/>
      <c r="Y34" s="3952"/>
      <c r="Z34" s="1580" t="str">
        <f t="shared" si="15"/>
        <v>项目建筑规模</v>
      </c>
      <c r="AA34" s="1576">
        <f t="shared" si="3"/>
        <v>0.90909090909090906</v>
      </c>
      <c r="AB34" s="1576">
        <f t="shared" si="4"/>
        <v>0.90909090909090906</v>
      </c>
      <c r="AC34" s="1576">
        <f t="shared" si="5"/>
        <v>0.93457943925233644</v>
      </c>
    </row>
    <row r="35" spans="1:29" ht="15">
      <c r="A35" s="594"/>
      <c r="B35" s="527" t="s">
        <v>727</v>
      </c>
      <c r="C35" s="574" t="s">
        <v>3016</v>
      </c>
      <c r="D35" s="540">
        <v>100</v>
      </c>
      <c r="E35" s="574" t="s">
        <v>3016</v>
      </c>
      <c r="F35" s="575">
        <f>SUMIF(106:106,E35,107:107)-SUMIF(106:106,C35,107:107)+100</f>
        <v>100</v>
      </c>
      <c r="G35" s="574" t="s">
        <v>3016</v>
      </c>
      <c r="H35" s="540">
        <f>SUMIF(106:106,G35,107:107)-SUMIF(106:106,C35,107:107)+100</f>
        <v>100</v>
      </c>
      <c r="I35" s="574" t="s">
        <v>3016</v>
      </c>
      <c r="J35" s="540">
        <f>SUMIF(106:106,I35,107:107)-SUMIF(106:106,C35,107:107)+100</f>
        <v>100</v>
      </c>
      <c r="K35" s="584">
        <v>2</v>
      </c>
      <c r="L35" s="2142"/>
      <c r="M35" s="2134"/>
      <c r="N35" s="2134"/>
      <c r="O35" s="2134"/>
      <c r="P35" s="3952"/>
      <c r="Q35" s="1572" t="str">
        <f t="shared" si="11"/>
        <v>建筑结构</v>
      </c>
      <c r="R35" s="1573" t="s">
        <v>8</v>
      </c>
      <c r="S35" s="1574">
        <f t="shared" si="12"/>
        <v>100</v>
      </c>
      <c r="T35" s="1573" t="s">
        <v>8</v>
      </c>
      <c r="U35" s="1574">
        <f t="shared" si="13"/>
        <v>100</v>
      </c>
      <c r="V35" s="1573" t="s">
        <v>8</v>
      </c>
      <c r="W35" s="1574">
        <f t="shared" si="14"/>
        <v>100</v>
      </c>
      <c r="X35" s="1567"/>
      <c r="Y35" s="3952"/>
      <c r="Z35" s="1575" t="str">
        <f t="shared" si="15"/>
        <v>建筑结构</v>
      </c>
      <c r="AA35" s="1576">
        <f t="shared" si="3"/>
        <v>1</v>
      </c>
      <c r="AB35" s="1576">
        <f t="shared" si="4"/>
        <v>1</v>
      </c>
      <c r="AC35" s="1576">
        <f t="shared" si="5"/>
        <v>1</v>
      </c>
    </row>
    <row r="36" spans="1:29" ht="15">
      <c r="A36" s="594"/>
      <c r="B36" s="527" t="s">
        <v>763</v>
      </c>
      <c r="C36" s="574" t="s">
        <v>3274</v>
      </c>
      <c r="D36" s="540">
        <v>100</v>
      </c>
      <c r="E36" s="574" t="s">
        <v>3274</v>
      </c>
      <c r="F36" s="575">
        <f>SUMIF(108:108,E36,109:109)-SUMIF(108:108,C36,109:109)+100</f>
        <v>100</v>
      </c>
      <c r="G36" s="574" t="s">
        <v>3274</v>
      </c>
      <c r="H36" s="540">
        <f>SUMIF(108:108,G36,109:109)-SUMIF(108:108,C36,109:109)+100</f>
        <v>100</v>
      </c>
      <c r="I36" s="574" t="s">
        <v>3274</v>
      </c>
      <c r="J36" s="540">
        <f>SUMIF(108:108,I36,109:109)-SUMIF(108:108,C36,109:109)+100</f>
        <v>100</v>
      </c>
      <c r="K36" s="584">
        <v>2</v>
      </c>
      <c r="L36" s="2142"/>
      <c r="M36" s="2134"/>
      <c r="N36" s="2134"/>
      <c r="O36" s="2134"/>
      <c r="P36" s="3952"/>
      <c r="Q36" s="1572" t="str">
        <f t="shared" si="11"/>
        <v>公共部分装修</v>
      </c>
      <c r="R36" s="1573" t="s">
        <v>8</v>
      </c>
      <c r="S36" s="1574">
        <f t="shared" si="12"/>
        <v>100</v>
      </c>
      <c r="T36" s="1573" t="s">
        <v>8</v>
      </c>
      <c r="U36" s="1574">
        <f t="shared" si="13"/>
        <v>100</v>
      </c>
      <c r="V36" s="1573" t="s">
        <v>8</v>
      </c>
      <c r="W36" s="1574">
        <f t="shared" si="14"/>
        <v>100</v>
      </c>
      <c r="X36" s="1567"/>
      <c r="Y36" s="3952"/>
      <c r="Z36" s="1575" t="str">
        <f t="shared" si="15"/>
        <v>公共部分装修</v>
      </c>
      <c r="AA36" s="1576">
        <f t="shared" si="3"/>
        <v>1</v>
      </c>
      <c r="AB36" s="1576">
        <f t="shared" si="4"/>
        <v>1</v>
      </c>
      <c r="AC36" s="1576">
        <f t="shared" si="5"/>
        <v>1</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2"/>
      <c r="M37" s="2134"/>
      <c r="N37" s="2134"/>
      <c r="O37" s="2134"/>
      <c r="P37" s="3952"/>
      <c r="Q37" s="1572" t="str">
        <f t="shared" si="11"/>
        <v>成新度</v>
      </c>
      <c r="R37" s="1573" t="s">
        <v>8</v>
      </c>
      <c r="S37" s="1574">
        <f t="shared" si="12"/>
        <v>100</v>
      </c>
      <c r="T37" s="1573" t="s">
        <v>8</v>
      </c>
      <c r="U37" s="1574">
        <f t="shared" si="13"/>
        <v>100</v>
      </c>
      <c r="V37" s="1573" t="s">
        <v>8</v>
      </c>
      <c r="W37" s="1574">
        <f t="shared" si="14"/>
        <v>100</v>
      </c>
      <c r="X37" s="1567"/>
      <c r="Y37" s="3952"/>
      <c r="Z37" s="1575" t="str">
        <f t="shared" si="15"/>
        <v>成新度</v>
      </c>
      <c r="AA37" s="1576">
        <f t="shared" si="3"/>
        <v>1</v>
      </c>
      <c r="AB37" s="1576">
        <f t="shared" si="4"/>
        <v>1</v>
      </c>
      <c r="AC37" s="1576">
        <f t="shared" si="5"/>
        <v>1</v>
      </c>
    </row>
    <row r="38" spans="1:29" s="1220" customFormat="1" ht="15">
      <c r="A38" s="600"/>
      <c r="B38" s="527" t="s">
        <v>781</v>
      </c>
      <c r="C38" s="3585" t="s">
        <v>3308</v>
      </c>
      <c r="D38" s="255">
        <v>100</v>
      </c>
      <c r="E38" s="3585" t="s">
        <v>3308</v>
      </c>
      <c r="F38" s="575">
        <f>SUMIF(113:113,E38,114:114)-SUMIF(113:113,C38,114:114)+100</f>
        <v>100</v>
      </c>
      <c r="G38" s="3585" t="s">
        <v>3308</v>
      </c>
      <c r="H38" s="540">
        <f>SUMIF(113:113,G38,114:114)-SUMIF(113:113,C38,114:114)+100</f>
        <v>100</v>
      </c>
      <c r="I38" s="3585" t="s">
        <v>3308</v>
      </c>
      <c r="J38" s="540">
        <f>SUMIF(113:113,I38,114:114)-SUMIF(113:113,C38,114:114)+100</f>
        <v>100</v>
      </c>
      <c r="K38" s="584">
        <v>1</v>
      </c>
      <c r="L38" s="2135"/>
      <c r="M38" s="2136"/>
      <c r="N38" s="2136"/>
      <c r="O38" s="2136"/>
      <c r="P38" s="3952"/>
      <c r="Q38" s="1151" t="str">
        <f t="shared" si="11"/>
        <v>写字楼等级</v>
      </c>
      <c r="R38" s="1568" t="s">
        <v>8</v>
      </c>
      <c r="S38" s="1569">
        <f t="shared" si="12"/>
        <v>100</v>
      </c>
      <c r="T38" s="1568" t="s">
        <v>8</v>
      </c>
      <c r="U38" s="1569">
        <f t="shared" si="13"/>
        <v>100</v>
      </c>
      <c r="V38" s="1568" t="s">
        <v>8</v>
      </c>
      <c r="W38" s="1569">
        <f t="shared" si="14"/>
        <v>100</v>
      </c>
      <c r="X38" s="1570"/>
      <c r="Y38" s="3952"/>
      <c r="Z38" s="1150" t="str">
        <f t="shared" si="15"/>
        <v>写字楼等级</v>
      </c>
      <c r="AA38" s="1571">
        <f t="shared" si="3"/>
        <v>1</v>
      </c>
      <c r="AB38" s="1571">
        <f t="shared" si="4"/>
        <v>1</v>
      </c>
      <c r="AC38" s="1571">
        <f t="shared" si="5"/>
        <v>1</v>
      </c>
    </row>
    <row r="39" spans="1:29" ht="15">
      <c r="A39" s="594"/>
      <c r="B39" s="527" t="s">
        <v>782</v>
      </c>
      <c r="C39" s="3585" t="s">
        <v>3310</v>
      </c>
      <c r="D39" s="540">
        <v>100</v>
      </c>
      <c r="E39" s="3585" t="s">
        <v>3310</v>
      </c>
      <c r="F39" s="575">
        <f>SUMIF(115:115,E39,116:116)-SUMIF(115:115,C39,116:116)+100</f>
        <v>100</v>
      </c>
      <c r="G39" s="3585" t="s">
        <v>3310</v>
      </c>
      <c r="H39" s="540">
        <f>SUMIF(115:115,G39,116:116)-SUMIF(115:115,C39,116:116)+100</f>
        <v>100</v>
      </c>
      <c r="I39" s="574" t="s">
        <v>3309</v>
      </c>
      <c r="J39" s="540">
        <f>SUMIF(115:115,I39,116:116)-SUMIF(115:115,C39,116:116)+100</f>
        <v>100</v>
      </c>
      <c r="K39" s="584">
        <v>2</v>
      </c>
      <c r="L39" s="2142"/>
      <c r="M39" s="2134"/>
      <c r="N39" s="2134"/>
      <c r="O39" s="2134"/>
      <c r="P39" s="3952" t="s">
        <v>550</v>
      </c>
      <c r="Q39" s="1572" t="str">
        <f t="shared" si="11"/>
        <v>物业管理</v>
      </c>
      <c r="R39" s="1573" t="s">
        <v>8</v>
      </c>
      <c r="S39" s="1574">
        <f t="shared" si="12"/>
        <v>100</v>
      </c>
      <c r="T39" s="1573" t="s">
        <v>8</v>
      </c>
      <c r="U39" s="1574">
        <f t="shared" si="13"/>
        <v>100</v>
      </c>
      <c r="V39" s="1573" t="s">
        <v>8</v>
      </c>
      <c r="W39" s="1574">
        <f t="shared" si="14"/>
        <v>100</v>
      </c>
      <c r="X39" s="1567"/>
      <c r="Y39" s="3952" t="s">
        <v>550</v>
      </c>
      <c r="Z39" s="1575" t="str">
        <f t="shared" si="15"/>
        <v>物业管理</v>
      </c>
      <c r="AA39" s="1576">
        <f t="shared" si="3"/>
        <v>1</v>
      </c>
      <c r="AB39" s="1576">
        <f t="shared" si="4"/>
        <v>1</v>
      </c>
      <c r="AC39" s="1576">
        <f t="shared" si="5"/>
        <v>1</v>
      </c>
    </row>
    <row r="40" spans="1:29" ht="15">
      <c r="A40" s="594"/>
      <c r="B40" s="1895" t="s">
        <v>2566</v>
      </c>
      <c r="C40" s="3581" t="s">
        <v>3338</v>
      </c>
      <c r="D40" s="540">
        <v>100</v>
      </c>
      <c r="E40" s="3581" t="s">
        <v>3338</v>
      </c>
      <c r="F40" s="575">
        <f>SUMIF(117:117,E40,118:118)-SUMIF(117:117,C40,118:118)+100</f>
        <v>100</v>
      </c>
      <c r="G40" s="3581" t="s">
        <v>3338</v>
      </c>
      <c r="H40" s="540">
        <f>SUMIF(117:117,G40,118:118)-SUMIF(117:117,C40,118:118)+100</f>
        <v>100</v>
      </c>
      <c r="I40" s="3581" t="s">
        <v>3338</v>
      </c>
      <c r="J40" s="540">
        <f>SUMIF(117:117,I40,118:118)-SUMIF(117:117,C40,118:118)+100</f>
        <v>100</v>
      </c>
      <c r="K40" s="584">
        <v>1</v>
      </c>
      <c r="L40" s="2142"/>
      <c r="M40" s="2134"/>
      <c r="N40" s="2134"/>
      <c r="O40" s="2134"/>
      <c r="P40" s="3952"/>
      <c r="Q40" s="1572" t="str">
        <f t="shared" si="11"/>
        <v>市政基础设施</v>
      </c>
      <c r="R40" s="1573" t="s">
        <v>8</v>
      </c>
      <c r="S40" s="1574">
        <f t="shared" si="12"/>
        <v>100</v>
      </c>
      <c r="T40" s="1573" t="s">
        <v>8</v>
      </c>
      <c r="U40" s="1574">
        <f t="shared" si="13"/>
        <v>100</v>
      </c>
      <c r="V40" s="1573" t="s">
        <v>8</v>
      </c>
      <c r="W40" s="1574">
        <f t="shared" si="14"/>
        <v>100</v>
      </c>
      <c r="X40" s="1567"/>
      <c r="Y40" s="3952"/>
      <c r="Z40" s="1575" t="str">
        <f t="shared" si="15"/>
        <v>市政基础设施</v>
      </c>
      <c r="AA40" s="1576">
        <f t="shared" si="3"/>
        <v>1</v>
      </c>
      <c r="AB40" s="1576">
        <f t="shared" si="4"/>
        <v>1</v>
      </c>
      <c r="AC40" s="1576">
        <f t="shared" si="5"/>
        <v>1</v>
      </c>
    </row>
    <row r="41" spans="1:29" ht="15">
      <c r="A41" s="594"/>
      <c r="B41" s="527" t="s">
        <v>767</v>
      </c>
      <c r="C41" s="583" t="s">
        <v>3284</v>
      </c>
      <c r="D41" s="540">
        <v>100</v>
      </c>
      <c r="E41" s="583" t="s">
        <v>3284</v>
      </c>
      <c r="F41" s="575">
        <f>SUMIF(119:119,E41,120:120)-SUMIF(119:119,C41,120:120)+100</f>
        <v>100</v>
      </c>
      <c r="G41" s="583" t="s">
        <v>3284</v>
      </c>
      <c r="H41" s="540">
        <f>SUMIF(119:119,G41,120:120)-SUMIF(119:119,C41,120:120)+100</f>
        <v>100</v>
      </c>
      <c r="I41" s="583" t="s">
        <v>3284</v>
      </c>
      <c r="J41" s="540">
        <f>SUMIF(119:119,I41,120:120)-SUMIF(119:119,C41,120:120)+100</f>
        <v>100</v>
      </c>
      <c r="K41" s="584">
        <v>1</v>
      </c>
      <c r="L41" s="2142"/>
      <c r="M41" s="2134"/>
      <c r="N41" s="2134"/>
      <c r="O41" s="2134"/>
      <c r="P41" s="3952"/>
      <c r="Q41" s="1572" t="str">
        <f t="shared" si="11"/>
        <v>层高</v>
      </c>
      <c r="R41" s="1573" t="s">
        <v>8</v>
      </c>
      <c r="S41" s="1574">
        <f t="shared" si="12"/>
        <v>100</v>
      </c>
      <c r="T41" s="1573" t="s">
        <v>8</v>
      </c>
      <c r="U41" s="1574">
        <f t="shared" si="13"/>
        <v>100</v>
      </c>
      <c r="V41" s="1573" t="s">
        <v>8</v>
      </c>
      <c r="W41" s="1574">
        <f t="shared" si="14"/>
        <v>100</v>
      </c>
      <c r="X41" s="1567"/>
      <c r="Y41" s="3952"/>
      <c r="Z41" s="1575" t="str">
        <f t="shared" si="15"/>
        <v>层高</v>
      </c>
      <c r="AA41" s="1576">
        <f t="shared" si="3"/>
        <v>1</v>
      </c>
      <c r="AB41" s="1576">
        <f t="shared" si="4"/>
        <v>1</v>
      </c>
      <c r="AC41" s="1576">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952"/>
      <c r="Q42" s="1605" t="str">
        <f t="shared" si="11"/>
        <v>单套建筑面积</v>
      </c>
      <c r="R42" s="1577" t="s">
        <v>8</v>
      </c>
      <c r="S42" s="1578">
        <f t="shared" si="12"/>
        <v>100</v>
      </c>
      <c r="T42" s="1577" t="s">
        <v>8</v>
      </c>
      <c r="U42" s="1578">
        <f t="shared" si="13"/>
        <v>100</v>
      </c>
      <c r="V42" s="1577" t="s">
        <v>8</v>
      </c>
      <c r="W42" s="1578">
        <f t="shared" si="14"/>
        <v>100</v>
      </c>
      <c r="X42" s="1579"/>
      <c r="Y42" s="3952"/>
      <c r="Z42" s="1580" t="str">
        <f t="shared" si="15"/>
        <v>单套建筑面积</v>
      </c>
      <c r="AA42" s="1576">
        <f t="shared" si="3"/>
        <v>1</v>
      </c>
      <c r="AB42" s="1576">
        <f t="shared" si="4"/>
        <v>1</v>
      </c>
      <c r="AC42" s="1576">
        <f t="shared" si="5"/>
        <v>1</v>
      </c>
    </row>
    <row r="43" spans="1:29" ht="15">
      <c r="A43" s="594"/>
      <c r="B43" s="527" t="s">
        <v>770</v>
      </c>
      <c r="C43" s="574" t="s">
        <v>3274</v>
      </c>
      <c r="D43" s="540">
        <v>100</v>
      </c>
      <c r="E43" s="574" t="s">
        <v>3272</v>
      </c>
      <c r="F43" s="575">
        <f>SUMIF(123:123,E43,124:124)-SUMIF(123:123,C43,124:124)+100</f>
        <v>101</v>
      </c>
      <c r="G43" s="574" t="s">
        <v>3276</v>
      </c>
      <c r="H43" s="540">
        <f>SUMIF(123:123,G43,124:124)-SUMIF(123:123,C43,124:124)+100</f>
        <v>99</v>
      </c>
      <c r="I43" s="574" t="s">
        <v>3276</v>
      </c>
      <c r="J43" s="540">
        <f>SUMIF(123:123,I43,124:124)-SUMIF(123:123,C43,124:124)+100</f>
        <v>99</v>
      </c>
      <c r="K43" s="584">
        <v>1</v>
      </c>
      <c r="L43" s="2142"/>
      <c r="M43" s="2134"/>
      <c r="N43" s="2134"/>
      <c r="O43" s="2134"/>
      <c r="P43" s="3952"/>
      <c r="Q43" s="1572" t="str">
        <f t="shared" si="11"/>
        <v>内部装修</v>
      </c>
      <c r="R43" s="1573" t="s">
        <v>8</v>
      </c>
      <c r="S43" s="1574">
        <f t="shared" si="12"/>
        <v>101</v>
      </c>
      <c r="T43" s="1573" t="s">
        <v>8</v>
      </c>
      <c r="U43" s="1574">
        <f t="shared" si="13"/>
        <v>99</v>
      </c>
      <c r="V43" s="1573" t="s">
        <v>8</v>
      </c>
      <c r="W43" s="1574">
        <f t="shared" si="14"/>
        <v>99</v>
      </c>
      <c r="X43" s="1567"/>
      <c r="Y43" s="3952"/>
      <c r="Z43" s="1575" t="str">
        <f t="shared" si="15"/>
        <v>内部装修</v>
      </c>
      <c r="AA43" s="1576">
        <f t="shared" si="3"/>
        <v>0.99009900990099009</v>
      </c>
      <c r="AB43" s="1576">
        <f t="shared" si="4"/>
        <v>1.0101010101010102</v>
      </c>
      <c r="AC43" s="1576">
        <f t="shared" si="5"/>
        <v>1.0101010101010102</v>
      </c>
    </row>
    <row r="44" spans="1:29" ht="27">
      <c r="A44" s="594"/>
      <c r="B44" s="527" t="s">
        <v>735</v>
      </c>
      <c r="C44" s="574" t="s">
        <v>3011</v>
      </c>
      <c r="D44" s="540">
        <v>100</v>
      </c>
      <c r="E44" s="599" t="s">
        <v>3011</v>
      </c>
      <c r="F44" s="575">
        <f>SUMIF(125:125,E44,126:126)-SUMIF(125:125,C44,126:126)+100</f>
        <v>100</v>
      </c>
      <c r="G44" s="599" t="s">
        <v>3011</v>
      </c>
      <c r="H44" s="540">
        <f>SUMIF(125:125,G44,126:126)-SUMIF(125:125,C44,126:126)+100</f>
        <v>100</v>
      </c>
      <c r="I44" s="599" t="s">
        <v>3011</v>
      </c>
      <c r="J44" s="540">
        <f>SUMIF(125:125,I44,126:126)-SUMIF(125:125,C44,126:126)+100</f>
        <v>100</v>
      </c>
      <c r="K44" s="584">
        <v>2</v>
      </c>
      <c r="L44" s="2142"/>
      <c r="M44" s="2134"/>
      <c r="N44" s="2134"/>
      <c r="O44" s="2134"/>
      <c r="P44" s="3952"/>
      <c r="Q44" s="1572" t="str">
        <f t="shared" si="11"/>
        <v>内部装修维护情况</v>
      </c>
      <c r="R44" s="1573" t="s">
        <v>8</v>
      </c>
      <c r="S44" s="1574">
        <f t="shared" si="12"/>
        <v>100</v>
      </c>
      <c r="T44" s="1573" t="s">
        <v>8</v>
      </c>
      <c r="U44" s="1574">
        <f t="shared" si="13"/>
        <v>100</v>
      </c>
      <c r="V44" s="1573" t="s">
        <v>8</v>
      </c>
      <c r="W44" s="1574">
        <f t="shared" si="14"/>
        <v>100</v>
      </c>
      <c r="X44" s="1567"/>
      <c r="Y44" s="3952"/>
      <c r="Z44" s="1575" t="str">
        <f t="shared" si="15"/>
        <v>内部装修维护情况</v>
      </c>
      <c r="AA44" s="1576">
        <f t="shared" si="3"/>
        <v>1</v>
      </c>
      <c r="AB44" s="1576">
        <f t="shared" si="4"/>
        <v>1</v>
      </c>
      <c r="AC44" s="1576">
        <f t="shared" si="5"/>
        <v>1</v>
      </c>
    </row>
    <row r="45" spans="1:29" s="1220" customFormat="1" ht="15.75" thickBot="1">
      <c r="A45" s="600"/>
      <c r="B45" s="3582" t="s">
        <v>3311</v>
      </c>
      <c r="C45" s="880">
        <v>2012</v>
      </c>
      <c r="D45" s="255">
        <v>100</v>
      </c>
      <c r="E45" s="528">
        <v>2001</v>
      </c>
      <c r="F45" s="863">
        <f>SUMIF(127:127,E45,128:128)-SUMIF(127:127,C45,128:128)+100</f>
        <v>94.5</v>
      </c>
      <c r="G45" s="528">
        <v>1998</v>
      </c>
      <c r="H45" s="255">
        <f>SUMIF(127:127,G45,128:128)-SUMIF(127:127,C45,128:128)+100</f>
        <v>93</v>
      </c>
      <c r="I45" s="528">
        <v>2007</v>
      </c>
      <c r="J45" s="255">
        <f>SUMIF(127:127,I45,128:128)-SUMIF(127:127,C45,128:128)+100</f>
        <v>97.5</v>
      </c>
      <c r="K45" s="581"/>
      <c r="L45" s="2135"/>
      <c r="M45" s="2136"/>
      <c r="N45" s="2136"/>
      <c r="O45" s="2136"/>
      <c r="P45" s="3952"/>
      <c r="Q45" s="1151" t="str">
        <f t="shared" si="11"/>
        <v>建成年份</v>
      </c>
      <c r="R45" s="1568" t="s">
        <v>8</v>
      </c>
      <c r="S45" s="1569">
        <f t="shared" si="12"/>
        <v>94.5</v>
      </c>
      <c r="T45" s="1568" t="s">
        <v>8</v>
      </c>
      <c r="U45" s="1569">
        <f t="shared" si="13"/>
        <v>93</v>
      </c>
      <c r="V45" s="1568" t="s">
        <v>8</v>
      </c>
      <c r="W45" s="1569">
        <f t="shared" si="14"/>
        <v>97.5</v>
      </c>
      <c r="X45" s="1570"/>
      <c r="Y45" s="3952"/>
      <c r="Z45" s="1150" t="str">
        <f t="shared" si="15"/>
        <v>建成年份</v>
      </c>
      <c r="AA45" s="1571">
        <f t="shared" si="3"/>
        <v>1.0582010582010581</v>
      </c>
      <c r="AB45" s="1571">
        <f t="shared" si="4"/>
        <v>1.075268817204301</v>
      </c>
      <c r="AC45" s="1571">
        <f t="shared" si="5"/>
        <v>1.0256410256410255</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952"/>
      <c r="Q46" s="1572">
        <f t="shared" si="11"/>
        <v>111</v>
      </c>
      <c r="R46" s="1573" t="s">
        <v>8</v>
      </c>
      <c r="S46" s="1574">
        <f t="shared" si="12"/>
        <v>100</v>
      </c>
      <c r="T46" s="1573" t="s">
        <v>8</v>
      </c>
      <c r="U46" s="1574">
        <f t="shared" si="13"/>
        <v>100</v>
      </c>
      <c r="V46" s="1573" t="s">
        <v>8</v>
      </c>
      <c r="W46" s="1574">
        <f t="shared" si="14"/>
        <v>100</v>
      </c>
      <c r="X46" s="1567"/>
      <c r="Y46" s="3952"/>
      <c r="Z46" s="1575">
        <f t="shared" si="15"/>
        <v>111</v>
      </c>
      <c r="AA46" s="1576">
        <f t="shared" si="3"/>
        <v>1</v>
      </c>
      <c r="AB46" s="1576">
        <f t="shared" si="4"/>
        <v>1</v>
      </c>
      <c r="AC46" s="1576">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53"/>
      <c r="Q47" s="1572">
        <f t="shared" si="11"/>
        <v>111</v>
      </c>
      <c r="R47" s="1573" t="s">
        <v>8</v>
      </c>
      <c r="S47" s="1574">
        <f t="shared" si="12"/>
        <v>100</v>
      </c>
      <c r="T47" s="1573" t="s">
        <v>8</v>
      </c>
      <c r="U47" s="1574">
        <f t="shared" si="13"/>
        <v>100</v>
      </c>
      <c r="V47" s="1573" t="s">
        <v>8</v>
      </c>
      <c r="W47" s="1574">
        <f t="shared" si="14"/>
        <v>100</v>
      </c>
      <c r="X47" s="1567"/>
      <c r="Y47" s="3953"/>
      <c r="Z47" s="1575">
        <f t="shared" si="15"/>
        <v>111</v>
      </c>
      <c r="AA47" s="1576">
        <f t="shared" si="3"/>
        <v>1</v>
      </c>
      <c r="AB47" s="1576">
        <f t="shared" si="4"/>
        <v>1</v>
      </c>
      <c r="AC47" s="1576">
        <f t="shared" si="5"/>
        <v>1</v>
      </c>
    </row>
    <row r="48" spans="1:29" ht="15">
      <c r="A48" s="607" t="s">
        <v>736</v>
      </c>
      <c r="B48" s="887"/>
      <c r="C48" s="2606" t="s">
        <v>1</v>
      </c>
      <c r="D48" s="2607"/>
      <c r="E48" s="2608">
        <v>60000</v>
      </c>
      <c r="F48" s="2609"/>
      <c r="G48" s="2610">
        <v>65000</v>
      </c>
      <c r="H48" s="2611"/>
      <c r="I48" s="2608">
        <v>57782</v>
      </c>
      <c r="J48" s="2611"/>
      <c r="K48" s="1611"/>
      <c r="L48" s="2144"/>
      <c r="M48" s="2134"/>
      <c r="N48" s="2134"/>
      <c r="O48" s="2134"/>
      <c r="P48" s="3947" t="str">
        <f>A48</f>
        <v>成交单价（元/平方米）</v>
      </c>
      <c r="Q48" s="3944"/>
      <c r="R48" s="3945">
        <f>E48</f>
        <v>60000</v>
      </c>
      <c r="S48" s="3945"/>
      <c r="T48" s="3945">
        <f>G48</f>
        <v>65000</v>
      </c>
      <c r="U48" s="3945"/>
      <c r="V48" s="3945">
        <f>I48</f>
        <v>57782</v>
      </c>
      <c r="W48" s="3945"/>
      <c r="X48" s="1559"/>
      <c r="Y48" s="1581"/>
      <c r="Z48" s="1559"/>
      <c r="AA48" s="1559"/>
      <c r="AB48" s="1559"/>
      <c r="AC48" s="1559"/>
    </row>
    <row r="49" spans="1:29" ht="15.75" thickBot="1">
      <c r="A49" s="615" t="s">
        <v>2761</v>
      </c>
      <c r="B49" s="888"/>
      <c r="C49" s="2612">
        <f>R50</f>
        <v>57357</v>
      </c>
      <c r="D49" s="2613"/>
      <c r="E49" s="2614">
        <f>R49</f>
        <v>56056</v>
      </c>
      <c r="F49" s="2614"/>
      <c r="G49" s="2612">
        <f>T49</f>
        <v>61694</v>
      </c>
      <c r="H49" s="2613"/>
      <c r="I49" s="2614">
        <f>V49</f>
        <v>54322</v>
      </c>
      <c r="J49" s="2613"/>
      <c r="K49" s="1612"/>
      <c r="L49" s="2144"/>
      <c r="M49" s="2134"/>
      <c r="N49" s="2134"/>
      <c r="O49" s="2134"/>
      <c r="P49" s="3947" t="str">
        <f>A49</f>
        <v>比较价格（元/平方米）</v>
      </c>
      <c r="Q49" s="3944"/>
      <c r="R49" s="3945">
        <f>IF(F1="售价",ROUND(PRODUCT(R48,AA7:AA47),0),ROUND(PRODUCT(R48,AA7:AA47),1))</f>
        <v>56056</v>
      </c>
      <c r="S49" s="3945"/>
      <c r="T49" s="3945">
        <f>IF(F1="售价",ROUND(PRODUCT(T48,AB7:AB47),0),ROUND(PRODUCT(T48,AB7:AB47),1))</f>
        <v>61694</v>
      </c>
      <c r="U49" s="3945"/>
      <c r="V49" s="3945">
        <f>IF(F1="售价",ROUND(PRODUCT(V48,AC7:AC47),0),ROUND(PRODUCT(V48,AC7:AC47),1))</f>
        <v>54322</v>
      </c>
      <c r="W49" s="3945"/>
      <c r="X49" s="1559"/>
      <c r="Y49" s="1559"/>
      <c r="Z49" s="1559"/>
      <c r="AA49" s="1559"/>
      <c r="AB49" s="1559"/>
      <c r="AC49" s="1559"/>
    </row>
    <row r="50" spans="1:29" ht="15.75" thickBot="1">
      <c r="A50" s="621" t="s">
        <v>2937</v>
      </c>
      <c r="B50" s="622"/>
      <c r="C50" s="2615">
        <f>R50</f>
        <v>57357</v>
      </c>
      <c r="D50" s="2615"/>
      <c r="E50" s="2615"/>
      <c r="F50" s="2615"/>
      <c r="G50" s="2615"/>
      <c r="H50" s="2615"/>
      <c r="I50" s="2615"/>
      <c r="J50" s="2615"/>
      <c r="K50" s="1613"/>
      <c r="L50" s="2144"/>
      <c r="M50" s="2134"/>
      <c r="N50" s="2134"/>
      <c r="O50" s="2134"/>
      <c r="P50" s="4036" t="str">
        <f>A50</f>
        <v>估价对象XX用房的比较价格（楼面单价，元/平方米）</v>
      </c>
      <c r="Q50" s="3947"/>
      <c r="R50" s="3948">
        <f>IF(F1="售价",ROUND(AVERAGE(R49:V49),0),ROUND(AVERAGE(R49:V49),1))</f>
        <v>57357</v>
      </c>
      <c r="S50" s="3948"/>
      <c r="T50" s="3948"/>
      <c r="U50" s="3948"/>
      <c r="V50" s="3948"/>
      <c r="W50" s="394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7.035821321535618E-2</v>
      </c>
      <c r="F53" s="627" t="str">
        <f>IF(OR(E53&gt;=0.3,E53&lt;=-0.3),"超过30%","")</f>
        <v/>
      </c>
      <c r="G53" s="626">
        <f>IF(G48&lt;G49,G49/G48-1,G48/G49-1)</f>
        <v>5.3587058709112734E-2</v>
      </c>
      <c r="H53" s="627" t="str">
        <f>IF(OR(G53&gt;=0.3,G53&lt;=-0.3),"超过30%","")</f>
        <v/>
      </c>
      <c r="I53" s="626">
        <f>IF(I48&lt;I49,I49/I48-1,I48/I49-1)</f>
        <v>6.3694267515923553E-2</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0.10057799343513629</v>
      </c>
      <c r="F54" s="627" t="str">
        <f>IF(OR(E54&gt;=0.2,E54&lt;=-0.2),"超过20%","")</f>
        <v/>
      </c>
      <c r="G54" s="626">
        <f>IF(G49&lt;I49,I49/G49-1,G49/I49-1)</f>
        <v>0.13570928905415847</v>
      </c>
      <c r="H54" s="627" t="str">
        <f>IF(OR(G54&gt;=0.2,G54&lt;=-0.2),"超过20%","")</f>
        <v/>
      </c>
      <c r="I54" s="626">
        <f>IF(I49&lt;E49,E49/I49-1,I49/E49-1)</f>
        <v>3.1920768749309714E-2</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8.3333333333333259E-2</v>
      </c>
      <c r="F55" s="627" t="str">
        <f>IF(OR(E55&gt;=0.3,E55&lt;=-0.3),"超过30%","")</f>
        <v/>
      </c>
      <c r="G55" s="626">
        <f>IF(G48&lt;I48,I48/G48-1,G48/I48-1)</f>
        <v>0.12491779446886575</v>
      </c>
      <c r="H55" s="627" t="str">
        <f>IF(OR(G55&gt;=0.3,G55&lt;=-0.3),"超过30%","")</f>
        <v/>
      </c>
      <c r="I55" s="626">
        <f>IF(I48&lt;E48,E48/I48-1,I48/E48-1)</f>
        <v>3.838565643279912E-2</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t="str">
        <f>C9</f>
        <v>办公</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hidden="1"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hidden="1">
      <c r="A69" s="669"/>
      <c r="B69" s="683"/>
      <c r="C69" s="541">
        <v>1</v>
      </c>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hidden="1"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6"/>
      <c r="O70" s="2166"/>
      <c r="P70" s="2214"/>
      <c r="Q70" s="2158"/>
      <c r="R70" s="2145"/>
      <c r="S70" s="2145"/>
      <c r="T70" s="2145"/>
      <c r="U70" s="2145"/>
      <c r="V70" s="2145"/>
      <c r="W70" s="2145"/>
      <c r="X70" s="2145"/>
      <c r="Y70" s="2145"/>
      <c r="Z70" s="2145"/>
      <c r="AA70" s="2145"/>
      <c r="AB70" s="2145"/>
      <c r="AC70" s="2145"/>
    </row>
    <row r="71" spans="1:29" s="1339" customFormat="1" ht="15.75" hidden="1"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hidden="1"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hidden="1"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hidden="1"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hidden="1"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hidden="1"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5" thickTop="1">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99</v>
      </c>
      <c r="E78" s="679">
        <f>D78-$K15</f>
        <v>98</v>
      </c>
      <c r="F78" s="679">
        <f>E78-$K15</f>
        <v>97</v>
      </c>
      <c r="G78" s="679">
        <f>F78-$K15</f>
        <v>96</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98</v>
      </c>
      <c r="E80" s="679">
        <f>D80-$K17</f>
        <v>96</v>
      </c>
      <c r="F80" s="679">
        <f>E80-$K17</f>
        <v>94</v>
      </c>
      <c r="G80" s="679">
        <f>F80-$K17</f>
        <v>92</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98</v>
      </c>
      <c r="E82" s="679">
        <f>D82-$K19</f>
        <v>96</v>
      </c>
      <c r="F82" s="679">
        <f>E82-$K19</f>
        <v>94</v>
      </c>
      <c r="G82" s="679">
        <f>F82-$K19</f>
        <v>92</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99</v>
      </c>
      <c r="E84" s="679">
        <f>D84-$K21</f>
        <v>98</v>
      </c>
      <c r="F84" s="679">
        <f>E84-$K21</f>
        <v>97</v>
      </c>
      <c r="G84" s="679">
        <f>F84-$K21</f>
        <v>96</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98</v>
      </c>
      <c r="E86" s="679">
        <f>D86-$K23</f>
        <v>96</v>
      </c>
      <c r="F86" s="679">
        <f>E86-$K23</f>
        <v>94</v>
      </c>
      <c r="G86" s="679">
        <f>F86-$K23</f>
        <v>92</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3578" t="s">
        <v>3293</v>
      </c>
      <c r="D87" s="3578" t="s">
        <v>3294</v>
      </c>
      <c r="E87" s="3578" t="s">
        <v>3296</v>
      </c>
      <c r="F87" s="3578" t="s">
        <v>3297</v>
      </c>
      <c r="G87" s="3578" t="s">
        <v>3298</v>
      </c>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t="s">
        <v>3300</v>
      </c>
      <c r="D89" s="688" t="s">
        <v>3301</v>
      </c>
      <c r="E89" s="688" t="s">
        <v>3303</v>
      </c>
      <c r="F89" s="892" t="s">
        <v>3302</v>
      </c>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t="str">
        <f>B29</f>
        <v>楼层</v>
      </c>
      <c r="C93" s="688" t="s">
        <v>3300</v>
      </c>
      <c r="D93" s="688" t="s">
        <v>3301</v>
      </c>
      <c r="E93" s="688" t="s">
        <v>3303</v>
      </c>
      <c r="F93" s="892" t="s">
        <v>3302</v>
      </c>
      <c r="G93" s="892" t="s">
        <v>3315</v>
      </c>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v>100</v>
      </c>
      <c r="D94" s="671">
        <v>98</v>
      </c>
      <c r="E94" s="2179">
        <v>100</v>
      </c>
      <c r="F94" s="671">
        <v>100</v>
      </c>
      <c r="G94" s="671">
        <v>99</v>
      </c>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3579" t="s">
        <v>3307</v>
      </c>
      <c r="D101" s="3579" t="s">
        <v>3306</v>
      </c>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9"/>
      <c r="B103" s="673" t="s">
        <v>748</v>
      </c>
      <c r="C103" s="708" t="str">
        <f>C104&amp;"(含)"&amp;"-"&amp;D104</f>
        <v>0(含)-1500</v>
      </c>
      <c r="D103" s="708" t="str">
        <f t="shared" ref="D103:L103" si="23">D104&amp;"(含)"&amp;"-"&amp;E104</f>
        <v>1500(含)-3000</v>
      </c>
      <c r="E103" s="708" t="str">
        <f t="shared" si="23"/>
        <v>3000(含)-4500</v>
      </c>
      <c r="F103" s="708" t="str">
        <f t="shared" si="23"/>
        <v>4500(含)-6000</v>
      </c>
      <c r="G103" s="708" t="str">
        <f t="shared" si="23"/>
        <v>6000(含)-7500</v>
      </c>
      <c r="H103" s="708" t="str">
        <f t="shared" si="23"/>
        <v>7500(含)-9000</v>
      </c>
      <c r="I103" s="708" t="str">
        <f t="shared" si="23"/>
        <v>9000(含)-10500</v>
      </c>
      <c r="J103" s="708" t="str">
        <f t="shared" si="23"/>
        <v>10500(含)-12000</v>
      </c>
      <c r="K103" s="708" t="str">
        <f t="shared" si="23"/>
        <v>12000(含)-13500</v>
      </c>
      <c r="L103" s="708" t="str">
        <f t="shared" si="23"/>
        <v>13500(含)-15000</v>
      </c>
      <c r="M103" s="711" t="str">
        <f>M104&amp;"(含)"&amp;"-"&amp;P104</f>
        <v>15000(含)-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v>0</v>
      </c>
      <c r="D104" s="730">
        <v>1500</v>
      </c>
      <c r="E104" s="730">
        <v>3000</v>
      </c>
      <c r="F104" s="730">
        <v>4500</v>
      </c>
      <c r="G104" s="730">
        <v>6000</v>
      </c>
      <c r="H104" s="730">
        <v>7500</v>
      </c>
      <c r="I104" s="730">
        <v>9000</v>
      </c>
      <c r="J104" s="731">
        <v>10500</v>
      </c>
      <c r="K104" s="731">
        <v>12000</v>
      </c>
      <c r="L104" s="732">
        <v>13500</v>
      </c>
      <c r="M104" s="733">
        <v>15000</v>
      </c>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v>100</v>
      </c>
      <c r="D105" s="671">
        <v>99</v>
      </c>
      <c r="E105" s="671">
        <v>98</v>
      </c>
      <c r="F105" s="671">
        <v>97</v>
      </c>
      <c r="G105" s="671">
        <v>96</v>
      </c>
      <c r="H105" s="671">
        <v>95</v>
      </c>
      <c r="I105" s="671">
        <v>94</v>
      </c>
      <c r="J105" s="671">
        <v>93</v>
      </c>
      <c r="K105" s="671">
        <v>92</v>
      </c>
      <c r="L105" s="671">
        <v>91</v>
      </c>
      <c r="M105" s="672">
        <v>90</v>
      </c>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3578" t="s">
        <v>3270</v>
      </c>
      <c r="D106" s="3578" t="s">
        <v>3271</v>
      </c>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3578" t="s">
        <v>3273</v>
      </c>
      <c r="D108" s="3578" t="s">
        <v>3275</v>
      </c>
      <c r="E108" s="3578" t="s">
        <v>3277</v>
      </c>
      <c r="F108" s="3580" t="s">
        <v>3278</v>
      </c>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3578" t="s">
        <v>3308</v>
      </c>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99</v>
      </c>
      <c r="E114" s="679">
        <f t="shared" ref="E114:M114" si="27">D114-$K38</f>
        <v>98</v>
      </c>
      <c r="F114" s="679">
        <f t="shared" si="27"/>
        <v>97</v>
      </c>
      <c r="G114" s="679">
        <f t="shared" si="27"/>
        <v>96</v>
      </c>
      <c r="H114" s="679">
        <f t="shared" si="27"/>
        <v>95</v>
      </c>
      <c r="I114" s="679">
        <f t="shared" si="27"/>
        <v>94</v>
      </c>
      <c r="J114" s="679">
        <f t="shared" si="27"/>
        <v>93</v>
      </c>
      <c r="K114" s="679">
        <f t="shared" si="27"/>
        <v>92</v>
      </c>
      <c r="L114" s="679">
        <f t="shared" si="27"/>
        <v>91</v>
      </c>
      <c r="M114" s="679">
        <f t="shared" si="27"/>
        <v>90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3578" t="s">
        <v>3310</v>
      </c>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3578" t="s">
        <v>3279</v>
      </c>
      <c r="D117" s="3578" t="s">
        <v>3280</v>
      </c>
      <c r="E117" s="3578" t="s">
        <v>3281</v>
      </c>
      <c r="F117" s="3578" t="s">
        <v>3282</v>
      </c>
      <c r="G117" s="3578" t="s">
        <v>3283</v>
      </c>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3578" t="s">
        <v>3285</v>
      </c>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99</v>
      </c>
      <c r="E120" s="679">
        <f t="shared" ref="E120:M120" si="29">D120-$K41</f>
        <v>98</v>
      </c>
      <c r="F120" s="679">
        <f t="shared" si="29"/>
        <v>97</v>
      </c>
      <c r="G120" s="679">
        <f t="shared" si="29"/>
        <v>96</v>
      </c>
      <c r="H120" s="679">
        <f t="shared" si="29"/>
        <v>95</v>
      </c>
      <c r="I120" s="679">
        <f t="shared" si="29"/>
        <v>94</v>
      </c>
      <c r="J120" s="679">
        <f t="shared" si="29"/>
        <v>93</v>
      </c>
      <c r="K120" s="679">
        <f t="shared" si="29"/>
        <v>92</v>
      </c>
      <c r="L120" s="679">
        <f t="shared" si="29"/>
        <v>91</v>
      </c>
      <c r="M120" s="679">
        <f t="shared" si="29"/>
        <v>90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3578" t="s">
        <v>3273</v>
      </c>
      <c r="D123" s="3578" t="s">
        <v>3275</v>
      </c>
      <c r="E123" s="3578" t="s">
        <v>3277</v>
      </c>
      <c r="F123" s="3580" t="s">
        <v>3278</v>
      </c>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t="str">
        <f>B45</f>
        <v>建成年份</v>
      </c>
      <c r="C127" s="688">
        <v>2012</v>
      </c>
      <c r="D127" s="688">
        <v>2001</v>
      </c>
      <c r="E127" s="688">
        <v>1998</v>
      </c>
      <c r="F127" s="688">
        <v>2007</v>
      </c>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v>100</v>
      </c>
      <c r="D128" s="671">
        <v>94.5</v>
      </c>
      <c r="E128" s="671">
        <v>93</v>
      </c>
      <c r="F128" s="671">
        <v>97.5</v>
      </c>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90" zoomScaleNormal="90" workbookViewId="0">
      <selection activeCell="F10" sqref="F1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3001</v>
      </c>
      <c r="D1" s="3101" t="s">
        <v>3015</v>
      </c>
      <c r="E1" s="2366" t="s">
        <v>870</v>
      </c>
      <c r="F1" s="2367">
        <f ca="1">J53</f>
        <v>0</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629</v>
      </c>
      <c r="B2" s="775">
        <f ca="1">C40+J29+L46</f>
        <v>86374</v>
      </c>
      <c r="C2" s="2057"/>
      <c r="D2" s="2055"/>
      <c r="E2" s="2056"/>
      <c r="F2" s="2056"/>
      <c r="G2" s="1590"/>
      <c r="H2" s="2057"/>
      <c r="I2" s="2057"/>
      <c r="J2" s="2057"/>
      <c r="K2" s="2058"/>
      <c r="L2" s="2057"/>
      <c r="M2" s="2057"/>
    </row>
    <row r="3" spans="1:33" ht="18" customHeight="1" thickBot="1">
      <c r="A3" s="833" t="s">
        <v>519</v>
      </c>
      <c r="B3" s="834">
        <f ca="1">IF(ISERROR(B2*10000/F43),0,ROUND(B2*10000/F43,0))</f>
        <v>21647</v>
      </c>
      <c r="C3" s="2057"/>
      <c r="D3" s="2055"/>
      <c r="E3" s="2056"/>
      <c r="F3" s="2056"/>
      <c r="G3" s="1590"/>
      <c r="H3" s="776" t="s">
        <v>695</v>
      </c>
      <c r="I3" s="1363"/>
      <c r="J3" s="1363"/>
      <c r="K3" s="1591"/>
      <c r="L3" s="1363"/>
      <c r="M3" s="1363"/>
    </row>
    <row r="4" spans="1:33" ht="18" customHeight="1">
      <c r="A4" s="777" t="s">
        <v>630</v>
      </c>
      <c r="B4" s="778" t="s">
        <v>631</v>
      </c>
      <c r="C4" s="778" t="s">
        <v>632</v>
      </c>
      <c r="D4" s="778" t="s">
        <v>633</v>
      </c>
      <c r="E4" s="779" t="s">
        <v>634</v>
      </c>
      <c r="F4" s="780"/>
      <c r="G4" s="1592"/>
      <c r="H4" s="777" t="s">
        <v>630</v>
      </c>
      <c r="I4" s="778" t="s">
        <v>631</v>
      </c>
      <c r="J4" s="778" t="s">
        <v>632</v>
      </c>
      <c r="K4" s="778" t="s">
        <v>633</v>
      </c>
      <c r="L4" s="779" t="s">
        <v>634</v>
      </c>
      <c r="M4" s="780"/>
    </row>
    <row r="5" spans="1:33" ht="18" customHeight="1">
      <c r="A5" s="781">
        <v>1</v>
      </c>
      <c r="B5" s="782" t="s">
        <v>2459</v>
      </c>
      <c r="C5" s="55">
        <f ca="1">C6+C10+C12</f>
        <v>4156</v>
      </c>
      <c r="D5" s="2475" t="s">
        <v>2462</v>
      </c>
      <c r="E5" s="2469"/>
      <c r="F5" s="2470"/>
      <c r="G5" s="1592"/>
      <c r="H5" s="781">
        <v>1</v>
      </c>
      <c r="I5" s="782" t="s">
        <v>2459</v>
      </c>
      <c r="J5" s="55">
        <f ca="1">J6+J10+J12</f>
        <v>0</v>
      </c>
      <c r="K5" s="2475" t="s">
        <v>2462</v>
      </c>
      <c r="L5" s="2469"/>
      <c r="M5" s="2470"/>
    </row>
    <row r="6" spans="1:33" ht="18" customHeight="1">
      <c r="A6" s="1830" t="s">
        <v>1825</v>
      </c>
      <c r="B6" s="3987" t="s">
        <v>2464</v>
      </c>
      <c r="C6" s="783">
        <f ca="1">ROUND(F6*F8*F7*(1-F9)/10000,0)</f>
        <v>4151</v>
      </c>
      <c r="D6" s="2476" t="s">
        <v>2463</v>
      </c>
      <c r="E6" s="784" t="s">
        <v>637</v>
      </c>
      <c r="F6" s="785">
        <f ca="1">INDIRECT("'数据-取费表'!u"&amp;$G$1)</f>
        <v>3</v>
      </c>
      <c r="G6" s="1592"/>
      <c r="H6" s="2483" t="s">
        <v>1825</v>
      </c>
      <c r="I6" s="3987" t="s">
        <v>2464</v>
      </c>
      <c r="J6" s="783">
        <f ca="1">ROUND(M6*M8*M7*(1-M9)/10000,0)</f>
        <v>0</v>
      </c>
      <c r="K6" s="341" t="s">
        <v>636</v>
      </c>
      <c r="L6" s="784" t="s">
        <v>637</v>
      </c>
      <c r="M6" s="785">
        <f ca="1">INDIRECT("'数据-取费表'!z"&amp;$G$1)</f>
        <v>0</v>
      </c>
    </row>
    <row r="7" spans="1:33" ht="18" customHeight="1">
      <c r="A7" s="2479"/>
      <c r="B7" s="3988"/>
      <c r="C7" s="788"/>
      <c r="D7" s="789"/>
      <c r="E7" s="784" t="s">
        <v>638</v>
      </c>
      <c r="F7" s="785">
        <f ca="1">IF(INDIRECT("'数据-取费表'!ah"&amp;$G$1)="",INDIRECT("'数据-取费表'!k"&amp;$G$1),INDIRECT("'数据-取费表'!ah"&amp;$G$1))</f>
        <v>39900.839999999997</v>
      </c>
      <c r="G7" s="1592"/>
      <c r="H7" s="2468"/>
      <c r="I7" s="3988"/>
      <c r="J7" s="788"/>
      <c r="K7" s="789"/>
      <c r="L7" s="784" t="s">
        <v>638</v>
      </c>
      <c r="M7" s="785">
        <f ca="1">F7</f>
        <v>39900.839999999997</v>
      </c>
    </row>
    <row r="8" spans="1:33" ht="18" customHeight="1">
      <c r="A8" s="2472"/>
      <c r="B8" s="3989"/>
      <c r="C8" s="788"/>
      <c r="D8" s="789"/>
      <c r="E8" s="784" t="s">
        <v>639</v>
      </c>
      <c r="F8" s="785">
        <f ca="1">INDIRECT("'数据-取费表'!ai"&amp;$G$1)</f>
        <v>365</v>
      </c>
      <c r="G8" s="1592"/>
      <c r="H8" s="2468"/>
      <c r="I8" s="3989"/>
      <c r="J8" s="788"/>
      <c r="K8" s="789"/>
      <c r="L8" s="784" t="s">
        <v>639</v>
      </c>
      <c r="M8" s="785">
        <f ca="1">INDIRECT("'数据-取费表'!ai"&amp;$G$1)</f>
        <v>365</v>
      </c>
    </row>
    <row r="9" spans="1:33" ht="18" customHeight="1">
      <c r="A9" s="786"/>
      <c r="B9" s="3990"/>
      <c r="C9" s="788"/>
      <c r="D9" s="789"/>
      <c r="E9" s="784" t="s">
        <v>640</v>
      </c>
      <c r="F9" s="794">
        <f ca="1">INDIRECT("'数据-取费表'!w"&amp;$G$1)</f>
        <v>0.05</v>
      </c>
      <c r="G9" s="1592"/>
      <c r="H9" s="2484"/>
      <c r="I9" s="3989"/>
      <c r="J9" s="788"/>
      <c r="K9" s="789"/>
      <c r="L9" s="795" t="s">
        <v>640</v>
      </c>
      <c r="M9" s="796">
        <f ca="1">INDIRECT("'数据-取费表'!ab"&amp;$G$1)</f>
        <v>0</v>
      </c>
    </row>
    <row r="10" spans="1:33" ht="18" customHeight="1">
      <c r="A10" s="1830" t="s">
        <v>1826</v>
      </c>
      <c r="B10" s="2473" t="s">
        <v>2460</v>
      </c>
      <c r="C10" s="799">
        <f ca="1">ROUND(IF(F10="押一",C6/12*F11,IF(F10="押二",C6/12*2*F11,IF(F10="押三",C6/12*3*F11,C11*F11))),0)</f>
        <v>5</v>
      </c>
      <c r="D10" s="2480" t="s">
        <v>2976</v>
      </c>
      <c r="E10" s="2477" t="s">
        <v>2465</v>
      </c>
      <c r="F10" s="2600" t="s">
        <v>3014</v>
      </c>
      <c r="G10" s="1592"/>
      <c r="H10" s="2540" t="s">
        <v>1826</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2457</v>
      </c>
      <c r="F11" s="796">
        <f ca="1">'数据-取费表'!B39</f>
        <v>1.4999999999999999E-2</v>
      </c>
      <c r="G11" s="1592"/>
      <c r="H11" s="2541"/>
      <c r="I11" s="2474" t="s">
        <v>2574</v>
      </c>
      <c r="J11" s="2478"/>
      <c r="K11" s="2542"/>
      <c r="L11" s="2477" t="s">
        <v>2457</v>
      </c>
      <c r="M11" s="2471">
        <f ca="1">'数据-取费表'!B39</f>
        <v>1.4999999999999999E-2</v>
      </c>
    </row>
    <row r="12" spans="1:33" ht="18" customHeight="1" thickBot="1">
      <c r="A12" s="2516" t="s">
        <v>2468</v>
      </c>
      <c r="B12" s="2517" t="s">
        <v>2461</v>
      </c>
      <c r="C12" s="2518"/>
      <c r="D12" s="2519"/>
      <c r="E12" s="2520"/>
      <c r="F12" s="2521"/>
      <c r="G12" s="1592"/>
      <c r="H12" s="2530" t="s">
        <v>2468</v>
      </c>
      <c r="I12" s="2543" t="s">
        <v>2461</v>
      </c>
      <c r="J12" s="2544"/>
      <c r="K12" s="2519"/>
      <c r="L12" s="2520"/>
      <c r="M12" s="2533"/>
    </row>
    <row r="13" spans="1:33" ht="18" customHeight="1" thickTop="1">
      <c r="A13" s="1829">
        <v>2</v>
      </c>
      <c r="B13" s="1827" t="s">
        <v>644</v>
      </c>
      <c r="C13" s="792">
        <f ca="1">ROUND(C29*F13,0)</f>
        <v>17571</v>
      </c>
      <c r="D13" s="1834" t="s">
        <v>2298</v>
      </c>
      <c r="E13" s="1834" t="s">
        <v>643</v>
      </c>
      <c r="F13" s="2515">
        <f ca="1">INDIRECT("'数据-取费表'!y"&amp;$G$1)</f>
        <v>0.9</v>
      </c>
      <c r="G13" s="1592"/>
      <c r="H13" s="1829">
        <v>2</v>
      </c>
      <c r="I13" s="1827" t="s">
        <v>644</v>
      </c>
      <c r="J13" s="1819">
        <f ca="1">ROUND(J14*J15,0)</f>
        <v>0</v>
      </c>
      <c r="K13" s="1821" t="s">
        <v>642</v>
      </c>
      <c r="L13" s="2531"/>
      <c r="M13" s="2532"/>
    </row>
    <row r="14" spans="1:33" ht="18" customHeight="1">
      <c r="A14" s="1648" t="s">
        <v>1832</v>
      </c>
      <c r="B14" s="784" t="s">
        <v>645</v>
      </c>
      <c r="C14" s="804">
        <f ca="1">INDIRECT("'数据-取费表'!m"&amp;$G$1)+INDIRECT("'数据-取费表'!t"&amp;$G$1)</f>
        <v>12768</v>
      </c>
      <c r="D14" s="3179" t="s">
        <v>646</v>
      </c>
      <c r="E14" s="3180"/>
      <c r="F14" s="805"/>
      <c r="G14" s="1592"/>
      <c r="H14" s="1649" t="s">
        <v>1825</v>
      </c>
      <c r="I14" s="2231" t="s">
        <v>2825</v>
      </c>
      <c r="J14" s="53">
        <f ca="1">C29</f>
        <v>19523</v>
      </c>
      <c r="K14" s="26"/>
      <c r="L14" s="801"/>
      <c r="M14" s="802"/>
    </row>
    <row r="15" spans="1:33" s="2064" customFormat="1" ht="18" customHeight="1" thickBot="1">
      <c r="A15" s="1648" t="s">
        <v>1833</v>
      </c>
      <c r="B15" s="784" t="s">
        <v>647</v>
      </c>
      <c r="C15" s="53">
        <f ca="1">ROUND(C14*F15,0)</f>
        <v>383</v>
      </c>
      <c r="D15" s="806" t="s">
        <v>648</v>
      </c>
      <c r="E15" s="806" t="s">
        <v>649</v>
      </c>
      <c r="F15" s="807">
        <f>'数据-取费表'!B33</f>
        <v>0.03</v>
      </c>
      <c r="G15" s="1593"/>
      <c r="H15" s="2530" t="s">
        <v>1890</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29" t="s">
        <v>1749</v>
      </c>
      <c r="I16" s="1827" t="s">
        <v>651</v>
      </c>
      <c r="J16" s="792">
        <f ca="1">ROUND(J17+J22+J23+J24,0)</f>
        <v>371</v>
      </c>
      <c r="K16" s="1821" t="s">
        <v>652</v>
      </c>
      <c r="L16" s="3181"/>
      <c r="M16" s="2470"/>
    </row>
    <row r="17" spans="1:33" s="2064" customFormat="1" ht="18" customHeight="1">
      <c r="A17" s="1648" t="s">
        <v>1888</v>
      </c>
      <c r="B17" s="784" t="s">
        <v>653</v>
      </c>
      <c r="C17" s="53">
        <f ca="1">ROUND(F17*(F43+INDIRECT("'数据-取费表'!S"&amp;$G$1))/10000,0)</f>
        <v>798</v>
      </c>
      <c r="D17" s="784" t="s">
        <v>654</v>
      </c>
      <c r="E17" s="784" t="s">
        <v>655</v>
      </c>
      <c r="F17" s="56">
        <f>'数据-取费表'!B35</f>
        <v>200</v>
      </c>
      <c r="G17" s="1593"/>
      <c r="H17" s="1649" t="s">
        <v>1825</v>
      </c>
      <c r="I17" s="784" t="s">
        <v>656</v>
      </c>
      <c r="J17" s="53">
        <f ca="1">ROUND(IF(项目基本情况!B11="自然人",J5*M17,J18+J19+J20),0)</f>
        <v>176</v>
      </c>
      <c r="K17" s="3179" t="s">
        <v>657</v>
      </c>
      <c r="L17" s="3178"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192</v>
      </c>
      <c r="D18" s="784" t="s">
        <v>648</v>
      </c>
      <c r="E18" s="784" t="s">
        <v>649</v>
      </c>
      <c r="F18" s="809">
        <f>'数据-取费表'!B36</f>
        <v>1.4999999999999999E-2</v>
      </c>
      <c r="G18" s="1593"/>
      <c r="H18" s="1648" t="s">
        <v>1832</v>
      </c>
      <c r="I18" s="784" t="s">
        <v>660</v>
      </c>
      <c r="J18" s="53">
        <f ca="1">ROUND(J5*M18/1.05,1)</f>
        <v>0</v>
      </c>
      <c r="K18" s="3178" t="s">
        <v>661</v>
      </c>
      <c r="L18" s="784" t="s">
        <v>649</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1825</v>
      </c>
      <c r="B19" s="784" t="s">
        <v>662</v>
      </c>
      <c r="C19" s="53">
        <f ca="1">SUM(C14:C18)</f>
        <v>14141</v>
      </c>
      <c r="D19" s="261" t="s">
        <v>663</v>
      </c>
      <c r="E19" s="3187"/>
      <c r="F19" s="56"/>
      <c r="G19" s="1592"/>
      <c r="H19" s="1648" t="s">
        <v>1833</v>
      </c>
      <c r="I19" s="784" t="s">
        <v>664</v>
      </c>
      <c r="J19" s="53">
        <f ca="1">IF(K19="按租金收入计税",ROUND(J5*M19,1),ROUND(C29*F33*0.7,1))</f>
        <v>164</v>
      </c>
      <c r="K19" s="811" t="s">
        <v>665</v>
      </c>
      <c r="L19" s="784" t="s">
        <v>649</v>
      </c>
      <c r="M19" s="809">
        <f>IF(K19="按租金收入计税",'数据-取费表'!B51,'数据-取费表'!B50)</f>
        <v>1.2E-2</v>
      </c>
    </row>
    <row r="20" spans="1:33" s="2064" customFormat="1" ht="18" customHeight="1">
      <c r="A20" s="1649" t="s">
        <v>1890</v>
      </c>
      <c r="B20" s="784" t="s">
        <v>666</v>
      </c>
      <c r="C20" s="53">
        <f ca="1">ROUND(C19*F20,0)</f>
        <v>283</v>
      </c>
      <c r="D20" s="812" t="s">
        <v>667</v>
      </c>
      <c r="E20" s="784" t="s">
        <v>649</v>
      </c>
      <c r="F20" s="809">
        <f>'数据-取费表'!B37</f>
        <v>0.02</v>
      </c>
      <c r="G20" s="1593"/>
      <c r="H20" s="1651" t="s">
        <v>1834</v>
      </c>
      <c r="I20" s="341" t="s">
        <v>668</v>
      </c>
      <c r="J20" s="54">
        <f ca="1">ROUND(M20*M21/10000,0)</f>
        <v>12</v>
      </c>
      <c r="K20" s="814" t="s">
        <v>669</v>
      </c>
      <c r="L20" s="784" t="s">
        <v>670</v>
      </c>
      <c r="M20" s="640">
        <f>'数据-取费表'!B52</f>
        <v>30</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671</v>
      </c>
      <c r="C21" s="53" t="s">
        <v>1765</v>
      </c>
      <c r="D21" s="812" t="s">
        <v>2299</v>
      </c>
      <c r="E21" s="784" t="s">
        <v>673</v>
      </c>
      <c r="F21" s="809">
        <f>'数据-取费表'!B38</f>
        <v>0.02</v>
      </c>
      <c r="G21" s="1593"/>
      <c r="H21" s="2485"/>
      <c r="I21" s="793"/>
      <c r="J21" s="69"/>
      <c r="K21" s="816"/>
      <c r="L21" s="784" t="s">
        <v>674</v>
      </c>
      <c r="M21" s="785">
        <f ca="1">INDIRECT("'数据-取费表'!r"&amp;$G$1)</f>
        <v>4102.18</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675</v>
      </c>
      <c r="C22" s="53"/>
      <c r="D22" s="2551" t="str">
        <f>IF(F23&lt;=1,"单利计息。","复利计息。")&amp;"建造成本、管理费用、销售费用产生的利息。"</f>
        <v>复利计息。建造成本、管理费用、销售费用产生的利息。</v>
      </c>
      <c r="E22" s="3187"/>
      <c r="F22" s="56"/>
      <c r="G22" s="1592"/>
      <c r="H22" s="1649" t="s">
        <v>1890</v>
      </c>
      <c r="I22" s="784" t="s">
        <v>676</v>
      </c>
      <c r="J22" s="53">
        <f ca="1">ROUND(J14*M22,0)</f>
        <v>195</v>
      </c>
      <c r="K22" s="3178" t="s">
        <v>677</v>
      </c>
      <c r="L22" s="784" t="s">
        <v>649</v>
      </c>
      <c r="M22" s="817">
        <f ca="1">INDIRECT("'数据-取费表'!Ak"&amp;$G$1)</f>
        <v>0.01</v>
      </c>
    </row>
    <row r="23" spans="1:33" s="2064" customFormat="1" ht="18" customHeight="1">
      <c r="A23" s="1648" t="s">
        <v>1832</v>
      </c>
      <c r="B23" s="784" t="s">
        <v>2438</v>
      </c>
      <c r="C23" s="53">
        <f ca="1">ROUND(IF('数据-取费表'!B22&lt;=1,(C19+C20)*F24*F23/2,(C19+C20)*(POWER((1+F24),F23/2)-1)),0)</f>
        <v>685</v>
      </c>
      <c r="D23" s="2550" t="str">
        <f>IF(F23&lt;=1,"(建造成本+管理费用)×利率×(建设周期÷2)","(建造成本+管理费用)×((1+利率)^(建设周期÷2)-1)")</f>
        <v>(建造成本+管理费用)×((1+利率)^(建设周期÷2)-1)</v>
      </c>
      <c r="E23" s="784" t="s">
        <v>678</v>
      </c>
      <c r="F23" s="640">
        <f>'数据-取费表'!B20</f>
        <v>2</v>
      </c>
      <c r="G23" s="1593"/>
      <c r="H23" s="1649" t="s">
        <v>1891</v>
      </c>
      <c r="I23" s="784" t="s">
        <v>679</v>
      </c>
      <c r="J23" s="53">
        <f ca="1">ROUND(J13*M23,0)</f>
        <v>0</v>
      </c>
      <c r="K23" s="3178" t="s">
        <v>680</v>
      </c>
      <c r="L23" s="784" t="s">
        <v>649</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681</v>
      </c>
      <c r="C24" s="53">
        <f ca="1">ROUND(IF('数据-取费表'!B22&lt;=1,F21*F24*F23/2,F21*(POWER((1+F24),F23/2)-1)),4)</f>
        <v>1E-3</v>
      </c>
      <c r="D24" s="2550" t="str">
        <f>IF(F23&lt;=1,"销售费用×利率×(建设周期÷2)","销售费用×((1+利率)^(建设周期÷2)-1)")</f>
        <v>销售费用×((1+利率)^(建设周期÷2)-1)</v>
      </c>
      <c r="E24" s="784" t="s">
        <v>682</v>
      </c>
      <c r="F24" s="819">
        <f ca="1">'数据-取费表'!B40</f>
        <v>4.7500000000000001E-2</v>
      </c>
      <c r="G24" s="1593"/>
      <c r="H24" s="2530" t="s">
        <v>1892</v>
      </c>
      <c r="I24" s="2525" t="s">
        <v>666</v>
      </c>
      <c r="J24" s="2523">
        <f ca="1">ROUND(J5*M24,0)</f>
        <v>0</v>
      </c>
      <c r="K24" s="2524" t="s">
        <v>683</v>
      </c>
      <c r="L24" s="2525" t="s">
        <v>649</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685</v>
      </c>
      <c r="E25" s="3187"/>
      <c r="F25" s="56"/>
      <c r="G25" s="1592"/>
      <c r="H25" s="1829" t="s">
        <v>1777</v>
      </c>
      <c r="I25" s="2985" t="s">
        <v>2822</v>
      </c>
      <c r="J25" s="792">
        <f ca="1">J5-J16</f>
        <v>-371</v>
      </c>
      <c r="K25" s="2527" t="s">
        <v>700</v>
      </c>
      <c r="L25" s="2528"/>
      <c r="M25" s="2529"/>
    </row>
    <row r="26" spans="1:33" ht="18" customHeight="1">
      <c r="A26" s="1648" t="s">
        <v>1832</v>
      </c>
      <c r="B26" s="784" t="s">
        <v>2439</v>
      </c>
      <c r="C26" s="53">
        <f ca="1">ROUND((C19+C20)*F26,0)</f>
        <v>2885</v>
      </c>
      <c r="D26" s="812" t="s">
        <v>701</v>
      </c>
      <c r="E26" s="795" t="s">
        <v>702</v>
      </c>
      <c r="F26" s="794">
        <f ca="1">INDIRECT("'数据-取费表'!q"&amp;$G$1)</f>
        <v>0.2</v>
      </c>
      <c r="G26" s="1592"/>
      <c r="H26" s="2481" t="s">
        <v>1781</v>
      </c>
      <c r="I26" s="2232" t="s">
        <v>2827</v>
      </c>
      <c r="J26" s="783">
        <f ca="1">IF(J5&lt;&gt;0,ROUND(J25*(1-((1+M28)/(1+M26))^M27)/(M26-M28),0),0)</f>
        <v>0</v>
      </c>
      <c r="K26" s="814" t="s">
        <v>704</v>
      </c>
      <c r="L26" s="784" t="s">
        <v>2420</v>
      </c>
      <c r="M26" s="794">
        <f ca="1">INDIRECT("'数据-取费表'!I"&amp;$G$1)</f>
        <v>0.05</v>
      </c>
    </row>
    <row r="27" spans="1:33" ht="18" customHeight="1">
      <c r="A27" s="1648" t="s">
        <v>1833</v>
      </c>
      <c r="B27" s="784" t="s">
        <v>686</v>
      </c>
      <c r="C27" s="53">
        <f ca="1">ROUND(F21*F26,4)</f>
        <v>4.0000000000000001E-3</v>
      </c>
      <c r="D27" s="812" t="s">
        <v>706</v>
      </c>
      <c r="E27" s="806"/>
      <c r="F27" s="807"/>
      <c r="G27" s="1592"/>
      <c r="H27" s="2482"/>
      <c r="I27" s="787"/>
      <c r="J27" s="788"/>
      <c r="K27" s="821" t="s">
        <v>707</v>
      </c>
      <c r="L27" s="784" t="s">
        <v>708</v>
      </c>
      <c r="M27" s="822">
        <f ca="1">INDIRECT("'数据-取费表'!ag"&amp;$G$1)</f>
        <v>0</v>
      </c>
    </row>
    <row r="28" spans="1:33" s="2064" customFormat="1" ht="18" customHeight="1">
      <c r="A28" s="1650" t="s">
        <v>1842</v>
      </c>
      <c r="B28" s="784" t="s">
        <v>687</v>
      </c>
      <c r="C28" s="53">
        <f>ROUND(F28/(1+'数据-取费表'!C42),4)</f>
        <v>5.33E-2</v>
      </c>
      <c r="D28" s="812" t="s">
        <v>2300</v>
      </c>
      <c r="E28" s="784" t="s">
        <v>649</v>
      </c>
      <c r="F28" s="809">
        <f>'数据-取费表'!B41</f>
        <v>5.6000000000000001E-2</v>
      </c>
      <c r="G28" s="1593"/>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19523</v>
      </c>
      <c r="D29" s="2524"/>
      <c r="E29" s="2525"/>
      <c r="F29" s="2526"/>
      <c r="G29" s="1593"/>
      <c r="H29" s="823" t="s">
        <v>1788</v>
      </c>
      <c r="I29" s="824" t="s">
        <v>1789</v>
      </c>
      <c r="J29" s="825">
        <f ca="1">ROUND(J26/(1+F40)^F41,0)</f>
        <v>0</v>
      </c>
      <c r="K29" s="826" t="s">
        <v>688</v>
      </c>
      <c r="L29" s="827"/>
      <c r="M29" s="828">
        <f ca="1">INDIRECT("'数据-取费表'!k"&amp;$G$1)</f>
        <v>39900.839999999997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652</v>
      </c>
      <c r="D30" s="1821" t="s">
        <v>652</v>
      </c>
      <c r="E30" s="3181"/>
      <c r="F30" s="2470"/>
      <c r="G30" s="2062"/>
      <c r="H30" s="2065"/>
      <c r="I30" s="2066"/>
      <c r="J30" s="2067"/>
      <c r="K30" s="2068"/>
      <c r="L30" s="2069"/>
      <c r="M30" s="2070"/>
    </row>
    <row r="31" spans="1:33" ht="18" customHeight="1">
      <c r="A31" s="1649" t="s">
        <v>1825</v>
      </c>
      <c r="B31" s="784" t="s">
        <v>656</v>
      </c>
      <c r="C31" s="53">
        <f ca="1">ROUND(IF(项目基本情况!B11="自然人",C5*F31,C32+C33+C34),1)</f>
        <v>398</v>
      </c>
      <c r="D31" s="3179" t="s">
        <v>657</v>
      </c>
      <c r="E31" s="3178"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660</v>
      </c>
      <c r="C32" s="53">
        <f ca="1">ROUND(C5*F32/1.05,1)</f>
        <v>221.7</v>
      </c>
      <c r="D32" s="3178" t="s">
        <v>661</v>
      </c>
      <c r="E32" s="784" t="s">
        <v>649</v>
      </c>
      <c r="F32" s="809">
        <f>'数据-取费表'!B41</f>
        <v>5.6000000000000001E-2</v>
      </c>
      <c r="G32" s="2062"/>
      <c r="H32" s="2071"/>
      <c r="I32" s="2072"/>
      <c r="J32" s="2073"/>
      <c r="K32" s="2074"/>
      <c r="L32" s="2075"/>
      <c r="M32" s="2076"/>
    </row>
    <row r="33" spans="1:18" ht="18" customHeight="1">
      <c r="A33" s="1648" t="s">
        <v>1833</v>
      </c>
      <c r="B33" s="784" t="s">
        <v>664</v>
      </c>
      <c r="C33" s="53">
        <f ca="1">IF(D33="按租金收入计税",ROUND(C5*F33,1),IF(D33="按房产原值计税",ROUND(C29*F33*0.7,1),INDIRECT("'数据-取费表'!Aj"&amp;$G$1)))</f>
        <v>164</v>
      </c>
      <c r="D33" s="811" t="s">
        <v>1681</v>
      </c>
      <c r="E33" s="784" t="s">
        <v>649</v>
      </c>
      <c r="F33" s="809">
        <f>IF(D33="按租金收入计税",'数据-取费表'!B51,'数据-取费表'!B50)</f>
        <v>1.2E-2</v>
      </c>
      <c r="G33" s="2062"/>
      <c r="H33" s="2077"/>
      <c r="I33" s="2077"/>
      <c r="J33" s="2077"/>
      <c r="K33" s="2078"/>
      <c r="L33" s="2077"/>
      <c r="M33" s="2077"/>
    </row>
    <row r="34" spans="1:18" ht="18" customHeight="1">
      <c r="A34" s="1651" t="s">
        <v>1834</v>
      </c>
      <c r="B34" s="341" t="s">
        <v>668</v>
      </c>
      <c r="C34" s="54">
        <f ca="1">ROUND(F34*F35/10000,1)</f>
        <v>12.3</v>
      </c>
      <c r="D34" s="814" t="s">
        <v>669</v>
      </c>
      <c r="E34" s="784" t="s">
        <v>670</v>
      </c>
      <c r="F34" s="640">
        <f>'数据-取费表'!B52</f>
        <v>30</v>
      </c>
      <c r="G34" s="2062"/>
      <c r="H34" s="2065"/>
      <c r="I34" s="835" t="s">
        <v>1814</v>
      </c>
      <c r="J34" s="836"/>
      <c r="K34" s="2080"/>
      <c r="L34" s="2079"/>
      <c r="M34" s="2079"/>
    </row>
    <row r="35" spans="1:18" ht="18" customHeight="1">
      <c r="A35" s="815"/>
      <c r="B35" s="793"/>
      <c r="C35" s="69"/>
      <c r="D35" s="816"/>
      <c r="E35" s="784" t="s">
        <v>674</v>
      </c>
      <c r="F35" s="785">
        <f ca="1">INDIRECT("'数据-取费表'!r"&amp;$G$1)</f>
        <v>4102.18</v>
      </c>
      <c r="G35" s="2062"/>
      <c r="H35" s="2065"/>
      <c r="I35" s="837" t="s">
        <v>1815</v>
      </c>
      <c r="J35" s="838">
        <f ca="1">ROUND(C13*J36,0)</f>
        <v>1494</v>
      </c>
      <c r="K35" s="2078"/>
      <c r="L35" s="2077"/>
      <c r="M35" s="2077"/>
    </row>
    <row r="36" spans="1:18" ht="18" customHeight="1">
      <c r="A36" s="1649" t="s">
        <v>1890</v>
      </c>
      <c r="B36" s="784" t="s">
        <v>676</v>
      </c>
      <c r="C36" s="53">
        <f ca="1">ROUND(C29*F36,1)</f>
        <v>195.2</v>
      </c>
      <c r="D36" s="3178" t="s">
        <v>691</v>
      </c>
      <c r="E36" s="784" t="s">
        <v>649</v>
      </c>
      <c r="F36" s="817">
        <f ca="1">INDIRECT("'数据-取费表'!Ak"&amp;$G$1)</f>
        <v>0.01</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17.600000000000001</v>
      </c>
      <c r="D37" s="3178" t="s">
        <v>680</v>
      </c>
      <c r="E37" s="784" t="s">
        <v>649</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41.6</v>
      </c>
      <c r="D38" s="2524" t="s">
        <v>683</v>
      </c>
      <c r="E38" s="2525" t="s">
        <v>649</v>
      </c>
      <c r="F38" s="2521">
        <f ca="1">INDIRECT("'数据-取费表'!Am"&amp;$G$1)</f>
        <v>0.01</v>
      </c>
      <c r="G38" s="2062"/>
      <c r="H38" s="2077"/>
      <c r="I38" s="843" t="s">
        <v>1818</v>
      </c>
      <c r="J38" s="844"/>
      <c r="K38" s="2083"/>
      <c r="L38" s="2077"/>
      <c r="M38" s="2077"/>
    </row>
    <row r="39" spans="1:18" ht="24.6" customHeight="1" thickTop="1">
      <c r="A39" s="1829" t="s">
        <v>1777</v>
      </c>
      <c r="B39" s="2985" t="s">
        <v>2822</v>
      </c>
      <c r="C39" s="792">
        <f ca="1">C5-C30</f>
        <v>3504</v>
      </c>
      <c r="D39" s="2527" t="s">
        <v>700</v>
      </c>
      <c r="E39" s="2528"/>
      <c r="F39" s="2529"/>
      <c r="G39" s="2062"/>
      <c r="H39" s="2077"/>
      <c r="I39" s="837" t="s">
        <v>1819</v>
      </c>
      <c r="J39" s="845">
        <f ca="1">ROUND(J35/C39,3)</f>
        <v>0.42599999999999999</v>
      </c>
      <c r="K39" s="2083"/>
      <c r="L39" s="2077"/>
      <c r="M39" s="2077"/>
    </row>
    <row r="40" spans="1:18" ht="18" customHeight="1">
      <c r="A40" s="781" t="s">
        <v>1781</v>
      </c>
      <c r="B40" s="2232" t="s">
        <v>2302</v>
      </c>
      <c r="C40" s="783">
        <f ca="1">ROUND(C39*(1-((1+F42)/(1+F40))^F41)/(F40-F42),0)</f>
        <v>86374</v>
      </c>
      <c r="D40" s="814" t="s">
        <v>704</v>
      </c>
      <c r="E40" s="784" t="s">
        <v>2420</v>
      </c>
      <c r="F40" s="794">
        <f ca="1">INDIRECT("'数据-取费表'!I"&amp;$G$1)</f>
        <v>0.05</v>
      </c>
      <c r="G40" s="2062"/>
      <c r="H40" s="2062"/>
      <c r="I40" s="837" t="s">
        <v>1820</v>
      </c>
      <c r="J40" s="845">
        <f ca="1">1-J39</f>
        <v>0.57400000000000007</v>
      </c>
      <c r="K40" s="2083"/>
      <c r="L40" s="2062"/>
      <c r="M40" s="2062"/>
    </row>
    <row r="41" spans="1:18" ht="18" customHeight="1">
      <c r="A41" s="786"/>
      <c r="B41" s="787"/>
      <c r="C41" s="788"/>
      <c r="D41" s="821" t="s">
        <v>1809</v>
      </c>
      <c r="E41" s="784" t="s">
        <v>708</v>
      </c>
      <c r="F41" s="822">
        <f ca="1">IF(INDIRECT("'数据-取费表'!af"&amp;$G$1)=0,INDIRECT("'数据-取费表'!ae"&amp;$G$1),INDIRECT("'数据-取费表'!af"&amp;$G$1))</f>
        <v>35.32</v>
      </c>
      <c r="G41" s="2062"/>
      <c r="H41" s="1988"/>
      <c r="I41" s="843" t="s">
        <v>1821</v>
      </c>
      <c r="J41" s="846"/>
      <c r="K41" s="2082"/>
      <c r="L41" s="1988"/>
      <c r="M41" s="1988"/>
    </row>
    <row r="42" spans="1:18" ht="18" customHeight="1">
      <c r="A42" s="790"/>
      <c r="B42" s="791"/>
      <c r="C42" s="792"/>
      <c r="D42" s="816"/>
      <c r="E42" s="784" t="s">
        <v>710</v>
      </c>
      <c r="F42" s="794">
        <f ca="1">INDIRECT("'数据-取费表'!v"&amp;$G$1)</f>
        <v>0.03</v>
      </c>
      <c r="G42" s="2062"/>
      <c r="H42" s="1988"/>
      <c r="I42" s="847" t="s">
        <v>1822</v>
      </c>
      <c r="J42" s="845">
        <f ca="1">ROUND(C13/C40,3)</f>
        <v>0.20300000000000001</v>
      </c>
      <c r="K42" s="2082"/>
      <c r="L42" s="1988"/>
      <c r="M42" s="1988"/>
    </row>
    <row r="43" spans="1:18" ht="18" customHeight="1" thickBot="1">
      <c r="A43" s="823" t="s">
        <v>1788</v>
      </c>
      <c r="B43" s="824" t="s">
        <v>1811</v>
      </c>
      <c r="C43" s="825">
        <f ca="1">ROUND(C40*10000/F43,0)</f>
        <v>21647</v>
      </c>
      <c r="D43" s="826" t="s">
        <v>1812</v>
      </c>
      <c r="E43" s="827" t="s">
        <v>1813</v>
      </c>
      <c r="F43" s="828">
        <f ca="1">INDIRECT("'数据-取费表'!k"&amp;$G$1)</f>
        <v>39900.839999999997</v>
      </c>
      <c r="G43" s="2062"/>
      <c r="H43" s="1988"/>
      <c r="I43" s="847" t="s">
        <v>1823</v>
      </c>
      <c r="J43" s="848">
        <f ca="1">1-J42</f>
        <v>0.79699999999999993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-92765</v>
      </c>
      <c r="D46" s="2085"/>
      <c r="E46" s="2085"/>
      <c r="F46" s="2085"/>
      <c r="I46" s="2357" t="s">
        <v>2344</v>
      </c>
      <c r="J46" s="2358"/>
      <c r="K46" s="2359"/>
      <c r="L46" s="3133">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3" t="s">
        <v>2345</v>
      </c>
      <c r="J47" s="2360"/>
      <c r="K47" s="3130" t="s">
        <v>2350</v>
      </c>
      <c r="L47" s="3134">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1871</v>
      </c>
      <c r="B48" s="2622" t="s">
        <v>2539</v>
      </c>
      <c r="C48" s="2353">
        <f ca="1">ROUND(F48*F50*F49*(1-F51)/10000,0)</f>
        <v>0</v>
      </c>
      <c r="D48" s="2354" t="s">
        <v>636</v>
      </c>
      <c r="E48" s="2355" t="s">
        <v>2297</v>
      </c>
      <c r="F48" s="2356"/>
      <c r="G48" s="2090"/>
      <c r="I48" s="3102" t="s">
        <v>2346</v>
      </c>
      <c r="J48" s="2361"/>
      <c r="K48" s="3131" t="s">
        <v>2352</v>
      </c>
      <c r="L48" s="1908">
        <f ca="1">INDIRECT("'数据-取费表'!f"&amp;$G$1)</f>
        <v>35.32</v>
      </c>
      <c r="O48" s="2377" t="s">
        <v>2380</v>
      </c>
      <c r="P48" s="2378" t="s">
        <v>2406</v>
      </c>
      <c r="Q48" s="2379">
        <f ca="1">C40+J29</f>
        <v>86374</v>
      </c>
      <c r="R48" s="2378" t="s">
        <v>2381</v>
      </c>
    </row>
    <row r="49" spans="1:18" s="2059" customFormat="1" ht="18" customHeight="1" thickBot="1">
      <c r="A49" s="786"/>
      <c r="B49" s="787"/>
      <c r="C49" s="788"/>
      <c r="D49" s="789"/>
      <c r="E49" s="784" t="s">
        <v>638</v>
      </c>
      <c r="F49" s="785">
        <f ca="1">F7</f>
        <v>39900.839999999997</v>
      </c>
      <c r="G49" s="2090"/>
      <c r="H49" s="2093"/>
      <c r="I49" s="3102" t="s">
        <v>2347</v>
      </c>
      <c r="J49" s="2362"/>
      <c r="K49" s="3132" t="s">
        <v>2353</v>
      </c>
      <c r="L49" s="2363"/>
      <c r="O49" s="2377" t="s">
        <v>2382</v>
      </c>
      <c r="P49" s="2378" t="s">
        <v>2407</v>
      </c>
      <c r="Q49" s="2379" t="str">
        <f ca="1">J60</f>
        <v>0</v>
      </c>
      <c r="R49" s="2378" t="s">
        <v>2383</v>
      </c>
    </row>
    <row r="50" spans="1:18" s="2059" customFormat="1" ht="18" customHeight="1" thickBot="1">
      <c r="A50" s="786"/>
      <c r="B50" s="787"/>
      <c r="C50" s="788"/>
      <c r="D50" s="789"/>
      <c r="E50" s="784" t="s">
        <v>639</v>
      </c>
      <c r="F50" s="785">
        <f ca="1">F8</f>
        <v>365</v>
      </c>
      <c r="G50" s="2095"/>
      <c r="H50" s="2093"/>
      <c r="I50" s="3102" t="s">
        <v>2348</v>
      </c>
      <c r="J50" s="3127">
        <f>SUMPRODUCT((I63:I65=J47)*(J62:L62=J48)*(J63:L65))</f>
        <v>0</v>
      </c>
      <c r="K50" s="3132" t="s">
        <v>2354</v>
      </c>
      <c r="L50" s="2363"/>
      <c r="O50" s="2380" t="s">
        <v>2384</v>
      </c>
      <c r="P50" s="2378" t="s">
        <v>2408</v>
      </c>
      <c r="Q50" s="2379">
        <f ca="1">C29</f>
        <v>19523</v>
      </c>
      <c r="R50" s="2378" t="s">
        <v>2381</v>
      </c>
    </row>
    <row r="51" spans="1:18" s="2059" customFormat="1" ht="18" customHeight="1" thickBot="1">
      <c r="A51" s="786"/>
      <c r="B51" s="787"/>
      <c r="C51" s="788"/>
      <c r="D51" s="789"/>
      <c r="E51" s="784" t="s">
        <v>640</v>
      </c>
      <c r="F51" s="2350"/>
      <c r="H51" s="2093"/>
      <c r="I51" s="3124" t="s">
        <v>2349</v>
      </c>
      <c r="J51" s="3128">
        <f>IF(J49="",J50,J49+J50-YEAR('数据-取费表'!B2))</f>
        <v>0</v>
      </c>
      <c r="K51" s="3102" t="s">
        <v>2355</v>
      </c>
      <c r="L51" s="3135">
        <f ca="1">ROUND(-PV(INDIRECT("'数据-取费表'!h"&amp;$G$1),L48,(C39-C13*J36),0),0)</f>
        <v>35239</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2976</v>
      </c>
      <c r="E52" s="2477" t="s">
        <v>2465</v>
      </c>
      <c r="F52" s="2600"/>
      <c r="I52" s="3125" t="s">
        <v>2422</v>
      </c>
      <c r="J52" s="2364"/>
      <c r="K52" s="3125"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0</v>
      </c>
      <c r="K53" s="3985" t="s">
        <v>2968</v>
      </c>
      <c r="L53" s="3986"/>
      <c r="O53" s="2380" t="s">
        <v>2389</v>
      </c>
      <c r="P53" s="2378" t="s">
        <v>2390</v>
      </c>
      <c r="Q53" s="2379">
        <f ca="1">J53</f>
        <v>0</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7" t="s">
        <v>2392</v>
      </c>
      <c r="P54" s="2378" t="s">
        <v>2409</v>
      </c>
      <c r="Q54" s="2379">
        <f ca="1">Q48+Q49</f>
        <v>86374</v>
      </c>
      <c r="R54" s="2382" t="s">
        <v>2393</v>
      </c>
    </row>
    <row r="55" spans="1:18" s="2059" customFormat="1" ht="18" customHeight="1" thickTop="1" thickBot="1">
      <c r="A55" s="797">
        <v>2</v>
      </c>
      <c r="B55" s="798" t="s">
        <v>644</v>
      </c>
      <c r="C55" s="799">
        <f ca="1">C13</f>
        <v>17571</v>
      </c>
      <c r="D55" s="795"/>
      <c r="E55" s="795"/>
      <c r="F55" s="800"/>
      <c r="I55" s="3138" t="s">
        <v>2356</v>
      </c>
      <c r="J55" s="3077" t="e">
        <f ca="1">ROUND(IF(J47="钢混",J57/J50,1-(1-2%)*(J50-J57)/J50),3)</f>
        <v>#VALUE!</v>
      </c>
      <c r="K55" s="3139" t="s">
        <v>2357</v>
      </c>
      <c r="L55" s="2365"/>
      <c r="O55" s="2383" t="s">
        <v>2412</v>
      </c>
      <c r="P55" s="1592"/>
      <c r="Q55" s="1604"/>
      <c r="R55" s="1592"/>
    </row>
    <row r="56" spans="1:18" s="2059" customFormat="1" ht="42.75" customHeight="1" thickBot="1">
      <c r="A56" s="1650"/>
      <c r="B56" s="2231" t="s">
        <v>2301</v>
      </c>
      <c r="C56" s="53">
        <f ca="1">C29</f>
        <v>19523</v>
      </c>
      <c r="D56" s="3178"/>
      <c r="E56" s="784"/>
      <c r="F56" s="809"/>
      <c r="I56" s="3140" t="s">
        <v>2358</v>
      </c>
      <c r="J56" s="3150"/>
      <c r="K56" s="3102" t="s">
        <v>2363</v>
      </c>
      <c r="L56" s="1908">
        <f ca="1">IF(L48&lt;J51,"——",L48-J51)</f>
        <v>35.32</v>
      </c>
      <c r="O56" s="2374" t="s">
        <v>2376</v>
      </c>
      <c r="P56" s="2375" t="s">
        <v>2377</v>
      </c>
      <c r="Q56" s="2376" t="s">
        <v>2378</v>
      </c>
      <c r="R56" s="2375" t="s">
        <v>2379</v>
      </c>
    </row>
    <row r="57" spans="1:18" s="2059" customFormat="1" ht="28.5" customHeight="1" thickBot="1">
      <c r="A57" s="797" t="s">
        <v>1749</v>
      </c>
      <c r="B57" s="798" t="s">
        <v>651</v>
      </c>
      <c r="C57" s="799">
        <f ca="1">ROUND(C58+C63+C64+C65,0)</f>
        <v>389</v>
      </c>
      <c r="D57" s="26" t="s">
        <v>652</v>
      </c>
      <c r="E57" s="3187"/>
      <c r="F57" s="56"/>
      <c r="I57" s="3141" t="s">
        <v>2359</v>
      </c>
      <c r="J57" s="3142" t="str">
        <f ca="1">IF(OR(M47="住宅",J51&lt;L48,J56="是"),"——",J51-L48)</f>
        <v>——</v>
      </c>
      <c r="K57" s="3102" t="s">
        <v>2364</v>
      </c>
      <c r="L57" s="1908">
        <f ca="1">IF(L48&lt;J51,"——",IF(L55="比较法",L49,IF(L55="基准地价",L50,L51)))</f>
        <v>35239</v>
      </c>
      <c r="O57" s="2377" t="s">
        <v>2380</v>
      </c>
      <c r="P57" s="2378" t="s">
        <v>2406</v>
      </c>
      <c r="Q57" s="2379">
        <f ca="1">C40+J29</f>
        <v>86374</v>
      </c>
      <c r="R57" s="2378" t="s">
        <v>2381</v>
      </c>
    </row>
    <row r="58" spans="1:18" s="2059" customFormat="1" ht="28.5" customHeight="1" thickBot="1">
      <c r="A58" s="1649" t="s">
        <v>1825</v>
      </c>
      <c r="B58" s="784" t="s">
        <v>656</v>
      </c>
      <c r="C58" s="53">
        <f ca="1">ROUND(IF(项目基本情况!B11="自然人",C47*F58,C59+C60+C61),1)</f>
        <v>176.3</v>
      </c>
      <c r="D58" s="3179" t="s">
        <v>657</v>
      </c>
      <c r="E58" s="3178" t="s">
        <v>690</v>
      </c>
      <c r="F58" s="810" t="str">
        <f ca="1">IF(项目基本情况!B11="企业","",IF(INDIRECT("'数据-取费表'!c"&amp;$G$1)="住宅",5%,IF(F48*F49*F50/12/(1+'数据-取费表'!C42)&gt;20000,12%,7%)))</f>
        <v/>
      </c>
      <c r="I58" s="3141" t="s">
        <v>2360</v>
      </c>
      <c r="J58" s="3078" t="e">
        <f ca="1">IF(J55&lt;0.4,0.4,J55)</f>
        <v>#VALUE!</v>
      </c>
      <c r="K58" s="3102" t="s">
        <v>2365</v>
      </c>
      <c r="L58" s="1908" t="e">
        <f ca="1">ROUND(POWER(1+L52,L47-L48)*(POWER(1+L52,L48)-1)/(POWER(1+L52,L47)-1),4)</f>
        <v>#DIV/0!</v>
      </c>
      <c r="O58" s="2377" t="s">
        <v>2382</v>
      </c>
      <c r="P58" s="2378" t="s">
        <v>2413</v>
      </c>
      <c r="Q58" s="2379" t="e">
        <f ca="1">L60</f>
        <v>#DIV/0!</v>
      </c>
      <c r="R58" s="2382" t="s">
        <v>2415</v>
      </c>
    </row>
    <row r="59" spans="1:18" s="2059" customFormat="1" ht="28.5" customHeight="1" thickBot="1">
      <c r="A59" s="1648" t="s">
        <v>1832</v>
      </c>
      <c r="B59" s="784" t="s">
        <v>660</v>
      </c>
      <c r="C59" s="53">
        <f ca="1">ROUND(C47*F59/1.05,1)</f>
        <v>0</v>
      </c>
      <c r="D59" s="3178" t="s">
        <v>661</v>
      </c>
      <c r="E59" s="784" t="s">
        <v>649</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664</v>
      </c>
      <c r="C60" s="53">
        <f ca="1">IF(D60="按租金收入计税",ROUND(C47*F60,1),IF(D60="按房产原值计税",ROUND(C56*F60*0.7,1),INDIRECT("'数据-取费表'!Aj"&amp;$G$1)))</f>
        <v>164</v>
      </c>
      <c r="D60" s="3178" t="str">
        <f>D33</f>
        <v>按房产原值计税</v>
      </c>
      <c r="E60" s="784" t="s">
        <v>649</v>
      </c>
      <c r="F60" s="809">
        <f t="shared" si="0"/>
        <v>1.2E-2</v>
      </c>
      <c r="I60" s="3143" t="s">
        <v>2362</v>
      </c>
      <c r="J60" s="3144" t="str">
        <f ca="1">IF(OR(M47="住宅",J51&lt;L48,J56="是"),"0",ROUND(J59/(1+J52)^J53,0))</f>
        <v>0</v>
      </c>
      <c r="K60" s="3145" t="s">
        <v>2367</v>
      </c>
      <c r="L60" s="3144" t="e">
        <f ca="1">IF(OR(M47="住宅",L48&lt;J51),0,ROUND(L57*(L58/L59-1),0))</f>
        <v>#DIV/0!</v>
      </c>
      <c r="O60" s="2380" t="s">
        <v>2385</v>
      </c>
      <c r="P60" s="2378" t="s">
        <v>2394</v>
      </c>
      <c r="Q60" s="2381">
        <f>L52</f>
        <v>0</v>
      </c>
      <c r="R60" s="2382"/>
    </row>
    <row r="61" spans="1:18" s="2059" customFormat="1" ht="18" customHeight="1" thickBot="1">
      <c r="A61" s="1651" t="s">
        <v>1834</v>
      </c>
      <c r="B61" s="341" t="s">
        <v>668</v>
      </c>
      <c r="C61" s="54">
        <f ca="1">ROUND(F61*F62/10000,1)</f>
        <v>12.3</v>
      </c>
      <c r="D61" s="814" t="s">
        <v>669</v>
      </c>
      <c r="E61" s="784" t="s">
        <v>670</v>
      </c>
      <c r="F61" s="640">
        <f t="shared" si="0"/>
        <v>30</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4102.18</v>
      </c>
      <c r="I62" s="3146" t="s">
        <v>2368</v>
      </c>
      <c r="J62" s="3147" t="s">
        <v>2369</v>
      </c>
      <c r="K62" s="3147" t="s">
        <v>2370</v>
      </c>
      <c r="L62" s="3147" t="s">
        <v>2351</v>
      </c>
      <c r="M62" s="3148" t="s">
        <v>2944</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195.2</v>
      </c>
      <c r="D63" s="3178" t="s">
        <v>691</v>
      </c>
      <c r="E63" s="784" t="s">
        <v>649</v>
      </c>
      <c r="F63" s="817">
        <f t="shared" ca="1" si="0"/>
        <v>0.01</v>
      </c>
      <c r="I63" s="3146" t="s">
        <v>2371</v>
      </c>
      <c r="J63" s="3147">
        <v>70</v>
      </c>
      <c r="K63" s="3147">
        <v>50</v>
      </c>
      <c r="L63" s="3147">
        <v>80</v>
      </c>
      <c r="M63" s="3149">
        <v>0.02</v>
      </c>
      <c r="O63" s="2377" t="s">
        <v>2392</v>
      </c>
      <c r="P63" s="2378" t="s">
        <v>2409</v>
      </c>
      <c r="Q63" s="2379" t="e">
        <f ca="1">Q57+Q58</f>
        <v>#DIV/0!</v>
      </c>
      <c r="R63" s="2382" t="s">
        <v>2393</v>
      </c>
    </row>
    <row r="64" spans="1:18" s="2059" customFormat="1" ht="16.5" thickBot="1">
      <c r="A64" s="1649" t="s">
        <v>1891</v>
      </c>
      <c r="B64" s="784" t="s">
        <v>679</v>
      </c>
      <c r="C64" s="53">
        <f ca="1">ROUND(C55*F64,1)</f>
        <v>17.600000000000001</v>
      </c>
      <c r="D64" s="3178" t="s">
        <v>680</v>
      </c>
      <c r="E64" s="784" t="s">
        <v>649</v>
      </c>
      <c r="F64" s="818">
        <f t="shared" ca="1" si="0"/>
        <v>1E-3</v>
      </c>
      <c r="I64" s="3146" t="s">
        <v>2372</v>
      </c>
      <c r="J64" s="3147">
        <v>50</v>
      </c>
      <c r="K64" s="3147">
        <v>35</v>
      </c>
      <c r="L64" s="3147">
        <v>60</v>
      </c>
      <c r="M64" s="846">
        <v>0</v>
      </c>
      <c r="O64" s="2383" t="s">
        <v>2416</v>
      </c>
      <c r="P64" s="1592"/>
      <c r="Q64" s="1604"/>
      <c r="R64" s="1592"/>
    </row>
    <row r="65" spans="1:18" s="2059" customFormat="1" ht="15.75" thickBot="1">
      <c r="A65" s="1649" t="s">
        <v>1892</v>
      </c>
      <c r="B65" s="784" t="s">
        <v>666</v>
      </c>
      <c r="C65" s="53">
        <f ca="1">ROUND(C47*F65,1)</f>
        <v>0</v>
      </c>
      <c r="D65" s="3178" t="s">
        <v>683</v>
      </c>
      <c r="E65" s="784" t="s">
        <v>649</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2822</v>
      </c>
      <c r="C66" s="799">
        <f ca="1">C47-C57</f>
        <v>-389</v>
      </c>
      <c r="D66" s="3179" t="s">
        <v>700</v>
      </c>
      <c r="E66" s="3182"/>
      <c r="F66" s="820"/>
      <c r="K66" s="2086"/>
      <c r="O66" s="2377" t="s">
        <v>2380</v>
      </c>
      <c r="P66" s="2378" t="s">
        <v>2406</v>
      </c>
      <c r="Q66" s="2379">
        <f ca="1">C40+J29</f>
        <v>86374</v>
      </c>
      <c r="R66" s="2378" t="s">
        <v>2381</v>
      </c>
    </row>
    <row r="67" spans="1:18" s="2059" customFormat="1" ht="20.25" thickBot="1">
      <c r="A67" s="781" t="s">
        <v>1781</v>
      </c>
      <c r="B67" s="2232" t="s">
        <v>2302</v>
      </c>
      <c r="C67" s="783">
        <f ca="1">ROUND(C66*(1-((1+F69)/(1+F67))^F68)/(F67-F69),0)</f>
        <v>-6391</v>
      </c>
      <c r="D67" s="814" t="s">
        <v>704</v>
      </c>
      <c r="E67" s="784" t="s">
        <v>705</v>
      </c>
      <c r="F67" s="794">
        <f ca="1">F40</f>
        <v>0.05</v>
      </c>
      <c r="K67" s="2086"/>
      <c r="O67" s="2377" t="s">
        <v>2382</v>
      </c>
      <c r="P67" s="2378" t="s">
        <v>2413</v>
      </c>
      <c r="Q67" s="2379" t="e">
        <f ca="1">L60</f>
        <v>#DIV/0!</v>
      </c>
      <c r="R67" s="2382" t="s">
        <v>2415</v>
      </c>
    </row>
    <row r="68" spans="1:18" ht="21.75" thickBot="1">
      <c r="A68" s="786"/>
      <c r="B68" s="787"/>
      <c r="C68" s="788"/>
      <c r="D68" s="821" t="s">
        <v>1809</v>
      </c>
      <c r="E68" s="784" t="s">
        <v>708</v>
      </c>
      <c r="F68" s="822">
        <f ca="1">F41</f>
        <v>35.32</v>
      </c>
      <c r="O68" s="2380" t="s">
        <v>2384</v>
      </c>
      <c r="P68" s="2378" t="s">
        <v>2414</v>
      </c>
      <c r="Q68" s="2384">
        <f ca="1">L51</f>
        <v>35239</v>
      </c>
      <c r="R68" s="2385" t="s">
        <v>2417</v>
      </c>
    </row>
    <row r="69" spans="1:18" ht="20.25" thickBot="1">
      <c r="A69" s="790"/>
      <c r="B69" s="791"/>
      <c r="C69" s="792"/>
      <c r="D69" s="816"/>
      <c r="E69" s="784" t="s">
        <v>710</v>
      </c>
      <c r="F69" s="2350"/>
      <c r="O69" s="2380" t="s">
        <v>2385</v>
      </c>
      <c r="P69" s="2386" t="s">
        <v>2399</v>
      </c>
      <c r="Q69" s="2379">
        <f ca="1">ROUND(Q70-Q71*Q72,0)</f>
        <v>2010</v>
      </c>
      <c r="R69" s="2382"/>
    </row>
    <row r="70" spans="1:18" ht="15.75" thickBot="1">
      <c r="A70" s="823" t="s">
        <v>1788</v>
      </c>
      <c r="B70" s="824" t="s">
        <v>1811</v>
      </c>
      <c r="C70" s="825">
        <f ca="1">ROUND(C67*10000/F70,0)</f>
        <v>-1602</v>
      </c>
      <c r="D70" s="826" t="s">
        <v>1812</v>
      </c>
      <c r="E70" s="827" t="s">
        <v>1813</v>
      </c>
      <c r="F70" s="828">
        <f ca="1">F43</f>
        <v>39900.839999999997</v>
      </c>
      <c r="O70" s="2380" t="s">
        <v>2400</v>
      </c>
      <c r="P70" s="2386" t="s">
        <v>2401</v>
      </c>
      <c r="Q70" s="2379">
        <f ca="1">C39</f>
        <v>3504</v>
      </c>
      <c r="R70" s="2378" t="s">
        <v>2381</v>
      </c>
    </row>
    <row r="71" spans="1:18" ht="15.75" thickBot="1">
      <c r="O71" s="2380" t="s">
        <v>2402</v>
      </c>
      <c r="P71" s="2386" t="s">
        <v>2403</v>
      </c>
      <c r="Q71" s="2379">
        <f ca="1">C13</f>
        <v>17571</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t="e">
        <f ca="1">Q66+Q67</f>
        <v>#DIV/0!</v>
      </c>
      <c r="R76" s="2382"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topLeftCell="A91" workbookViewId="0">
      <selection activeCell="M111" sqref="M111"/>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selection activeCell="A30" sqref="A30"/>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4047" t="s">
        <v>2577</v>
      </c>
      <c r="C1" s="4047"/>
      <c r="D1" s="4047"/>
      <c r="E1" s="4047"/>
      <c r="F1" s="4047"/>
      <c r="G1" s="4046" t="s">
        <v>2578</v>
      </c>
      <c r="H1" s="4046"/>
      <c r="I1" s="4046"/>
      <c r="J1" s="4046"/>
      <c r="K1" s="4046"/>
      <c r="L1" s="4046"/>
      <c r="N1" s="4046" t="s">
        <v>2579</v>
      </c>
      <c r="O1" s="4046"/>
      <c r="P1" s="4046"/>
      <c r="Q1" s="4046"/>
      <c r="R1" s="2633"/>
      <c r="S1" s="4046" t="s">
        <v>2580</v>
      </c>
      <c r="T1" s="4046"/>
      <c r="U1" s="4046"/>
      <c r="V1" s="4046"/>
      <c r="X1" s="4045" t="s">
        <v>2640</v>
      </c>
      <c r="Y1" s="4046"/>
      <c r="Z1" s="4046"/>
      <c r="AA1" s="4046"/>
      <c r="AB1" s="4046"/>
      <c r="AD1" s="4045" t="s">
        <v>2644</v>
      </c>
      <c r="AE1" s="4046"/>
      <c r="AF1" s="4046"/>
      <c r="AG1" s="4046"/>
      <c r="AH1" s="4046"/>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2972</v>
      </c>
      <c r="X5" s="3094">
        <f>ROUND(IF(项目基本情况!B8="出让",SUMPRODUCT(PRODUCT(1+N5:N$25)),SUMPRODUCT(PRODUCT(1+N5:N$24))),4)</f>
        <v>1.5548</v>
      </c>
      <c r="Y5" s="3094">
        <f>ROUND(IF(项目基本情况!B8="出让",SUMPRODUCT(PRODUCT(1+O5:O$25)),SUMPRODUCT(PRODUCT(1+O5:O$24))),4)</f>
        <v>1.3686</v>
      </c>
      <c r="Z5" s="3094">
        <f t="shared" ref="Z5" si="10">Y5</f>
        <v>1.3686</v>
      </c>
      <c r="AA5" s="3094">
        <f>ROUND(IF(项目基本情况!B8="出让",SUMPRODUCT(PRODUCT(1+P5:P$25)),SUMPRODUCT(PRODUCT(1+P5:P$24))),4)</f>
        <v>1.6196999999999999</v>
      </c>
      <c r="AB5" s="3094">
        <f>ROUND(IF(项目基本情况!B8="出让",SUMPRODUCT(PRODUCT(1+Q5:Q$25)),SUMPRODUCT(PRODUCT(1+Q5:Q$24))),4)</f>
        <v>1.3435999999999999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4041">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4041"/>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4041"/>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4042"/>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1">
        <v>439</v>
      </c>
      <c r="C10" s="3121">
        <v>327</v>
      </c>
      <c r="D10" s="3121">
        <f t="shared" si="43"/>
        <v>327</v>
      </c>
      <c r="E10" s="3121">
        <v>627</v>
      </c>
      <c r="F10" s="3122">
        <v>283</v>
      </c>
      <c r="G10" s="4040">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4041"/>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4041"/>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4042"/>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4040">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4041"/>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4041"/>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4044"/>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4043">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4041"/>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4041"/>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4044"/>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4043">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4041"/>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4041"/>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4044"/>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4048">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4049"/>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4049"/>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4050"/>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4043">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4041"/>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4041"/>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4044"/>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4043">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4041">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4041">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4044">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4043">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4041">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4041">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4044">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4043">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4041">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4041">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4044">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4043">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4041">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4041">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4044">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4043">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4041">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4041">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4044">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4043">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4041">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4041">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4044">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4043">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4041">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4041">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4044">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4043">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4041">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4041">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4044">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4043">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4041">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4041">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4044">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4043">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4041">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4041">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4044">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957" t="s">
        <v>522</v>
      </c>
      <c r="D4" s="3958"/>
      <c r="E4" s="3959" t="s">
        <v>523</v>
      </c>
      <c r="F4" s="3960"/>
      <c r="G4" s="3957" t="s">
        <v>524</v>
      </c>
      <c r="H4" s="3958"/>
      <c r="I4" s="3957" t="s">
        <v>525</v>
      </c>
      <c r="J4" s="3958"/>
      <c r="K4" s="514" t="s">
        <v>526</v>
      </c>
      <c r="L4" s="2133"/>
      <c r="M4" s="2134"/>
      <c r="N4" s="2134"/>
      <c r="O4" s="2134"/>
      <c r="P4" s="3961" t="s">
        <v>527</v>
      </c>
      <c r="Q4" s="3962"/>
      <c r="R4" s="3967" t="s">
        <v>523</v>
      </c>
      <c r="S4" s="3968"/>
      <c r="T4" s="3967" t="s">
        <v>524</v>
      </c>
      <c r="U4" s="3968"/>
      <c r="V4" s="3973" t="s">
        <v>525</v>
      </c>
      <c r="W4" s="3973"/>
      <c r="X4" s="1567"/>
      <c r="Y4" s="3967" t="s">
        <v>527</v>
      </c>
      <c r="Z4" s="3968"/>
      <c r="AA4" s="3954" t="s">
        <v>523</v>
      </c>
      <c r="AB4" s="3955" t="s">
        <v>524</v>
      </c>
      <c r="AC4" s="3954" t="s">
        <v>525</v>
      </c>
    </row>
    <row r="5" spans="1:29" ht="15">
      <c r="A5" s="515"/>
      <c r="B5" s="516"/>
      <c r="C5" s="3993" t="s">
        <v>2931</v>
      </c>
      <c r="D5" s="3977"/>
      <c r="E5" s="4001" t="s">
        <v>2932</v>
      </c>
      <c r="F5" s="3984"/>
      <c r="G5" s="3993" t="s">
        <v>2933</v>
      </c>
      <c r="H5" s="3977"/>
      <c r="I5" s="3993" t="s">
        <v>2934</v>
      </c>
      <c r="J5" s="3977"/>
      <c r="K5" s="514"/>
      <c r="L5" s="2133"/>
      <c r="M5" s="2134"/>
      <c r="N5" s="2134"/>
      <c r="O5" s="2134"/>
      <c r="P5" s="3963"/>
      <c r="Q5" s="3964"/>
      <c r="R5" s="3969"/>
      <c r="S5" s="3970"/>
      <c r="T5" s="3969"/>
      <c r="U5" s="3970"/>
      <c r="V5" s="3973"/>
      <c r="W5" s="3973"/>
      <c r="X5" s="1567"/>
      <c r="Y5" s="3969"/>
      <c r="Z5" s="3970"/>
      <c r="AA5" s="3955"/>
      <c r="AB5" s="3955"/>
      <c r="AC5" s="3955"/>
    </row>
    <row r="6" spans="1:29" ht="15.75" thickBot="1">
      <c r="A6" s="517"/>
      <c r="B6" s="518"/>
      <c r="C6" s="3974" t="s">
        <v>2935</v>
      </c>
      <c r="D6" s="3975"/>
      <c r="E6" s="3981" t="s">
        <v>2935</v>
      </c>
      <c r="F6" s="3982"/>
      <c r="G6" s="3974" t="s">
        <v>2935</v>
      </c>
      <c r="H6" s="3975"/>
      <c r="I6" s="3974" t="s">
        <v>2935</v>
      </c>
      <c r="J6" s="3975"/>
      <c r="K6" s="514" t="s">
        <v>528</v>
      </c>
      <c r="L6" s="2133"/>
      <c r="M6" s="2134"/>
      <c r="N6" s="2134"/>
      <c r="O6" s="2134"/>
      <c r="P6" s="3965"/>
      <c r="Q6" s="3966"/>
      <c r="R6" s="3969"/>
      <c r="S6" s="3970"/>
      <c r="T6" s="3971"/>
      <c r="U6" s="3972"/>
      <c r="V6" s="3973"/>
      <c r="W6" s="3973"/>
      <c r="X6" s="1567"/>
      <c r="Y6" s="3971"/>
      <c r="Z6" s="3972"/>
      <c r="AA6" s="3956"/>
      <c r="AB6" s="3956"/>
      <c r="AC6" s="3956"/>
    </row>
    <row r="7" spans="1:29" s="1220" customFormat="1" ht="15.75" thickBot="1">
      <c r="A7" s="2890"/>
      <c r="B7" s="2897" t="s">
        <v>529</v>
      </c>
      <c r="C7" s="519">
        <f>'数据-取费表'!B2</f>
        <v>43552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978" t="s">
        <v>530</v>
      </c>
      <c r="Q7" s="3980"/>
      <c r="R7" s="1568" t="s">
        <v>8</v>
      </c>
      <c r="S7" s="1569">
        <f t="shared" ref="S7:S15" si="0">F7</f>
        <v>0</v>
      </c>
      <c r="T7" s="1568" t="s">
        <v>8</v>
      </c>
      <c r="U7" s="1569">
        <f t="shared" ref="U7:U15" si="1">H7</f>
        <v>0</v>
      </c>
      <c r="V7" s="1568" t="s">
        <v>8</v>
      </c>
      <c r="W7" s="1569">
        <f t="shared" ref="W7:W15" si="2">J7</f>
        <v>0</v>
      </c>
      <c r="X7" s="1570"/>
      <c r="Y7" s="3978" t="s">
        <v>530</v>
      </c>
      <c r="Z7" s="3979"/>
      <c r="AA7" s="1571" t="e">
        <f>D7/F7</f>
        <v>#DIV/0!</v>
      </c>
      <c r="AB7" s="1571" t="e">
        <f>D7/H7</f>
        <v>#DIV/0!</v>
      </c>
      <c r="AC7" s="1571"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978" t="s">
        <v>533</v>
      </c>
      <c r="Q8" s="3979"/>
      <c r="R8" s="1568" t="s">
        <v>8</v>
      </c>
      <c r="S8" s="1569">
        <f t="shared" si="0"/>
        <v>0</v>
      </c>
      <c r="T8" s="1568" t="s">
        <v>8</v>
      </c>
      <c r="U8" s="1569">
        <f t="shared" si="1"/>
        <v>0</v>
      </c>
      <c r="V8" s="1568" t="s">
        <v>8</v>
      </c>
      <c r="W8" s="1569">
        <f t="shared" si="2"/>
        <v>0</v>
      </c>
      <c r="X8" s="1570"/>
      <c r="Y8" s="3978" t="s">
        <v>533</v>
      </c>
      <c r="Z8" s="3979"/>
      <c r="AA8" s="1571" t="e">
        <f t="shared" ref="AA8:AA40" si="3">D8/F8</f>
        <v>#DIV/0!</v>
      </c>
      <c r="AB8" s="1571" t="e">
        <f t="shared" ref="AB8:AB40" si="4">D8/H8</f>
        <v>#DIV/0!</v>
      </c>
      <c r="AC8" s="1571"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944" t="s">
        <v>535</v>
      </c>
      <c r="Q9" s="1151" t="str">
        <f t="shared" ref="Q9:Q15" si="6">B9</f>
        <v>用途</v>
      </c>
      <c r="R9" s="1568" t="s">
        <v>8</v>
      </c>
      <c r="S9" s="1569">
        <f t="shared" si="0"/>
        <v>100</v>
      </c>
      <c r="T9" s="1568" t="s">
        <v>8</v>
      </c>
      <c r="U9" s="1569">
        <f t="shared" si="1"/>
        <v>100</v>
      </c>
      <c r="V9" s="1568" t="s">
        <v>8</v>
      </c>
      <c r="W9" s="1569">
        <f t="shared" si="2"/>
        <v>100</v>
      </c>
      <c r="X9" s="1570"/>
      <c r="Y9" s="3798"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944"/>
      <c r="Q10" s="1151" t="str">
        <f t="shared" si="6"/>
        <v>土地使用年限（年）</v>
      </c>
      <c r="R10" s="1568" t="s">
        <v>8</v>
      </c>
      <c r="S10" s="1569">
        <f t="shared" si="0"/>
        <v>100</v>
      </c>
      <c r="T10" s="1568" t="s">
        <v>8</v>
      </c>
      <c r="U10" s="1569">
        <f t="shared" si="1"/>
        <v>100</v>
      </c>
      <c r="V10" s="1568" t="s">
        <v>8</v>
      </c>
      <c r="W10" s="1569">
        <f t="shared" si="2"/>
        <v>100</v>
      </c>
      <c r="X10" s="1570"/>
      <c r="Y10" s="3798"/>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944"/>
      <c r="Q11" s="1151" t="str">
        <f t="shared" si="6"/>
        <v>容积率</v>
      </c>
      <c r="R11" s="1568" t="s">
        <v>8</v>
      </c>
      <c r="S11" s="1569" t="e">
        <f t="shared" si="0"/>
        <v>#N/A</v>
      </c>
      <c r="T11" s="1568" t="s">
        <v>8</v>
      </c>
      <c r="U11" s="1569" t="e">
        <f t="shared" si="1"/>
        <v>#N/A</v>
      </c>
      <c r="V11" s="1568" t="s">
        <v>8</v>
      </c>
      <c r="W11" s="1569" t="e">
        <f t="shared" si="2"/>
        <v>#N/A</v>
      </c>
      <c r="X11" s="1570"/>
      <c r="Y11" s="3798"/>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944"/>
      <c r="Q12" s="1151">
        <f t="shared" si="6"/>
        <v>111</v>
      </c>
      <c r="R12" s="1568" t="s">
        <v>8</v>
      </c>
      <c r="S12" s="1569">
        <f t="shared" si="0"/>
        <v>100</v>
      </c>
      <c r="T12" s="1568" t="s">
        <v>8</v>
      </c>
      <c r="U12" s="1569">
        <f t="shared" si="1"/>
        <v>100</v>
      </c>
      <c r="V12" s="1568" t="s">
        <v>8</v>
      </c>
      <c r="W12" s="1569">
        <f t="shared" si="2"/>
        <v>100</v>
      </c>
      <c r="X12" s="1570"/>
      <c r="Y12" s="3798"/>
      <c r="Z12" s="1150">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944"/>
      <c r="Q13" s="1151">
        <f t="shared" si="6"/>
        <v>111</v>
      </c>
      <c r="R13" s="1568" t="s">
        <v>8</v>
      </c>
      <c r="S13" s="1569">
        <f t="shared" si="0"/>
        <v>100</v>
      </c>
      <c r="T13" s="1568" t="s">
        <v>8</v>
      </c>
      <c r="U13" s="1569">
        <f t="shared" si="1"/>
        <v>100</v>
      </c>
      <c r="V13" s="1568" t="s">
        <v>8</v>
      </c>
      <c r="W13" s="1569">
        <f t="shared" si="2"/>
        <v>100</v>
      </c>
      <c r="X13" s="1570"/>
      <c r="Y13" s="3798"/>
      <c r="Z13" s="1150">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944"/>
      <c r="Q14" s="1151">
        <f t="shared" si="6"/>
        <v>111</v>
      </c>
      <c r="R14" s="1568" t="s">
        <v>8</v>
      </c>
      <c r="S14" s="1569">
        <f t="shared" si="0"/>
        <v>100</v>
      </c>
      <c r="T14" s="1568" t="s">
        <v>8</v>
      </c>
      <c r="U14" s="1569">
        <f t="shared" si="1"/>
        <v>100</v>
      </c>
      <c r="V14" s="1568" t="s">
        <v>8</v>
      </c>
      <c r="W14" s="1569">
        <f t="shared" si="2"/>
        <v>100</v>
      </c>
      <c r="X14" s="1570"/>
      <c r="Y14" s="3798"/>
      <c r="Z14" s="1150">
        <f t="shared" si="7"/>
        <v>111</v>
      </c>
      <c r="AA14" s="1571">
        <f t="shared" si="3"/>
        <v>1</v>
      </c>
      <c r="AB14" s="1571">
        <f t="shared" si="4"/>
        <v>1</v>
      </c>
      <c r="AC14" s="1571">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949" t="s">
        <v>540</v>
      </c>
      <c r="Q15" s="1572" t="str">
        <f t="shared" si="6"/>
        <v>产业集聚程度</v>
      </c>
      <c r="R15" s="1573" t="s">
        <v>8</v>
      </c>
      <c r="S15" s="1574">
        <f t="shared" si="0"/>
        <v>100</v>
      </c>
      <c r="T15" s="1573" t="s">
        <v>8</v>
      </c>
      <c r="U15" s="1574">
        <f t="shared" si="1"/>
        <v>100</v>
      </c>
      <c r="V15" s="1573" t="s">
        <v>8</v>
      </c>
      <c r="W15" s="1574">
        <f t="shared" si="2"/>
        <v>100</v>
      </c>
      <c r="X15" s="1567"/>
      <c r="Y15" s="394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950"/>
      <c r="Q16" s="1572"/>
      <c r="R16" s="1573"/>
      <c r="S16" s="1574"/>
      <c r="T16" s="1573"/>
      <c r="U16" s="1574"/>
      <c r="V16" s="1573"/>
      <c r="W16" s="1574"/>
      <c r="X16" s="1567"/>
      <c r="Y16" s="395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950"/>
      <c r="Q17" s="1572" t="str">
        <f>B17</f>
        <v>交通便捷度</v>
      </c>
      <c r="R17" s="1573" t="s">
        <v>8</v>
      </c>
      <c r="S17" s="1574">
        <f>F17</f>
        <v>100</v>
      </c>
      <c r="T17" s="1573" t="s">
        <v>8</v>
      </c>
      <c r="U17" s="1574">
        <f>H17</f>
        <v>100</v>
      </c>
      <c r="V17" s="1573" t="s">
        <v>8</v>
      </c>
      <c r="W17" s="1574">
        <f>J17</f>
        <v>100</v>
      </c>
      <c r="X17" s="1567"/>
      <c r="Y17" s="395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950"/>
      <c r="Q18" s="1572"/>
      <c r="R18" s="1573"/>
      <c r="S18" s="1574"/>
      <c r="T18" s="1573"/>
      <c r="U18" s="1574"/>
      <c r="V18" s="1573"/>
      <c r="W18" s="1574"/>
      <c r="X18" s="1567"/>
      <c r="Y18" s="3950"/>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950"/>
      <c r="Q19" s="1572" t="str">
        <f>B19</f>
        <v>公共配套设施</v>
      </c>
      <c r="R19" s="1573" t="s">
        <v>8</v>
      </c>
      <c r="S19" s="1574">
        <f>F19</f>
        <v>100</v>
      </c>
      <c r="T19" s="1573" t="s">
        <v>8</v>
      </c>
      <c r="U19" s="1574">
        <f>H19</f>
        <v>100</v>
      </c>
      <c r="V19" s="1573" t="s">
        <v>8</v>
      </c>
      <c r="W19" s="1574">
        <f>J19</f>
        <v>100</v>
      </c>
      <c r="X19" s="1567"/>
      <c r="Y19" s="395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950"/>
      <c r="Q20" s="1572"/>
      <c r="R20" s="1573"/>
      <c r="S20" s="1574"/>
      <c r="T20" s="1573"/>
      <c r="U20" s="1574"/>
      <c r="V20" s="1573"/>
      <c r="W20" s="1574"/>
      <c r="X20" s="1567"/>
      <c r="Y20" s="3950"/>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950"/>
      <c r="Q21" s="2558" t="str">
        <f>B21</f>
        <v>基础设施水平</v>
      </c>
      <c r="R21" s="1573" t="s">
        <v>8</v>
      </c>
      <c r="S21" s="1574">
        <f>F21</f>
        <v>100</v>
      </c>
      <c r="T21" s="1573" t="s">
        <v>8</v>
      </c>
      <c r="U21" s="1574">
        <f>H21</f>
        <v>100</v>
      </c>
      <c r="V21" s="1573" t="s">
        <v>8</v>
      </c>
      <c r="W21" s="1574">
        <f>J21</f>
        <v>100</v>
      </c>
      <c r="X21" s="2560"/>
      <c r="Y21" s="3950"/>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950"/>
      <c r="Q22" s="2558"/>
      <c r="R22" s="1573"/>
      <c r="S22" s="1574"/>
      <c r="T22" s="1573"/>
      <c r="U22" s="1574"/>
      <c r="V22" s="1573"/>
      <c r="W22" s="1574"/>
      <c r="X22" s="2560"/>
      <c r="Y22" s="3950"/>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950"/>
      <c r="Q23" s="1572" t="str">
        <f>B23</f>
        <v>环境质量</v>
      </c>
      <c r="R23" s="1573" t="s">
        <v>8</v>
      </c>
      <c r="S23" s="1574">
        <f>F23</f>
        <v>100</v>
      </c>
      <c r="T23" s="1573" t="s">
        <v>8</v>
      </c>
      <c r="U23" s="1574">
        <f>H23</f>
        <v>100</v>
      </c>
      <c r="V23" s="1573" t="s">
        <v>8</v>
      </c>
      <c r="W23" s="1574">
        <f>J23</f>
        <v>100</v>
      </c>
      <c r="X23" s="1567"/>
      <c r="Y23" s="395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950"/>
      <c r="Q24" s="1572"/>
      <c r="R24" s="1573"/>
      <c r="S24" s="1574"/>
      <c r="T24" s="1573"/>
      <c r="U24" s="1574"/>
      <c r="V24" s="1573"/>
      <c r="W24" s="1574"/>
      <c r="X24" s="1567"/>
      <c r="Y24" s="395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950"/>
      <c r="Q25" s="1572">
        <f>B25</f>
        <v>111</v>
      </c>
      <c r="R25" s="1573" t="s">
        <v>8</v>
      </c>
      <c r="S25" s="1574">
        <f>F25</f>
        <v>100</v>
      </c>
      <c r="T25" s="1573" t="s">
        <v>8</v>
      </c>
      <c r="U25" s="1574">
        <f>H25</f>
        <v>100</v>
      </c>
      <c r="V25" s="1573" t="s">
        <v>8</v>
      </c>
      <c r="W25" s="1574">
        <f>J25</f>
        <v>100</v>
      </c>
      <c r="X25" s="1567"/>
      <c r="Y25" s="395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950"/>
      <c r="Q26" s="1572">
        <f t="shared" ref="Q26:Q40" si="11">B26</f>
        <v>111</v>
      </c>
      <c r="R26" s="1573" t="s">
        <v>8</v>
      </c>
      <c r="S26" s="1574">
        <f>F26</f>
        <v>100</v>
      </c>
      <c r="T26" s="1573" t="s">
        <v>8</v>
      </c>
      <c r="U26" s="1574">
        <f>H26</f>
        <v>100</v>
      </c>
      <c r="V26" s="1573" t="s">
        <v>8</v>
      </c>
      <c r="W26" s="1574">
        <f>J26</f>
        <v>100</v>
      </c>
      <c r="X26" s="1567"/>
      <c r="Y26" s="395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950"/>
      <c r="Q27" s="1151">
        <f t="shared" si="11"/>
        <v>111</v>
      </c>
      <c r="R27" s="1568" t="s">
        <v>8</v>
      </c>
      <c r="S27" s="1569">
        <f>F27</f>
        <v>100</v>
      </c>
      <c r="T27" s="1568" t="s">
        <v>8</v>
      </c>
      <c r="U27" s="1569">
        <f>H27</f>
        <v>100</v>
      </c>
      <c r="V27" s="1568" t="s">
        <v>8</v>
      </c>
      <c r="W27" s="1569">
        <f>J27</f>
        <v>100</v>
      </c>
      <c r="X27" s="1570"/>
      <c r="Y27" s="395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950"/>
      <c r="Q28" s="1572">
        <f t="shared" si="11"/>
        <v>111</v>
      </c>
      <c r="R28" s="1573" t="s">
        <v>8</v>
      </c>
      <c r="S28" s="1574">
        <f t="shared" ref="S28:S40" si="12">F28</f>
        <v>100</v>
      </c>
      <c r="T28" s="1573" t="s">
        <v>8</v>
      </c>
      <c r="U28" s="1574">
        <f t="shared" ref="U28:U40" si="13">H28</f>
        <v>100</v>
      </c>
      <c r="V28" s="1573" t="s">
        <v>8</v>
      </c>
      <c r="W28" s="1574">
        <f t="shared" ref="W28:W40" si="14">J28</f>
        <v>100</v>
      </c>
      <c r="X28" s="1567"/>
      <c r="Y28" s="3950"/>
      <c r="Z28" s="1575">
        <f t="shared" ref="Z28:Z40" si="15">Q28</f>
        <v>111</v>
      </c>
      <c r="AA28" s="1576">
        <f t="shared" si="3"/>
        <v>1</v>
      </c>
      <c r="AB28" s="1576">
        <f t="shared" si="4"/>
        <v>1</v>
      </c>
      <c r="AC28" s="1576">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951" t="s">
        <v>550</v>
      </c>
      <c r="Q29" s="1572" t="str">
        <f t="shared" si="11"/>
        <v>建筑类型</v>
      </c>
      <c r="R29" s="1573" t="s">
        <v>8</v>
      </c>
      <c r="S29" s="1574">
        <f t="shared" si="12"/>
        <v>100</v>
      </c>
      <c r="T29" s="1573" t="s">
        <v>8</v>
      </c>
      <c r="U29" s="1574">
        <f t="shared" si="13"/>
        <v>100</v>
      </c>
      <c r="V29" s="1573" t="s">
        <v>8</v>
      </c>
      <c r="W29" s="1574">
        <f t="shared" si="14"/>
        <v>100</v>
      </c>
      <c r="X29" s="1567"/>
      <c r="Y29" s="395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952"/>
      <c r="Q30" s="1605" t="str">
        <f t="shared" si="11"/>
        <v>项目建筑规模</v>
      </c>
      <c r="R30" s="1577" t="s">
        <v>8</v>
      </c>
      <c r="S30" s="1578" t="e">
        <f t="shared" si="12"/>
        <v>#N/A</v>
      </c>
      <c r="T30" s="1577" t="s">
        <v>8</v>
      </c>
      <c r="U30" s="1578" t="e">
        <f t="shared" si="13"/>
        <v>#N/A</v>
      </c>
      <c r="V30" s="1577" t="s">
        <v>8</v>
      </c>
      <c r="W30" s="1578" t="e">
        <f t="shared" si="14"/>
        <v>#N/A</v>
      </c>
      <c r="X30" s="1579"/>
      <c r="Y30" s="395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952"/>
      <c r="Q31" s="1572" t="str">
        <f t="shared" si="11"/>
        <v>建筑结构</v>
      </c>
      <c r="R31" s="1573" t="s">
        <v>8</v>
      </c>
      <c r="S31" s="1574">
        <f t="shared" si="12"/>
        <v>100</v>
      </c>
      <c r="T31" s="1573" t="s">
        <v>8</v>
      </c>
      <c r="U31" s="1574">
        <f t="shared" si="13"/>
        <v>100</v>
      </c>
      <c r="V31" s="1573" t="s">
        <v>8</v>
      </c>
      <c r="W31" s="1574">
        <f t="shared" si="14"/>
        <v>100</v>
      </c>
      <c r="X31" s="1567"/>
      <c r="Y31" s="395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952"/>
      <c r="Q32" s="1572" t="str">
        <f t="shared" si="11"/>
        <v>公共部分装修</v>
      </c>
      <c r="R32" s="1573" t="s">
        <v>8</v>
      </c>
      <c r="S32" s="1574">
        <f t="shared" si="12"/>
        <v>100</v>
      </c>
      <c r="T32" s="1573" t="s">
        <v>8</v>
      </c>
      <c r="U32" s="1574">
        <f t="shared" si="13"/>
        <v>100</v>
      </c>
      <c r="V32" s="1573" t="s">
        <v>8</v>
      </c>
      <c r="W32" s="1574">
        <f t="shared" si="14"/>
        <v>100</v>
      </c>
      <c r="X32" s="1567"/>
      <c r="Y32" s="395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952"/>
      <c r="Q33" s="1572" t="str">
        <f t="shared" si="11"/>
        <v>成新度</v>
      </c>
      <c r="R33" s="1573" t="s">
        <v>8</v>
      </c>
      <c r="S33" s="1574" t="e">
        <f t="shared" si="12"/>
        <v>#N/A</v>
      </c>
      <c r="T33" s="1573" t="s">
        <v>8</v>
      </c>
      <c r="U33" s="1574" t="e">
        <f t="shared" si="13"/>
        <v>#N/A</v>
      </c>
      <c r="V33" s="1573" t="s">
        <v>8</v>
      </c>
      <c r="W33" s="1574" t="e">
        <f t="shared" si="14"/>
        <v>#N/A</v>
      </c>
      <c r="X33" s="1567"/>
      <c r="Y33" s="395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952"/>
      <c r="Q34" s="1151" t="str">
        <f t="shared" si="11"/>
        <v>物业管理</v>
      </c>
      <c r="R34" s="1568" t="s">
        <v>8</v>
      </c>
      <c r="S34" s="1569">
        <f t="shared" si="12"/>
        <v>100</v>
      </c>
      <c r="T34" s="1568" t="s">
        <v>8</v>
      </c>
      <c r="U34" s="1569">
        <f t="shared" si="13"/>
        <v>100</v>
      </c>
      <c r="V34" s="1568" t="s">
        <v>8</v>
      </c>
      <c r="W34" s="1569">
        <f t="shared" si="14"/>
        <v>100</v>
      </c>
      <c r="X34" s="1570"/>
      <c r="Y34" s="3952"/>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952" t="s">
        <v>550</v>
      </c>
      <c r="Q35" s="1572" t="str">
        <f t="shared" si="11"/>
        <v>市政基础设施</v>
      </c>
      <c r="R35" s="1573" t="s">
        <v>8</v>
      </c>
      <c r="S35" s="1574">
        <f t="shared" si="12"/>
        <v>100</v>
      </c>
      <c r="T35" s="1573" t="s">
        <v>8</v>
      </c>
      <c r="U35" s="1574">
        <f t="shared" si="13"/>
        <v>100</v>
      </c>
      <c r="V35" s="1573" t="s">
        <v>8</v>
      </c>
      <c r="W35" s="1574">
        <f t="shared" si="14"/>
        <v>100</v>
      </c>
      <c r="X35" s="1567"/>
      <c r="Y35" s="395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952"/>
      <c r="Q36" s="1572" t="str">
        <f t="shared" si="11"/>
        <v>内部装修</v>
      </c>
      <c r="R36" s="1573" t="s">
        <v>8</v>
      </c>
      <c r="S36" s="1574">
        <f t="shared" si="12"/>
        <v>100</v>
      </c>
      <c r="T36" s="1573" t="s">
        <v>8</v>
      </c>
      <c r="U36" s="1574">
        <f t="shared" si="13"/>
        <v>100</v>
      </c>
      <c r="V36" s="1573" t="s">
        <v>8</v>
      </c>
      <c r="W36" s="1574">
        <f t="shared" si="14"/>
        <v>100</v>
      </c>
      <c r="X36" s="1567"/>
      <c r="Y36" s="395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952"/>
      <c r="Q37" s="1572" t="str">
        <f t="shared" si="11"/>
        <v>内部装修状况</v>
      </c>
      <c r="R37" s="1573" t="s">
        <v>8</v>
      </c>
      <c r="S37" s="1574">
        <f t="shared" si="12"/>
        <v>100</v>
      </c>
      <c r="T37" s="1573" t="s">
        <v>8</v>
      </c>
      <c r="U37" s="1574">
        <f t="shared" si="13"/>
        <v>100</v>
      </c>
      <c r="V37" s="1573" t="s">
        <v>8</v>
      </c>
      <c r="W37" s="1574">
        <f t="shared" si="14"/>
        <v>100</v>
      </c>
      <c r="X37" s="1567"/>
      <c r="Y37" s="395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952"/>
      <c r="Q38" s="1605">
        <f t="shared" si="11"/>
        <v>111</v>
      </c>
      <c r="R38" s="1577" t="s">
        <v>8</v>
      </c>
      <c r="S38" s="1578">
        <f t="shared" si="12"/>
        <v>100</v>
      </c>
      <c r="T38" s="1577" t="s">
        <v>8</v>
      </c>
      <c r="U38" s="1578">
        <f t="shared" si="13"/>
        <v>100</v>
      </c>
      <c r="V38" s="1577" t="s">
        <v>8</v>
      </c>
      <c r="W38" s="1578">
        <f t="shared" si="14"/>
        <v>100</v>
      </c>
      <c r="X38" s="1579"/>
      <c r="Y38" s="395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952"/>
      <c r="Q39" s="1572">
        <f t="shared" si="11"/>
        <v>111</v>
      </c>
      <c r="R39" s="1573" t="s">
        <v>8</v>
      </c>
      <c r="S39" s="1574">
        <f t="shared" si="12"/>
        <v>100</v>
      </c>
      <c r="T39" s="1573" t="s">
        <v>8</v>
      </c>
      <c r="U39" s="1574">
        <f t="shared" si="13"/>
        <v>100</v>
      </c>
      <c r="V39" s="1573" t="s">
        <v>8</v>
      </c>
      <c r="W39" s="1574">
        <f t="shared" si="14"/>
        <v>100</v>
      </c>
      <c r="X39" s="1567"/>
      <c r="Y39" s="395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53"/>
      <c r="Q40" s="1572">
        <f t="shared" si="11"/>
        <v>111</v>
      </c>
      <c r="R40" s="1573" t="s">
        <v>8</v>
      </c>
      <c r="S40" s="1574">
        <f t="shared" si="12"/>
        <v>100</v>
      </c>
      <c r="T40" s="1573" t="s">
        <v>8</v>
      </c>
      <c r="U40" s="1574">
        <f t="shared" si="13"/>
        <v>100</v>
      </c>
      <c r="V40" s="1573" t="s">
        <v>8</v>
      </c>
      <c r="W40" s="1574">
        <f t="shared" si="14"/>
        <v>100</v>
      </c>
      <c r="X40" s="1567"/>
      <c r="Y40" s="3953"/>
      <c r="Z40" s="1575">
        <f t="shared" si="15"/>
        <v>111</v>
      </c>
      <c r="AA40" s="1576">
        <f t="shared" si="3"/>
        <v>1</v>
      </c>
      <c r="AB40" s="1576">
        <f t="shared" si="4"/>
        <v>1</v>
      </c>
      <c r="AC40" s="1576">
        <f t="shared" si="5"/>
        <v>1</v>
      </c>
    </row>
    <row r="41" spans="1:29" ht="15">
      <c r="A41" s="607" t="s">
        <v>736</v>
      </c>
      <c r="B41" s="887"/>
      <c r="C41" s="2606" t="s">
        <v>1</v>
      </c>
      <c r="D41" s="2607"/>
      <c r="E41" s="2608"/>
      <c r="F41" s="2609"/>
      <c r="G41" s="2610"/>
      <c r="H41" s="2611"/>
      <c r="I41" s="2608"/>
      <c r="J41" s="2611"/>
      <c r="K41" s="1611"/>
      <c r="L41" s="2144"/>
      <c r="M41" s="2145"/>
      <c r="N41" s="2134"/>
      <c r="O41" s="2145"/>
      <c r="P41" s="3944" t="str">
        <f>A41</f>
        <v>成交单价（元/平方米）</v>
      </c>
      <c r="Q41" s="3944"/>
      <c r="R41" s="3945">
        <f>E41</f>
        <v>0</v>
      </c>
      <c r="S41" s="3945"/>
      <c r="T41" s="3945">
        <f>G41</f>
        <v>0</v>
      </c>
      <c r="U41" s="3945"/>
      <c r="V41" s="3945">
        <f>I41</f>
        <v>0</v>
      </c>
      <c r="W41" s="3945"/>
      <c r="X41" s="1559"/>
      <c r="Y41" s="1581"/>
      <c r="Z41" s="1559"/>
      <c r="AA41" s="1559"/>
      <c r="AB41" s="1559"/>
      <c r="AC41" s="1559"/>
    </row>
    <row r="42" spans="1:29" ht="15.75" thickBot="1">
      <c r="A42" s="615" t="s">
        <v>2761</v>
      </c>
      <c r="B42" s="888"/>
      <c r="C42" s="2612" t="e">
        <f>R43</f>
        <v>#DIV/0!</v>
      </c>
      <c r="D42" s="2613"/>
      <c r="E42" s="2614" t="e">
        <f>R42</f>
        <v>#DIV/0!</v>
      </c>
      <c r="F42" s="2614"/>
      <c r="G42" s="2612" t="e">
        <f>T42</f>
        <v>#DIV/0!</v>
      </c>
      <c r="H42" s="2613"/>
      <c r="I42" s="2614" t="e">
        <f>V42</f>
        <v>#DIV/0!</v>
      </c>
      <c r="J42" s="2613"/>
      <c r="K42" s="1612"/>
      <c r="L42" s="2144"/>
      <c r="M42" s="2145"/>
      <c r="N42" s="2134"/>
      <c r="O42" s="2145"/>
      <c r="P42" s="3944" t="str">
        <f>A42</f>
        <v>比较价格（元/平方米）</v>
      </c>
      <c r="Q42" s="3944"/>
      <c r="R42" s="3945" t="e">
        <f>IF(F1="售价",ROUND(PRODUCT(R41,AA7:AA40),0),ROUND(PRODUCT(R41,AA7:AA40),1))</f>
        <v>#DIV/0!</v>
      </c>
      <c r="S42" s="3945"/>
      <c r="T42" s="3945" t="e">
        <f>IF(F1="售价",ROUND(PRODUCT(T41,AB7:AB40),0),ROUND(PRODUCT(T41,AB7:AB40),1))</f>
        <v>#DIV/0!</v>
      </c>
      <c r="U42" s="3945"/>
      <c r="V42" s="3945" t="e">
        <f>IF(F1="售价",ROUND(PRODUCT(V41,AC7:AC40),0),ROUND(PRODUCT(V41,AC7:AC40),1))</f>
        <v>#DIV/0!</v>
      </c>
      <c r="W42" s="3945"/>
      <c r="X42" s="1559"/>
      <c r="Y42" s="1559"/>
      <c r="Z42" s="1559"/>
      <c r="AA42" s="1559"/>
      <c r="AB42" s="1559"/>
      <c r="AC42" s="1559"/>
    </row>
    <row r="43" spans="1:29" ht="15.75" thickBot="1">
      <c r="A43" s="621" t="s">
        <v>2937</v>
      </c>
      <c r="B43" s="622"/>
      <c r="C43" s="2615" t="e">
        <f>R43</f>
        <v>#DIV/0!</v>
      </c>
      <c r="D43" s="2615"/>
      <c r="E43" s="2615"/>
      <c r="F43" s="2615"/>
      <c r="G43" s="2615"/>
      <c r="H43" s="2615"/>
      <c r="I43" s="2615"/>
      <c r="J43" s="2615"/>
      <c r="K43" s="1613"/>
      <c r="L43" s="2144"/>
      <c r="M43" s="2145"/>
      <c r="N43" s="2145"/>
      <c r="O43" s="2145"/>
      <c r="P43" s="3946" t="str">
        <f>A43</f>
        <v>估价对象XX用房的比较价格（楼面单价，元/平方米）</v>
      </c>
      <c r="Q43" s="3947"/>
      <c r="R43" s="3948" t="e">
        <f>IF(F1="售价",ROUND(AVERAGE(R42:V42),0),ROUND(AVERAGE(R42:V42),1))</f>
        <v>#DIV/0!</v>
      </c>
      <c r="S43" s="3948"/>
      <c r="T43" s="3948"/>
      <c r="U43" s="3948"/>
      <c r="V43" s="3948"/>
      <c r="W43" s="394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957" t="s">
        <v>798</v>
      </c>
      <c r="D4" s="3958"/>
      <c r="E4" s="3957" t="s">
        <v>799</v>
      </c>
      <c r="F4" s="3958"/>
      <c r="G4" s="3957" t="s">
        <v>800</v>
      </c>
      <c r="H4" s="3958"/>
      <c r="I4" s="3957" t="s">
        <v>801</v>
      </c>
      <c r="J4" s="3958"/>
      <c r="K4" s="514" t="s">
        <v>802</v>
      </c>
      <c r="L4" s="2133"/>
      <c r="M4" s="2134"/>
      <c r="N4" s="2134"/>
      <c r="O4" s="2134"/>
      <c r="P4" s="3961" t="s">
        <v>803</v>
      </c>
      <c r="Q4" s="3962"/>
      <c r="R4" s="3967" t="s">
        <v>799</v>
      </c>
      <c r="S4" s="3968"/>
      <c r="T4" s="3967" t="s">
        <v>800</v>
      </c>
      <c r="U4" s="3968"/>
      <c r="V4" s="3973" t="s">
        <v>801</v>
      </c>
      <c r="W4" s="3973"/>
      <c r="X4" s="1567"/>
      <c r="Y4" s="3967" t="s">
        <v>803</v>
      </c>
      <c r="Z4" s="3968"/>
      <c r="AA4" s="3954" t="s">
        <v>799</v>
      </c>
      <c r="AB4" s="3955" t="s">
        <v>800</v>
      </c>
      <c r="AC4" s="3954" t="s">
        <v>801</v>
      </c>
    </row>
    <row r="5" spans="1:29" ht="15">
      <c r="A5" s="515"/>
      <c r="B5" s="516"/>
      <c r="C5" s="3993" t="s">
        <v>2931</v>
      </c>
      <c r="D5" s="3977"/>
      <c r="E5" s="3993" t="s">
        <v>2932</v>
      </c>
      <c r="F5" s="3977"/>
      <c r="G5" s="3993" t="s">
        <v>2933</v>
      </c>
      <c r="H5" s="3977"/>
      <c r="I5" s="3993" t="s">
        <v>2934</v>
      </c>
      <c r="J5" s="3977"/>
      <c r="K5" s="514"/>
      <c r="L5" s="2133"/>
      <c r="M5" s="2134"/>
      <c r="N5" s="2134"/>
      <c r="O5" s="2134"/>
      <c r="P5" s="3963"/>
      <c r="Q5" s="3964"/>
      <c r="R5" s="3969"/>
      <c r="S5" s="3970"/>
      <c r="T5" s="3969"/>
      <c r="U5" s="3970"/>
      <c r="V5" s="3973"/>
      <c r="W5" s="3973"/>
      <c r="X5" s="1567"/>
      <c r="Y5" s="3969"/>
      <c r="Z5" s="3970"/>
      <c r="AA5" s="3955"/>
      <c r="AB5" s="3955"/>
      <c r="AC5" s="3955"/>
    </row>
    <row r="6" spans="1:29" ht="15.75" thickBot="1">
      <c r="A6" s="517"/>
      <c r="B6" s="518"/>
      <c r="C6" s="3974" t="s">
        <v>2935</v>
      </c>
      <c r="D6" s="3975"/>
      <c r="E6" s="3994" t="s">
        <v>2935</v>
      </c>
      <c r="F6" s="3995"/>
      <c r="G6" s="3974" t="s">
        <v>2935</v>
      </c>
      <c r="H6" s="3975"/>
      <c r="I6" s="3974" t="s">
        <v>2935</v>
      </c>
      <c r="J6" s="3975"/>
      <c r="K6" s="514" t="s">
        <v>528</v>
      </c>
      <c r="L6" s="2133"/>
      <c r="M6" s="2134"/>
      <c r="N6" s="2134"/>
      <c r="O6" s="2134"/>
      <c r="P6" s="3965"/>
      <c r="Q6" s="3966"/>
      <c r="R6" s="3969"/>
      <c r="S6" s="3970"/>
      <c r="T6" s="3971"/>
      <c r="U6" s="3972"/>
      <c r="V6" s="3973"/>
      <c r="W6" s="3973"/>
      <c r="X6" s="1567"/>
      <c r="Y6" s="3971"/>
      <c r="Z6" s="3972"/>
      <c r="AA6" s="3956"/>
      <c r="AB6" s="3956"/>
      <c r="AC6" s="3956"/>
    </row>
    <row r="7" spans="1:29" s="1220" customFormat="1" ht="15.75" thickBot="1">
      <c r="A7" s="2890"/>
      <c r="B7" s="2897" t="s">
        <v>529</v>
      </c>
      <c r="C7" s="519">
        <f>'数据-取费表'!B2</f>
        <v>43552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978" t="s">
        <v>530</v>
      </c>
      <c r="Q7" s="3980"/>
      <c r="R7" s="1568" t="s">
        <v>8</v>
      </c>
      <c r="S7" s="1569">
        <f t="shared" ref="S7:S14" si="0">F7</f>
        <v>0</v>
      </c>
      <c r="T7" s="1568" t="s">
        <v>8</v>
      </c>
      <c r="U7" s="1569">
        <f t="shared" ref="U7:U14" si="1">H7</f>
        <v>0</v>
      </c>
      <c r="V7" s="1568" t="s">
        <v>8</v>
      </c>
      <c r="W7" s="1569">
        <f t="shared" ref="W7:W14" si="2">J7</f>
        <v>0</v>
      </c>
      <c r="X7" s="1570"/>
      <c r="Y7" s="3978" t="s">
        <v>530</v>
      </c>
      <c r="Z7" s="3979"/>
      <c r="AA7" s="1571" t="e">
        <f>D7/F7</f>
        <v>#DIV/0!</v>
      </c>
      <c r="AB7" s="1571" t="e">
        <f>D7/H7</f>
        <v>#DIV/0!</v>
      </c>
      <c r="AC7" s="1571"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978" t="s">
        <v>533</v>
      </c>
      <c r="Q8" s="3979"/>
      <c r="R8" s="1568" t="s">
        <v>8</v>
      </c>
      <c r="S8" s="1569">
        <f t="shared" si="0"/>
        <v>0</v>
      </c>
      <c r="T8" s="1568" t="s">
        <v>8</v>
      </c>
      <c r="U8" s="1569">
        <f t="shared" si="1"/>
        <v>0</v>
      </c>
      <c r="V8" s="1568" t="s">
        <v>8</v>
      </c>
      <c r="W8" s="1569">
        <f t="shared" si="2"/>
        <v>0</v>
      </c>
      <c r="X8" s="1570"/>
      <c r="Y8" s="3978" t="s">
        <v>533</v>
      </c>
      <c r="Z8" s="3979"/>
      <c r="AA8" s="1571" t="e">
        <f t="shared" ref="AA8:AA36" si="3">D8/F8</f>
        <v>#DIV/0!</v>
      </c>
      <c r="AB8" s="1571" t="e">
        <f t="shared" ref="AB8:AB36" si="4">D8/H8</f>
        <v>#DIV/0!</v>
      </c>
      <c r="AC8" s="1571"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944" t="s">
        <v>535</v>
      </c>
      <c r="Q9" s="1151" t="str">
        <f t="shared" ref="Q9:Q14" si="6">B9</f>
        <v>用途</v>
      </c>
      <c r="R9" s="1568" t="s">
        <v>8</v>
      </c>
      <c r="S9" s="1569">
        <f t="shared" si="0"/>
        <v>100</v>
      </c>
      <c r="T9" s="1568" t="s">
        <v>8</v>
      </c>
      <c r="U9" s="1569">
        <f t="shared" si="1"/>
        <v>100</v>
      </c>
      <c r="V9" s="1568" t="s">
        <v>8</v>
      </c>
      <c r="W9" s="1569">
        <f t="shared" si="2"/>
        <v>100</v>
      </c>
      <c r="X9" s="1570"/>
      <c r="Y9" s="3798"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944"/>
      <c r="Q10" s="1151" t="str">
        <f t="shared" si="6"/>
        <v>土地使用年限（年）</v>
      </c>
      <c r="R10" s="1568" t="s">
        <v>8</v>
      </c>
      <c r="S10" s="1569">
        <f t="shared" si="0"/>
        <v>100</v>
      </c>
      <c r="T10" s="1568" t="s">
        <v>8</v>
      </c>
      <c r="U10" s="1569">
        <f t="shared" si="1"/>
        <v>100</v>
      </c>
      <c r="V10" s="1568" t="s">
        <v>8</v>
      </c>
      <c r="W10" s="1569">
        <f t="shared" si="2"/>
        <v>100</v>
      </c>
      <c r="X10" s="1570"/>
      <c r="Y10" s="3798"/>
      <c r="Z10" s="1150"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944"/>
      <c r="Q11" s="1151">
        <f t="shared" si="6"/>
        <v>111</v>
      </c>
      <c r="R11" s="1568" t="s">
        <v>8</v>
      </c>
      <c r="S11" s="1569">
        <f t="shared" si="0"/>
        <v>100</v>
      </c>
      <c r="T11" s="1568" t="s">
        <v>8</v>
      </c>
      <c r="U11" s="1569">
        <f t="shared" si="1"/>
        <v>100</v>
      </c>
      <c r="V11" s="1568" t="s">
        <v>8</v>
      </c>
      <c r="W11" s="1569">
        <f t="shared" si="2"/>
        <v>100</v>
      </c>
      <c r="X11" s="1570"/>
      <c r="Y11" s="3798"/>
      <c r="Z11" s="1150">
        <f t="shared" si="7"/>
        <v>111</v>
      </c>
      <c r="AA11" s="1571">
        <f t="shared" si="3"/>
        <v>1</v>
      </c>
      <c r="AB11" s="1571">
        <f t="shared" si="4"/>
        <v>1</v>
      </c>
      <c r="AC11" s="1571">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944"/>
      <c r="Q12" s="1151">
        <f t="shared" si="6"/>
        <v>111</v>
      </c>
      <c r="R12" s="1568" t="s">
        <v>8</v>
      </c>
      <c r="S12" s="1569">
        <f t="shared" si="0"/>
        <v>100</v>
      </c>
      <c r="T12" s="1568" t="s">
        <v>8</v>
      </c>
      <c r="U12" s="1569">
        <f t="shared" si="1"/>
        <v>100</v>
      </c>
      <c r="V12" s="1568" t="s">
        <v>8</v>
      </c>
      <c r="W12" s="1569">
        <f t="shared" si="2"/>
        <v>100</v>
      </c>
      <c r="X12" s="1570"/>
      <c r="Y12" s="3798"/>
      <c r="Z12" s="1150">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944"/>
      <c r="Q13" s="1151">
        <f t="shared" si="6"/>
        <v>111</v>
      </c>
      <c r="R13" s="1568" t="s">
        <v>8</v>
      </c>
      <c r="S13" s="1569">
        <f t="shared" si="0"/>
        <v>100</v>
      </c>
      <c r="T13" s="1568" t="s">
        <v>8</v>
      </c>
      <c r="U13" s="1569">
        <f t="shared" si="1"/>
        <v>100</v>
      </c>
      <c r="V13" s="1568" t="s">
        <v>8</v>
      </c>
      <c r="W13" s="1569">
        <f t="shared" si="2"/>
        <v>100</v>
      </c>
      <c r="X13" s="1570"/>
      <c r="Y13" s="3798"/>
      <c r="Z13" s="1150">
        <f t="shared" si="7"/>
        <v>111</v>
      </c>
      <c r="AA13" s="1571">
        <f t="shared" si="3"/>
        <v>1</v>
      </c>
      <c r="AB13" s="1571">
        <f t="shared" si="4"/>
        <v>1</v>
      </c>
      <c r="AC13" s="1571">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949" t="s">
        <v>540</v>
      </c>
      <c r="Q14" s="1572" t="str">
        <f t="shared" si="6"/>
        <v>交通便捷度</v>
      </c>
      <c r="R14" s="1573" t="s">
        <v>8</v>
      </c>
      <c r="S14" s="1574">
        <f t="shared" si="0"/>
        <v>100</v>
      </c>
      <c r="T14" s="1573" t="s">
        <v>8</v>
      </c>
      <c r="U14" s="1574">
        <f t="shared" si="1"/>
        <v>100</v>
      </c>
      <c r="V14" s="1573" t="s">
        <v>8</v>
      </c>
      <c r="W14" s="1574">
        <f t="shared" si="2"/>
        <v>100</v>
      </c>
      <c r="X14" s="1567"/>
      <c r="Y14" s="394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950"/>
      <c r="Q15" s="1572"/>
      <c r="R15" s="1573"/>
      <c r="S15" s="1574"/>
      <c r="T15" s="1573"/>
      <c r="U15" s="1574"/>
      <c r="V15" s="1573"/>
      <c r="W15" s="1574"/>
      <c r="X15" s="1567"/>
      <c r="Y15" s="3950"/>
      <c r="Z15" s="1575"/>
      <c r="AA15" s="1576">
        <v>1</v>
      </c>
      <c r="AB15" s="1576">
        <v>1</v>
      </c>
      <c r="AC15" s="1576">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950"/>
      <c r="Q16" s="1572" t="str">
        <f>B16</f>
        <v>公共配套设施</v>
      </c>
      <c r="R16" s="1573" t="s">
        <v>8</v>
      </c>
      <c r="S16" s="1574">
        <f>F16</f>
        <v>100</v>
      </c>
      <c r="T16" s="1573" t="s">
        <v>8</v>
      </c>
      <c r="U16" s="1574">
        <f>H16</f>
        <v>100</v>
      </c>
      <c r="V16" s="1573" t="s">
        <v>8</v>
      </c>
      <c r="W16" s="1574">
        <f>J16</f>
        <v>100</v>
      </c>
      <c r="X16" s="1567"/>
      <c r="Y16" s="395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950"/>
      <c r="Q17" s="1572"/>
      <c r="R17" s="1573"/>
      <c r="S17" s="1574"/>
      <c r="T17" s="1573"/>
      <c r="U17" s="1574"/>
      <c r="V17" s="1573"/>
      <c r="W17" s="1574"/>
      <c r="X17" s="1567"/>
      <c r="Y17" s="3950"/>
      <c r="Z17" s="1575"/>
      <c r="AA17" s="1576">
        <v>1</v>
      </c>
      <c r="AB17" s="1576">
        <v>1</v>
      </c>
      <c r="AC17" s="1576">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950"/>
      <c r="Q18" s="2558" t="str">
        <f>B18</f>
        <v>基础设施水平</v>
      </c>
      <c r="R18" s="1573" t="s">
        <v>8</v>
      </c>
      <c r="S18" s="1574">
        <f>F18</f>
        <v>100</v>
      </c>
      <c r="T18" s="1573" t="s">
        <v>8</v>
      </c>
      <c r="U18" s="1574">
        <f>H18</f>
        <v>100</v>
      </c>
      <c r="V18" s="1573" t="s">
        <v>8</v>
      </c>
      <c r="W18" s="1574">
        <f>J18</f>
        <v>100</v>
      </c>
      <c r="X18" s="2560"/>
      <c r="Y18" s="3950"/>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950"/>
      <c r="Q19" s="2558"/>
      <c r="R19" s="1573"/>
      <c r="S19" s="1574"/>
      <c r="T19" s="1573"/>
      <c r="U19" s="1574"/>
      <c r="V19" s="1573"/>
      <c r="W19" s="1574"/>
      <c r="X19" s="2560"/>
      <c r="Y19" s="3950"/>
      <c r="Z19" s="2559"/>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950"/>
      <c r="Q20" s="1572" t="str">
        <f>B20</f>
        <v>自然及人文环境</v>
      </c>
      <c r="R20" s="1573" t="s">
        <v>8</v>
      </c>
      <c r="S20" s="1574">
        <f>F20</f>
        <v>100</v>
      </c>
      <c r="T20" s="1573" t="s">
        <v>8</v>
      </c>
      <c r="U20" s="1574">
        <f>H20</f>
        <v>100</v>
      </c>
      <c r="V20" s="1573" t="s">
        <v>8</v>
      </c>
      <c r="W20" s="1574">
        <f>J20</f>
        <v>100</v>
      </c>
      <c r="X20" s="1567"/>
      <c r="Y20" s="395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950"/>
      <c r="Q21" s="1572"/>
      <c r="R21" s="1573"/>
      <c r="S21" s="1574"/>
      <c r="T21" s="1573"/>
      <c r="U21" s="1574"/>
      <c r="V21" s="1573"/>
      <c r="W21" s="1574"/>
      <c r="X21" s="1567"/>
      <c r="Y21" s="395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950"/>
      <c r="Q22" s="1572" t="str">
        <f>B22</f>
        <v>楼层</v>
      </c>
      <c r="R22" s="1573" t="s">
        <v>8</v>
      </c>
      <c r="S22" s="1574">
        <f>F22</f>
        <v>100</v>
      </c>
      <c r="T22" s="1573" t="s">
        <v>8</v>
      </c>
      <c r="U22" s="1574">
        <f>H22</f>
        <v>100</v>
      </c>
      <c r="V22" s="1573" t="s">
        <v>8</v>
      </c>
      <c r="W22" s="1574">
        <f>J22</f>
        <v>100</v>
      </c>
      <c r="X22" s="1567"/>
      <c r="Y22" s="395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950"/>
      <c r="Q23" s="1572">
        <f>B23</f>
        <v>111</v>
      </c>
      <c r="R23" s="1573" t="s">
        <v>8</v>
      </c>
      <c r="S23" s="1574">
        <f>F23</f>
        <v>100</v>
      </c>
      <c r="T23" s="1573" t="s">
        <v>8</v>
      </c>
      <c r="U23" s="1574">
        <f>H23</f>
        <v>100</v>
      </c>
      <c r="V23" s="1573" t="s">
        <v>8</v>
      </c>
      <c r="W23" s="1574">
        <f>J23</f>
        <v>100</v>
      </c>
      <c r="X23" s="1567"/>
      <c r="Y23" s="395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950"/>
      <c r="Q24" s="1572">
        <f t="shared" ref="Q24:Q36" si="11">B24</f>
        <v>111</v>
      </c>
      <c r="R24" s="1573" t="s">
        <v>8</v>
      </c>
      <c r="S24" s="1574">
        <f>F24</f>
        <v>100</v>
      </c>
      <c r="T24" s="1573" t="s">
        <v>8</v>
      </c>
      <c r="U24" s="1574">
        <f>H24</f>
        <v>100</v>
      </c>
      <c r="V24" s="1573" t="s">
        <v>8</v>
      </c>
      <c r="W24" s="1574">
        <f>J24</f>
        <v>100</v>
      </c>
      <c r="X24" s="1567"/>
      <c r="Y24" s="395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950"/>
      <c r="Q25" s="1151">
        <f t="shared" si="11"/>
        <v>111</v>
      </c>
      <c r="R25" s="1568" t="s">
        <v>8</v>
      </c>
      <c r="S25" s="1569">
        <f>F25</f>
        <v>100</v>
      </c>
      <c r="T25" s="1568" t="s">
        <v>8</v>
      </c>
      <c r="U25" s="1569">
        <f>H25</f>
        <v>100</v>
      </c>
      <c r="V25" s="1568" t="s">
        <v>8</v>
      </c>
      <c r="W25" s="1569">
        <f>J25</f>
        <v>100</v>
      </c>
      <c r="X25" s="1570"/>
      <c r="Y25" s="3950"/>
      <c r="Z25" s="1150">
        <f>Q25</f>
        <v>111</v>
      </c>
      <c r="AA25" s="1576">
        <f>D25/F25</f>
        <v>1</v>
      </c>
      <c r="AB25" s="1576">
        <f>D25/H25</f>
        <v>1</v>
      </c>
      <c r="AC25" s="1576">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95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95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952"/>
      <c r="Q27" s="1605" t="str">
        <f t="shared" si="11"/>
        <v>项目停车位配比</v>
      </c>
      <c r="R27" s="1577" t="s">
        <v>8</v>
      </c>
      <c r="S27" s="1578">
        <f t="shared" si="12"/>
        <v>100</v>
      </c>
      <c r="T27" s="1577" t="s">
        <v>8</v>
      </c>
      <c r="U27" s="1578">
        <f t="shared" si="13"/>
        <v>100</v>
      </c>
      <c r="V27" s="1577" t="s">
        <v>8</v>
      </c>
      <c r="W27" s="1578">
        <f t="shared" si="14"/>
        <v>100</v>
      </c>
      <c r="X27" s="1579"/>
      <c r="Y27" s="395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952"/>
      <c r="Q28" s="1572" t="str">
        <f t="shared" si="11"/>
        <v>公共部分装修</v>
      </c>
      <c r="R28" s="1573" t="s">
        <v>8</v>
      </c>
      <c r="S28" s="1574">
        <f t="shared" si="12"/>
        <v>100</v>
      </c>
      <c r="T28" s="1573" t="s">
        <v>8</v>
      </c>
      <c r="U28" s="1574">
        <f t="shared" si="13"/>
        <v>100</v>
      </c>
      <c r="V28" s="1573" t="s">
        <v>8</v>
      </c>
      <c r="W28" s="1574">
        <f t="shared" si="14"/>
        <v>100</v>
      </c>
      <c r="X28" s="1567"/>
      <c r="Y28" s="395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952"/>
      <c r="Q29" s="1572" t="str">
        <f t="shared" si="11"/>
        <v>成新率</v>
      </c>
      <c r="R29" s="1573" t="s">
        <v>8</v>
      </c>
      <c r="S29" s="1574" t="e">
        <f t="shared" si="12"/>
        <v>#N/A</v>
      </c>
      <c r="T29" s="1573" t="s">
        <v>8</v>
      </c>
      <c r="U29" s="1574" t="e">
        <f t="shared" si="13"/>
        <v>#N/A</v>
      </c>
      <c r="V29" s="1573" t="s">
        <v>8</v>
      </c>
      <c r="W29" s="1574" t="e">
        <f t="shared" si="14"/>
        <v>#N/A</v>
      </c>
      <c r="X29" s="1567"/>
      <c r="Y29" s="395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952"/>
      <c r="Q30" s="1572" t="str">
        <f t="shared" si="11"/>
        <v>物业等级</v>
      </c>
      <c r="R30" s="1573" t="s">
        <v>8</v>
      </c>
      <c r="S30" s="1574">
        <f t="shared" si="12"/>
        <v>100</v>
      </c>
      <c r="T30" s="1573" t="s">
        <v>8</v>
      </c>
      <c r="U30" s="1574">
        <f t="shared" si="13"/>
        <v>100</v>
      </c>
      <c r="V30" s="1573" t="s">
        <v>8</v>
      </c>
      <c r="W30" s="1574">
        <f t="shared" si="14"/>
        <v>100</v>
      </c>
      <c r="X30" s="1567"/>
      <c r="Y30" s="395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952"/>
      <c r="Q31" s="1151" t="str">
        <f t="shared" si="11"/>
        <v>停车位面积</v>
      </c>
      <c r="R31" s="1568" t="s">
        <v>8</v>
      </c>
      <c r="S31" s="1569" t="e">
        <f t="shared" si="12"/>
        <v>#N/A</v>
      </c>
      <c r="T31" s="1568" t="s">
        <v>8</v>
      </c>
      <c r="U31" s="1569" t="e">
        <f t="shared" si="13"/>
        <v>#N/A</v>
      </c>
      <c r="V31" s="1568" t="s">
        <v>8</v>
      </c>
      <c r="W31" s="1569" t="e">
        <f t="shared" si="14"/>
        <v>#N/A</v>
      </c>
      <c r="X31" s="1570"/>
      <c r="Y31" s="395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952" t="s">
        <v>550</v>
      </c>
      <c r="Q32" s="1572" t="str">
        <f t="shared" si="11"/>
        <v>车位类型</v>
      </c>
      <c r="R32" s="1573" t="s">
        <v>8</v>
      </c>
      <c r="S32" s="1574">
        <f t="shared" si="12"/>
        <v>100</v>
      </c>
      <c r="T32" s="1573" t="s">
        <v>8</v>
      </c>
      <c r="U32" s="1574">
        <f t="shared" si="13"/>
        <v>100</v>
      </c>
      <c r="V32" s="1573" t="s">
        <v>8</v>
      </c>
      <c r="W32" s="1574">
        <f t="shared" si="14"/>
        <v>100</v>
      </c>
      <c r="X32" s="1567"/>
      <c r="Y32" s="395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952"/>
      <c r="Q33" s="1572" t="str">
        <f t="shared" si="11"/>
        <v>是否直接入户</v>
      </c>
      <c r="R33" s="1573" t="s">
        <v>8</v>
      </c>
      <c r="S33" s="1574">
        <f t="shared" si="12"/>
        <v>100</v>
      </c>
      <c r="T33" s="1573" t="s">
        <v>8</v>
      </c>
      <c r="U33" s="1574">
        <f t="shared" si="13"/>
        <v>100</v>
      </c>
      <c r="V33" s="1573" t="s">
        <v>8</v>
      </c>
      <c r="W33" s="1574">
        <f t="shared" si="14"/>
        <v>100</v>
      </c>
      <c r="X33" s="1567"/>
      <c r="Y33" s="395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952"/>
      <c r="Q34" s="1572">
        <f t="shared" si="11"/>
        <v>111</v>
      </c>
      <c r="R34" s="1573" t="s">
        <v>8</v>
      </c>
      <c r="S34" s="1574">
        <f t="shared" si="12"/>
        <v>100</v>
      </c>
      <c r="T34" s="1573" t="s">
        <v>8</v>
      </c>
      <c r="U34" s="1574">
        <f t="shared" si="13"/>
        <v>100</v>
      </c>
      <c r="V34" s="1573" t="s">
        <v>8</v>
      </c>
      <c r="W34" s="1574">
        <f t="shared" si="14"/>
        <v>100</v>
      </c>
      <c r="X34" s="1567"/>
      <c r="Y34" s="395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952"/>
      <c r="Q35" s="1605">
        <f t="shared" si="11"/>
        <v>111</v>
      </c>
      <c r="R35" s="1577" t="s">
        <v>8</v>
      </c>
      <c r="S35" s="1578">
        <f t="shared" si="12"/>
        <v>100</v>
      </c>
      <c r="T35" s="1577" t="s">
        <v>8</v>
      </c>
      <c r="U35" s="1578">
        <f t="shared" si="13"/>
        <v>100</v>
      </c>
      <c r="V35" s="1577" t="s">
        <v>8</v>
      </c>
      <c r="W35" s="1578">
        <f t="shared" si="14"/>
        <v>100</v>
      </c>
      <c r="X35" s="1579"/>
      <c r="Y35" s="395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952"/>
      <c r="Q36" s="1572">
        <f t="shared" si="11"/>
        <v>111</v>
      </c>
      <c r="R36" s="1573" t="s">
        <v>8</v>
      </c>
      <c r="S36" s="1574">
        <f t="shared" si="12"/>
        <v>100</v>
      </c>
      <c r="T36" s="1573" t="s">
        <v>8</v>
      </c>
      <c r="U36" s="1574">
        <f t="shared" si="13"/>
        <v>100</v>
      </c>
      <c r="V36" s="1573" t="s">
        <v>8</v>
      </c>
      <c r="W36" s="1574">
        <f t="shared" si="14"/>
        <v>100</v>
      </c>
      <c r="X36" s="1567"/>
      <c r="Y36" s="3952"/>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944" t="str">
        <f>A37</f>
        <v>成交单价</v>
      </c>
      <c r="Q37" s="3944"/>
      <c r="R37" s="3945">
        <f>E37</f>
        <v>0</v>
      </c>
      <c r="S37" s="3945"/>
      <c r="T37" s="3945">
        <f>G37</f>
        <v>0</v>
      </c>
      <c r="U37" s="3945"/>
      <c r="V37" s="3945">
        <f>I37</f>
        <v>0</v>
      </c>
      <c r="W37" s="3945"/>
      <c r="X37" s="1559"/>
      <c r="Y37" s="1581"/>
      <c r="Z37" s="1559"/>
      <c r="AA37" s="1559"/>
      <c r="AB37" s="1559"/>
      <c r="AC37" s="1559"/>
    </row>
    <row r="38" spans="1:29" ht="15.75" thickBot="1">
      <c r="A38" s="615" t="s">
        <v>2761</v>
      </c>
      <c r="B38" s="888"/>
      <c r="C38" s="2612" t="e">
        <f>R39</f>
        <v>#DIV/0!</v>
      </c>
      <c r="D38" s="2613"/>
      <c r="E38" s="2614" t="e">
        <f>R38</f>
        <v>#DIV/0!</v>
      </c>
      <c r="F38" s="2614"/>
      <c r="G38" s="2612" t="e">
        <f>T38</f>
        <v>#DIV/0!</v>
      </c>
      <c r="H38" s="2613"/>
      <c r="I38" s="2614" t="e">
        <f>V38</f>
        <v>#DIV/0!</v>
      </c>
      <c r="J38" s="2613"/>
      <c r="K38" s="1612"/>
      <c r="L38" s="2144"/>
      <c r="M38" s="2145"/>
      <c r="N38" s="2145"/>
      <c r="O38" s="2145"/>
      <c r="P38" s="3944" t="str">
        <f>A38</f>
        <v>比较价格（元/平方米）</v>
      </c>
      <c r="Q38" s="3944"/>
      <c r="R38" s="3945" t="e">
        <f>IF(F1="售价",ROUND(PRODUCT(R37,AA7:AA36),0),ROUND(PRODUCT(R37,AA7:AA36),1))</f>
        <v>#DIV/0!</v>
      </c>
      <c r="S38" s="3945"/>
      <c r="T38" s="3945" t="e">
        <f>IF(F1="售价",ROUND(PRODUCT(T37,AB7:AB36),0),ROUND(PRODUCT(T37,AB7:AB36),1))</f>
        <v>#DIV/0!</v>
      </c>
      <c r="U38" s="3945"/>
      <c r="V38" s="3945" t="e">
        <f>IF(F1="售价",ROUND(PRODUCT(V37,AC7:AC36),0),ROUND(PRODUCT(V37,AC7:AC36),1))</f>
        <v>#DIV/0!</v>
      </c>
      <c r="W38" s="3945"/>
      <c r="X38" s="1559"/>
      <c r="Y38" s="1559"/>
      <c r="Z38" s="1559"/>
      <c r="AA38" s="1559"/>
      <c r="AB38" s="1559"/>
      <c r="AC38" s="1559"/>
    </row>
    <row r="39" spans="1:29" ht="15.75" thickBot="1">
      <c r="A39" s="621" t="s">
        <v>2937</v>
      </c>
      <c r="B39" s="622"/>
      <c r="C39" s="2615" t="e">
        <f>R39</f>
        <v>#DIV/0!</v>
      </c>
      <c r="D39" s="2615"/>
      <c r="E39" s="2615"/>
      <c r="F39" s="2615"/>
      <c r="G39" s="2615"/>
      <c r="H39" s="2615"/>
      <c r="I39" s="2615"/>
      <c r="J39" s="2615"/>
      <c r="K39" s="1613"/>
      <c r="L39" s="2144"/>
      <c r="M39" s="2145"/>
      <c r="N39" s="2145"/>
      <c r="O39" s="2145"/>
      <c r="P39" s="3946" t="str">
        <f>A39</f>
        <v>估价对象XX用房的比较价格（楼面单价，元/平方米）</v>
      </c>
      <c r="Q39" s="3947"/>
      <c r="R39" s="3948" t="e">
        <f>IF(F1="售价",ROUND(AVERAGE(R38:V38),0),ROUND(AVERAGE(R38:V38),1))</f>
        <v>#DIV/0!</v>
      </c>
      <c r="S39" s="3948"/>
      <c r="T39" s="3948"/>
      <c r="U39" s="3948"/>
      <c r="V39" s="3948"/>
      <c r="W39" s="394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957" t="s">
        <v>798</v>
      </c>
      <c r="D4" s="3958"/>
      <c r="E4" s="3959" t="s">
        <v>799</v>
      </c>
      <c r="F4" s="3960"/>
      <c r="G4" s="3957" t="s">
        <v>800</v>
      </c>
      <c r="H4" s="3958"/>
      <c r="I4" s="3957" t="s">
        <v>801</v>
      </c>
      <c r="J4" s="3958"/>
      <c r="K4" s="514" t="s">
        <v>802</v>
      </c>
      <c r="L4" s="2133"/>
      <c r="M4" s="2134"/>
      <c r="N4" s="2134"/>
      <c r="O4" s="2134"/>
      <c r="P4" s="3961" t="s">
        <v>803</v>
      </c>
      <c r="Q4" s="3962"/>
      <c r="R4" s="3967" t="s">
        <v>799</v>
      </c>
      <c r="S4" s="3968"/>
      <c r="T4" s="3967" t="s">
        <v>800</v>
      </c>
      <c r="U4" s="3968"/>
      <c r="V4" s="3973" t="s">
        <v>801</v>
      </c>
      <c r="W4" s="3973"/>
      <c r="X4" s="1567"/>
      <c r="Y4" s="3967" t="s">
        <v>803</v>
      </c>
      <c r="Z4" s="3968"/>
      <c r="AA4" s="3954" t="s">
        <v>799</v>
      </c>
      <c r="AB4" s="3955" t="s">
        <v>800</v>
      </c>
      <c r="AC4" s="3954" t="s">
        <v>801</v>
      </c>
    </row>
    <row r="5" spans="1:29" ht="15">
      <c r="A5" s="515"/>
      <c r="B5" s="516"/>
      <c r="C5" s="3993" t="s">
        <v>2931</v>
      </c>
      <c r="D5" s="3977"/>
      <c r="E5" s="4001" t="s">
        <v>2932</v>
      </c>
      <c r="F5" s="3984"/>
      <c r="G5" s="3993" t="s">
        <v>2933</v>
      </c>
      <c r="H5" s="3977"/>
      <c r="I5" s="3993" t="s">
        <v>2934</v>
      </c>
      <c r="J5" s="3977"/>
      <c r="K5" s="514"/>
      <c r="L5" s="2133"/>
      <c r="M5" s="2134"/>
      <c r="N5" s="2134"/>
      <c r="O5" s="2134"/>
      <c r="P5" s="3963"/>
      <c r="Q5" s="3964"/>
      <c r="R5" s="3969"/>
      <c r="S5" s="3970"/>
      <c r="T5" s="3969"/>
      <c r="U5" s="3970"/>
      <c r="V5" s="3973"/>
      <c r="W5" s="3973"/>
      <c r="X5" s="1567"/>
      <c r="Y5" s="3969"/>
      <c r="Z5" s="3970"/>
      <c r="AA5" s="3955"/>
      <c r="AB5" s="3955"/>
      <c r="AC5" s="3955"/>
    </row>
    <row r="6" spans="1:29" ht="15.75" thickBot="1">
      <c r="A6" s="517"/>
      <c r="B6" s="518"/>
      <c r="C6" s="3974" t="s">
        <v>2935</v>
      </c>
      <c r="D6" s="3975"/>
      <c r="E6" s="3981" t="s">
        <v>2935</v>
      </c>
      <c r="F6" s="3982"/>
      <c r="G6" s="3974" t="s">
        <v>2935</v>
      </c>
      <c r="H6" s="3975"/>
      <c r="I6" s="3974" t="s">
        <v>2935</v>
      </c>
      <c r="J6" s="3975"/>
      <c r="K6" s="514" t="s">
        <v>528</v>
      </c>
      <c r="L6" s="2133"/>
      <c r="M6" s="2134"/>
      <c r="N6" s="2134"/>
      <c r="O6" s="2134"/>
      <c r="P6" s="3965"/>
      <c r="Q6" s="3966"/>
      <c r="R6" s="3969"/>
      <c r="S6" s="3970"/>
      <c r="T6" s="3971"/>
      <c r="U6" s="3972"/>
      <c r="V6" s="3973"/>
      <c r="W6" s="3973"/>
      <c r="X6" s="1567"/>
      <c r="Y6" s="3971"/>
      <c r="Z6" s="3972"/>
      <c r="AA6" s="3956"/>
      <c r="AB6" s="3956"/>
      <c r="AC6" s="3956"/>
    </row>
    <row r="7" spans="1:29" s="1220" customFormat="1" ht="15.75" thickBot="1">
      <c r="A7" s="2890"/>
      <c r="B7" s="2897" t="s">
        <v>529</v>
      </c>
      <c r="C7" s="519">
        <f>'数据-取费表'!B2</f>
        <v>43552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978" t="s">
        <v>530</v>
      </c>
      <c r="Q7" s="3980"/>
      <c r="R7" s="1568" t="s">
        <v>8</v>
      </c>
      <c r="S7" s="1569">
        <f t="shared" ref="S7:S14" si="0">F7</f>
        <v>0</v>
      </c>
      <c r="T7" s="1568" t="s">
        <v>8</v>
      </c>
      <c r="U7" s="1569">
        <f t="shared" ref="U7:U14" si="1">H7</f>
        <v>0</v>
      </c>
      <c r="V7" s="1568" t="s">
        <v>8</v>
      </c>
      <c r="W7" s="1569">
        <f t="shared" ref="W7:W14" si="2">J7</f>
        <v>0</v>
      </c>
      <c r="X7" s="1570"/>
      <c r="Y7" s="3978" t="s">
        <v>530</v>
      </c>
      <c r="Z7" s="3979"/>
      <c r="AA7" s="1571" t="e">
        <f>D7/F7</f>
        <v>#DIV/0!</v>
      </c>
      <c r="AB7" s="1571" t="e">
        <f>D7/H7</f>
        <v>#DIV/0!</v>
      </c>
      <c r="AC7" s="1571"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978" t="s">
        <v>533</v>
      </c>
      <c r="Q8" s="3979"/>
      <c r="R8" s="1568" t="s">
        <v>8</v>
      </c>
      <c r="S8" s="1569">
        <f t="shared" si="0"/>
        <v>0</v>
      </c>
      <c r="T8" s="1568" t="s">
        <v>8</v>
      </c>
      <c r="U8" s="1569">
        <f t="shared" si="1"/>
        <v>0</v>
      </c>
      <c r="V8" s="1568" t="s">
        <v>8</v>
      </c>
      <c r="W8" s="1569">
        <f t="shared" si="2"/>
        <v>0</v>
      </c>
      <c r="X8" s="1570"/>
      <c r="Y8" s="3978" t="s">
        <v>533</v>
      </c>
      <c r="Z8" s="3979"/>
      <c r="AA8" s="1571" t="e">
        <f t="shared" ref="AA8:AA34" si="3">D8/F8</f>
        <v>#DIV/0!</v>
      </c>
      <c r="AB8" s="1571" t="e">
        <f t="shared" ref="AB8:AB34" si="4">D8/H8</f>
        <v>#DIV/0!</v>
      </c>
      <c r="AC8" s="1571"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944" t="s">
        <v>535</v>
      </c>
      <c r="Q9" s="1151" t="str">
        <f t="shared" ref="Q9:Q14" si="6">B9</f>
        <v>用途</v>
      </c>
      <c r="R9" s="1568" t="s">
        <v>8</v>
      </c>
      <c r="S9" s="1569">
        <f t="shared" si="0"/>
        <v>100</v>
      </c>
      <c r="T9" s="1568" t="s">
        <v>8</v>
      </c>
      <c r="U9" s="1569">
        <f t="shared" si="1"/>
        <v>100</v>
      </c>
      <c r="V9" s="1568" t="s">
        <v>8</v>
      </c>
      <c r="W9" s="1569">
        <f t="shared" si="2"/>
        <v>100</v>
      </c>
      <c r="X9" s="1570"/>
      <c r="Y9" s="3798"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944"/>
      <c r="Q10" s="1151" t="str">
        <f t="shared" si="6"/>
        <v>土地使用年限（年）</v>
      </c>
      <c r="R10" s="1568" t="s">
        <v>8</v>
      </c>
      <c r="S10" s="1569">
        <f t="shared" si="0"/>
        <v>100</v>
      </c>
      <c r="T10" s="1568" t="s">
        <v>8</v>
      </c>
      <c r="U10" s="1569">
        <f t="shared" si="1"/>
        <v>100</v>
      </c>
      <c r="V10" s="1568" t="s">
        <v>8</v>
      </c>
      <c r="W10" s="1569">
        <f t="shared" si="2"/>
        <v>100</v>
      </c>
      <c r="X10" s="1570"/>
      <c r="Y10" s="3798"/>
      <c r="Z10" s="1150"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944"/>
      <c r="Q11" s="1151">
        <f t="shared" si="6"/>
        <v>111</v>
      </c>
      <c r="R11" s="1568" t="s">
        <v>8</v>
      </c>
      <c r="S11" s="1569">
        <f t="shared" si="0"/>
        <v>100</v>
      </c>
      <c r="T11" s="1568" t="s">
        <v>8</v>
      </c>
      <c r="U11" s="1569">
        <f t="shared" si="1"/>
        <v>100</v>
      </c>
      <c r="V11" s="1568" t="s">
        <v>8</v>
      </c>
      <c r="W11" s="1569">
        <f t="shared" si="2"/>
        <v>100</v>
      </c>
      <c r="X11" s="1570"/>
      <c r="Y11" s="3798"/>
      <c r="Z11" s="1150">
        <f t="shared" si="7"/>
        <v>111</v>
      </c>
      <c r="AA11" s="1571">
        <f t="shared" si="3"/>
        <v>1</v>
      </c>
      <c r="AB11" s="1571">
        <f t="shared" si="4"/>
        <v>1</v>
      </c>
      <c r="AC11" s="1571">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944"/>
      <c r="Q12" s="1151">
        <f t="shared" si="6"/>
        <v>111</v>
      </c>
      <c r="R12" s="1568" t="s">
        <v>8</v>
      </c>
      <c r="S12" s="1569">
        <f t="shared" si="0"/>
        <v>100</v>
      </c>
      <c r="T12" s="1568" t="s">
        <v>8</v>
      </c>
      <c r="U12" s="1569">
        <f t="shared" si="1"/>
        <v>100</v>
      </c>
      <c r="V12" s="1568" t="s">
        <v>8</v>
      </c>
      <c r="W12" s="1569">
        <f t="shared" si="2"/>
        <v>100</v>
      </c>
      <c r="X12" s="1570"/>
      <c r="Y12" s="3798"/>
      <c r="Z12" s="1150">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944"/>
      <c r="Q13" s="1151">
        <f t="shared" si="6"/>
        <v>111</v>
      </c>
      <c r="R13" s="1568" t="s">
        <v>8</v>
      </c>
      <c r="S13" s="1569">
        <f t="shared" si="0"/>
        <v>100</v>
      </c>
      <c r="T13" s="1568" t="s">
        <v>8</v>
      </c>
      <c r="U13" s="1569">
        <f t="shared" si="1"/>
        <v>100</v>
      </c>
      <c r="V13" s="1568" t="s">
        <v>8</v>
      </c>
      <c r="W13" s="1569">
        <f t="shared" si="2"/>
        <v>100</v>
      </c>
      <c r="X13" s="1570"/>
      <c r="Y13" s="3798"/>
      <c r="Z13" s="1150">
        <f t="shared" si="7"/>
        <v>111</v>
      </c>
      <c r="AA13" s="1571">
        <f t="shared" si="3"/>
        <v>1</v>
      </c>
      <c r="AB13" s="1571">
        <f t="shared" si="4"/>
        <v>1</v>
      </c>
      <c r="AC13" s="1571">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949" t="s">
        <v>540</v>
      </c>
      <c r="Q14" s="1572" t="str">
        <f t="shared" si="6"/>
        <v>交通便捷度</v>
      </c>
      <c r="R14" s="1573" t="s">
        <v>8</v>
      </c>
      <c r="S14" s="1574">
        <f t="shared" si="0"/>
        <v>100</v>
      </c>
      <c r="T14" s="1573" t="s">
        <v>8</v>
      </c>
      <c r="U14" s="1574">
        <f t="shared" si="1"/>
        <v>100</v>
      </c>
      <c r="V14" s="1573" t="s">
        <v>8</v>
      </c>
      <c r="W14" s="1574">
        <f t="shared" si="2"/>
        <v>100</v>
      </c>
      <c r="X14" s="1567"/>
      <c r="Y14" s="394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950"/>
      <c r="Q15" s="1572"/>
      <c r="R15" s="1573"/>
      <c r="S15" s="1574"/>
      <c r="T15" s="1573"/>
      <c r="U15" s="1574"/>
      <c r="V15" s="1573"/>
      <c r="W15" s="1574"/>
      <c r="X15" s="1567"/>
      <c r="Y15" s="3950"/>
      <c r="Z15" s="1575"/>
      <c r="AA15" s="1576">
        <v>1</v>
      </c>
      <c r="AB15" s="1576">
        <v>1</v>
      </c>
      <c r="AC15" s="1576">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950"/>
      <c r="Q16" s="1572" t="str">
        <f>B16</f>
        <v>公共配套设施</v>
      </c>
      <c r="R16" s="1573" t="s">
        <v>8</v>
      </c>
      <c r="S16" s="1574">
        <f>F16</f>
        <v>100</v>
      </c>
      <c r="T16" s="1573" t="s">
        <v>8</v>
      </c>
      <c r="U16" s="1574">
        <f>H16</f>
        <v>100</v>
      </c>
      <c r="V16" s="1573" t="s">
        <v>8</v>
      </c>
      <c r="W16" s="1574">
        <f>J16</f>
        <v>100</v>
      </c>
      <c r="X16" s="1567"/>
      <c r="Y16" s="395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950"/>
      <c r="Q17" s="1572"/>
      <c r="R17" s="1573"/>
      <c r="S17" s="1574"/>
      <c r="T17" s="1573"/>
      <c r="U17" s="1574"/>
      <c r="V17" s="1573"/>
      <c r="W17" s="1574"/>
      <c r="X17" s="1567"/>
      <c r="Y17" s="3950"/>
      <c r="Z17" s="1575"/>
      <c r="AA17" s="1576">
        <v>1</v>
      </c>
      <c r="AB17" s="1576">
        <v>1</v>
      </c>
      <c r="AC17" s="1576">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950"/>
      <c r="Q18" s="2558" t="str">
        <f>B18</f>
        <v>基础设施水平</v>
      </c>
      <c r="R18" s="1573" t="s">
        <v>8</v>
      </c>
      <c r="S18" s="1574">
        <f>F18</f>
        <v>100</v>
      </c>
      <c r="T18" s="1573" t="s">
        <v>8</v>
      </c>
      <c r="U18" s="1574">
        <f>H18</f>
        <v>100</v>
      </c>
      <c r="V18" s="1573" t="s">
        <v>8</v>
      </c>
      <c r="W18" s="1574">
        <f>J18</f>
        <v>100</v>
      </c>
      <c r="X18" s="2560"/>
      <c r="Y18" s="3950"/>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950"/>
      <c r="Q19" s="2558"/>
      <c r="R19" s="1573"/>
      <c r="S19" s="1574"/>
      <c r="T19" s="1573"/>
      <c r="U19" s="1574"/>
      <c r="V19" s="1573"/>
      <c r="W19" s="1574"/>
      <c r="X19" s="2560"/>
      <c r="Y19" s="3950"/>
      <c r="Z19" s="2559"/>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950"/>
      <c r="Q20" s="1572" t="str">
        <f>B20</f>
        <v>自然及人文环境</v>
      </c>
      <c r="R20" s="1573" t="s">
        <v>8</v>
      </c>
      <c r="S20" s="1574">
        <f>F20</f>
        <v>100</v>
      </c>
      <c r="T20" s="1573" t="s">
        <v>8</v>
      </c>
      <c r="U20" s="1574">
        <f>H20</f>
        <v>100</v>
      </c>
      <c r="V20" s="1573" t="s">
        <v>8</v>
      </c>
      <c r="W20" s="1574">
        <f>J20</f>
        <v>100</v>
      </c>
      <c r="X20" s="1567"/>
      <c r="Y20" s="395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950"/>
      <c r="Q21" s="1572"/>
      <c r="R21" s="1573"/>
      <c r="S21" s="1574"/>
      <c r="T21" s="1573"/>
      <c r="U21" s="1574"/>
      <c r="V21" s="1573"/>
      <c r="W21" s="1574"/>
      <c r="X21" s="1567"/>
      <c r="Y21" s="395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950"/>
      <c r="Q22" s="1572" t="str">
        <f>B22</f>
        <v>楼层</v>
      </c>
      <c r="R22" s="1573" t="s">
        <v>8</v>
      </c>
      <c r="S22" s="1574">
        <f>F22</f>
        <v>100</v>
      </c>
      <c r="T22" s="1573" t="s">
        <v>8</v>
      </c>
      <c r="U22" s="1574">
        <f>H22</f>
        <v>100</v>
      </c>
      <c r="V22" s="1573" t="s">
        <v>8</v>
      </c>
      <c r="W22" s="1574">
        <f>J22</f>
        <v>100</v>
      </c>
      <c r="X22" s="1567"/>
      <c r="Y22" s="395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950"/>
      <c r="Q23" s="1572">
        <f>B23</f>
        <v>111</v>
      </c>
      <c r="R23" s="1573" t="s">
        <v>8</v>
      </c>
      <c r="S23" s="1574">
        <f>F23</f>
        <v>100</v>
      </c>
      <c r="T23" s="1573" t="s">
        <v>8</v>
      </c>
      <c r="U23" s="1574">
        <f>H23</f>
        <v>100</v>
      </c>
      <c r="V23" s="1573" t="s">
        <v>8</v>
      </c>
      <c r="W23" s="1574">
        <f>J23</f>
        <v>100</v>
      </c>
      <c r="X23" s="1567"/>
      <c r="Y23" s="395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950"/>
      <c r="Q24" s="1572">
        <f t="shared" ref="Q24:Q34" si="11">B24</f>
        <v>111</v>
      </c>
      <c r="R24" s="1573" t="s">
        <v>8</v>
      </c>
      <c r="S24" s="1574">
        <f>F24</f>
        <v>100</v>
      </c>
      <c r="T24" s="1573" t="s">
        <v>8</v>
      </c>
      <c r="U24" s="1574">
        <f>H24</f>
        <v>100</v>
      </c>
      <c r="V24" s="1573" t="s">
        <v>8</v>
      </c>
      <c r="W24" s="1574">
        <f>J24</f>
        <v>100</v>
      </c>
      <c r="X24" s="1567"/>
      <c r="Y24" s="395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950"/>
      <c r="Q25" s="1151">
        <f t="shared" si="11"/>
        <v>111</v>
      </c>
      <c r="R25" s="1568" t="s">
        <v>8</v>
      </c>
      <c r="S25" s="1569">
        <f>F25</f>
        <v>100</v>
      </c>
      <c r="T25" s="1568" t="s">
        <v>8</v>
      </c>
      <c r="U25" s="1569">
        <f>H25</f>
        <v>100</v>
      </c>
      <c r="V25" s="1568" t="s">
        <v>8</v>
      </c>
      <c r="W25" s="1569">
        <f>J25</f>
        <v>100</v>
      </c>
      <c r="X25" s="1570"/>
      <c r="Y25" s="3950"/>
      <c r="Z25" s="1150">
        <f>Q25</f>
        <v>111</v>
      </c>
      <c r="AA25" s="1576">
        <f>D25/F25</f>
        <v>1</v>
      </c>
      <c r="AB25" s="1576">
        <f>D25/H25</f>
        <v>1</v>
      </c>
      <c r="AC25" s="1576">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95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95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952"/>
      <c r="Q27" s="1605" t="str">
        <f t="shared" si="11"/>
        <v>成新率</v>
      </c>
      <c r="R27" s="1577" t="s">
        <v>8</v>
      </c>
      <c r="S27" s="1578" t="e">
        <f t="shared" si="12"/>
        <v>#N/A</v>
      </c>
      <c r="T27" s="1577" t="s">
        <v>8</v>
      </c>
      <c r="U27" s="1578" t="e">
        <f t="shared" si="13"/>
        <v>#N/A</v>
      </c>
      <c r="V27" s="1577" t="s">
        <v>8</v>
      </c>
      <c r="W27" s="1578" t="e">
        <f t="shared" si="14"/>
        <v>#N/A</v>
      </c>
      <c r="X27" s="1579"/>
      <c r="Y27" s="395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952"/>
      <c r="Q28" s="1572" t="str">
        <f t="shared" si="11"/>
        <v>物业等级</v>
      </c>
      <c r="R28" s="1573" t="s">
        <v>8</v>
      </c>
      <c r="S28" s="1574">
        <f t="shared" si="12"/>
        <v>100</v>
      </c>
      <c r="T28" s="1573" t="s">
        <v>8</v>
      </c>
      <c r="U28" s="1574">
        <f t="shared" si="13"/>
        <v>100</v>
      </c>
      <c r="V28" s="1573" t="s">
        <v>8</v>
      </c>
      <c r="W28" s="1574">
        <f t="shared" si="14"/>
        <v>100</v>
      </c>
      <c r="X28" s="1567"/>
      <c r="Y28" s="395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952"/>
      <c r="Q29" s="1572" t="str">
        <f t="shared" si="11"/>
        <v>有无电梯</v>
      </c>
      <c r="R29" s="1573" t="s">
        <v>8</v>
      </c>
      <c r="S29" s="1574">
        <f t="shared" si="12"/>
        <v>100</v>
      </c>
      <c r="T29" s="1573" t="s">
        <v>8</v>
      </c>
      <c r="U29" s="1574">
        <f t="shared" si="13"/>
        <v>100</v>
      </c>
      <c r="V29" s="1573" t="s">
        <v>8</v>
      </c>
      <c r="W29" s="1574">
        <f t="shared" si="14"/>
        <v>100</v>
      </c>
      <c r="X29" s="1567"/>
      <c r="Y29" s="395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952"/>
      <c r="Q30" s="1572" t="str">
        <f t="shared" si="11"/>
        <v>建筑面积</v>
      </c>
      <c r="R30" s="1573" t="s">
        <v>8</v>
      </c>
      <c r="S30" s="1574" t="e">
        <f t="shared" si="12"/>
        <v>#N/A</v>
      </c>
      <c r="T30" s="1573" t="s">
        <v>8</v>
      </c>
      <c r="U30" s="1574" t="e">
        <f t="shared" si="13"/>
        <v>#N/A</v>
      </c>
      <c r="V30" s="1573" t="s">
        <v>8</v>
      </c>
      <c r="W30" s="1574" t="e">
        <f t="shared" si="14"/>
        <v>#N/A</v>
      </c>
      <c r="X30" s="1567"/>
      <c r="Y30" s="395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952"/>
      <c r="Q31" s="1151" t="str">
        <f t="shared" si="11"/>
        <v>是否封闭</v>
      </c>
      <c r="R31" s="1568" t="s">
        <v>8</v>
      </c>
      <c r="S31" s="1569">
        <f t="shared" si="12"/>
        <v>100</v>
      </c>
      <c r="T31" s="1568" t="s">
        <v>8</v>
      </c>
      <c r="U31" s="1569">
        <f t="shared" si="13"/>
        <v>100</v>
      </c>
      <c r="V31" s="1568" t="s">
        <v>8</v>
      </c>
      <c r="W31" s="1569">
        <f t="shared" si="14"/>
        <v>100</v>
      </c>
      <c r="X31" s="1570"/>
      <c r="Y31" s="395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952" t="s">
        <v>550</v>
      </c>
      <c r="Q32" s="1572">
        <f t="shared" si="11"/>
        <v>111</v>
      </c>
      <c r="R32" s="1573" t="s">
        <v>8</v>
      </c>
      <c r="S32" s="1574">
        <f t="shared" si="12"/>
        <v>100</v>
      </c>
      <c r="T32" s="1573" t="s">
        <v>8</v>
      </c>
      <c r="U32" s="1574">
        <f t="shared" si="13"/>
        <v>100</v>
      </c>
      <c r="V32" s="1573" t="s">
        <v>8</v>
      </c>
      <c r="W32" s="1574">
        <f t="shared" si="14"/>
        <v>100</v>
      </c>
      <c r="X32" s="1567"/>
      <c r="Y32" s="395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952"/>
      <c r="Q33" s="1572">
        <f t="shared" si="11"/>
        <v>111</v>
      </c>
      <c r="R33" s="1573" t="s">
        <v>8</v>
      </c>
      <c r="S33" s="1574">
        <f t="shared" si="12"/>
        <v>100</v>
      </c>
      <c r="T33" s="1573" t="s">
        <v>8</v>
      </c>
      <c r="U33" s="1574">
        <f t="shared" si="13"/>
        <v>100</v>
      </c>
      <c r="V33" s="1573" t="s">
        <v>8</v>
      </c>
      <c r="W33" s="1574">
        <f t="shared" si="14"/>
        <v>100</v>
      </c>
      <c r="X33" s="1567"/>
      <c r="Y33" s="395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952"/>
      <c r="Q34" s="1572">
        <f t="shared" si="11"/>
        <v>111</v>
      </c>
      <c r="R34" s="1573" t="s">
        <v>8</v>
      </c>
      <c r="S34" s="1574">
        <f t="shared" si="12"/>
        <v>100</v>
      </c>
      <c r="T34" s="1573" t="s">
        <v>8</v>
      </c>
      <c r="U34" s="1574">
        <f t="shared" si="13"/>
        <v>100</v>
      </c>
      <c r="V34" s="1573" t="s">
        <v>8</v>
      </c>
      <c r="W34" s="1574">
        <f t="shared" si="14"/>
        <v>100</v>
      </c>
      <c r="X34" s="1567"/>
      <c r="Y34" s="3952"/>
      <c r="Z34" s="1575">
        <f t="shared" si="15"/>
        <v>111</v>
      </c>
      <c r="AA34" s="1576">
        <f t="shared" si="3"/>
        <v>1</v>
      </c>
      <c r="AB34" s="1576">
        <f t="shared" si="4"/>
        <v>1</v>
      </c>
      <c r="AC34" s="1576">
        <f t="shared" si="5"/>
        <v>1</v>
      </c>
    </row>
    <row r="35" spans="1:29" ht="15">
      <c r="A35" s="607" t="s">
        <v>736</v>
      </c>
      <c r="B35" s="887"/>
      <c r="C35" s="2606" t="s">
        <v>1</v>
      </c>
      <c r="D35" s="2607"/>
      <c r="E35" s="2608"/>
      <c r="F35" s="2609"/>
      <c r="G35" s="2610"/>
      <c r="H35" s="2611"/>
      <c r="I35" s="2608"/>
      <c r="J35" s="2611"/>
      <c r="K35" s="1611"/>
      <c r="L35" s="2144"/>
      <c r="M35" s="2145"/>
      <c r="N35" s="2134"/>
      <c r="O35" s="2145"/>
      <c r="P35" s="3944" t="str">
        <f>A35</f>
        <v>成交单价（元/平方米）</v>
      </c>
      <c r="Q35" s="3944"/>
      <c r="R35" s="3945">
        <f>E35</f>
        <v>0</v>
      </c>
      <c r="S35" s="3945"/>
      <c r="T35" s="3945">
        <f>G35</f>
        <v>0</v>
      </c>
      <c r="U35" s="3945"/>
      <c r="V35" s="3945">
        <f>I35</f>
        <v>0</v>
      </c>
      <c r="W35" s="3945"/>
      <c r="X35" s="1559"/>
      <c r="Y35" s="1581"/>
      <c r="Z35" s="1559"/>
      <c r="AA35" s="1559"/>
      <c r="AB35" s="1559"/>
      <c r="AC35" s="1559"/>
    </row>
    <row r="36" spans="1:29" ht="15.75" thickBot="1">
      <c r="A36" s="615" t="s">
        <v>2761</v>
      </c>
      <c r="B36" s="888"/>
      <c r="C36" s="2612" t="e">
        <f>R37</f>
        <v>#DIV/0!</v>
      </c>
      <c r="D36" s="2613"/>
      <c r="E36" s="2614" t="e">
        <f>R36</f>
        <v>#DIV/0!</v>
      </c>
      <c r="F36" s="2614"/>
      <c r="G36" s="2612" t="e">
        <f>T36</f>
        <v>#DIV/0!</v>
      </c>
      <c r="H36" s="2613"/>
      <c r="I36" s="2614" t="e">
        <f>V36</f>
        <v>#DIV/0!</v>
      </c>
      <c r="J36" s="2613"/>
      <c r="K36" s="1612"/>
      <c r="L36" s="2144"/>
      <c r="M36" s="2145"/>
      <c r="N36" s="2134"/>
      <c r="O36" s="2145"/>
      <c r="P36" s="3944" t="str">
        <f>A36</f>
        <v>比较价格（元/平方米）</v>
      </c>
      <c r="Q36" s="3944"/>
      <c r="R36" s="3945" t="e">
        <f>IF(F1="售价",ROUND(PRODUCT(R35,AA7:AA34),0),ROUND(PRODUCT(R35,AA7:AA34),1))</f>
        <v>#DIV/0!</v>
      </c>
      <c r="S36" s="3945"/>
      <c r="T36" s="3945" t="e">
        <f>IF(F1="售价",ROUND(PRODUCT(T35,AB7:AB34),0),ROUND(PRODUCT(T35,AB7:AB34),1))</f>
        <v>#DIV/0!</v>
      </c>
      <c r="U36" s="3945"/>
      <c r="V36" s="3945" t="e">
        <f>IF(F1="售价",ROUND(PRODUCT(V35,AC7:AC34),0),ROUND(PRODUCT(V35,AC7:AC34),1))</f>
        <v>#DIV/0!</v>
      </c>
      <c r="W36" s="3945"/>
      <c r="X36" s="1559"/>
      <c r="Y36" s="1559"/>
      <c r="Z36" s="1559"/>
      <c r="AA36" s="1559"/>
      <c r="AB36" s="1559"/>
      <c r="AC36" s="1559"/>
    </row>
    <row r="37" spans="1:29" ht="15.75" thickBot="1">
      <c r="A37" s="621" t="s">
        <v>2937</v>
      </c>
      <c r="B37" s="622"/>
      <c r="C37" s="2615" t="e">
        <f>R37</f>
        <v>#DIV/0!</v>
      </c>
      <c r="D37" s="2615"/>
      <c r="E37" s="2615"/>
      <c r="F37" s="2615"/>
      <c r="G37" s="2615"/>
      <c r="H37" s="2615"/>
      <c r="I37" s="2615"/>
      <c r="J37" s="2615"/>
      <c r="K37" s="1613"/>
      <c r="L37" s="2144"/>
      <c r="M37" s="2145"/>
      <c r="N37" s="2145"/>
      <c r="O37" s="2145"/>
      <c r="P37" s="3946" t="str">
        <f>A37</f>
        <v>估价对象XX用房的比较价格（楼面单价，元/平方米）</v>
      </c>
      <c r="Q37" s="3947"/>
      <c r="R37" s="3948" t="e">
        <f>IF(F1="售价",ROUND(AVERAGE(R36:V36),0),ROUND(AVERAGE(R36:V36),1))</f>
        <v>#DIV/0!</v>
      </c>
      <c r="S37" s="3948"/>
      <c r="T37" s="3948"/>
      <c r="U37" s="3948"/>
      <c r="V37" s="3948"/>
      <c r="W37" s="394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2304</v>
      </c>
      <c r="C1" s="4054" t="s">
        <v>2305</v>
      </c>
      <c r="D1" s="4055"/>
      <c r="E1" s="4055"/>
      <c r="F1" s="4055"/>
      <c r="G1" s="4055"/>
      <c r="H1" s="4055"/>
      <c r="I1" s="4055"/>
      <c r="J1" s="4055"/>
      <c r="K1" s="4055"/>
      <c r="L1" s="4055"/>
      <c r="M1" s="4055"/>
      <c r="N1" s="4055"/>
      <c r="O1" s="4055"/>
      <c r="P1" s="4055"/>
      <c r="Q1" s="4055"/>
      <c r="R1" s="4055"/>
      <c r="S1" s="405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2929</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2928</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4051" t="s">
        <v>20</v>
      </c>
      <c r="D22" s="4052"/>
      <c r="E22" s="4052"/>
      <c r="F22" s="4052"/>
      <c r="G22" s="4052"/>
      <c r="H22" s="4052"/>
      <c r="I22" s="4052"/>
      <c r="J22" s="4052"/>
      <c r="K22" s="4052"/>
      <c r="L22" s="4052"/>
      <c r="M22" s="4052"/>
      <c r="N22" s="4052"/>
      <c r="O22" s="4052"/>
      <c r="P22" s="4052"/>
      <c r="Q22" s="405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12" t="s">
        <v>2039</v>
      </c>
      <c r="B1" s="3612"/>
      <c r="C1" s="3612"/>
      <c r="D1" s="3612"/>
      <c r="E1" s="3612"/>
      <c r="F1" s="3612"/>
      <c r="G1" s="3612"/>
      <c r="H1" s="3612"/>
      <c r="I1" s="3612"/>
      <c r="J1" s="3612"/>
      <c r="K1" s="3612"/>
      <c r="L1" s="3612"/>
      <c r="M1" s="3612"/>
      <c r="N1" s="3612"/>
      <c r="O1" s="3612"/>
      <c r="P1" s="3612"/>
      <c r="Q1" s="3612"/>
      <c r="R1" s="3612"/>
    </row>
    <row r="2" spans="1:18">
      <c r="A2" s="1807" t="s">
        <v>2041</v>
      </c>
      <c r="B2" s="1807"/>
      <c r="C2" s="1807"/>
      <c r="D2" s="1807"/>
      <c r="E2" s="1807"/>
      <c r="F2" s="1807"/>
      <c r="G2" s="1807"/>
      <c r="H2" s="1807"/>
      <c r="I2" s="1808"/>
      <c r="J2" s="1808"/>
      <c r="K2" s="1809" t="str">
        <f>"估价期日："&amp;TEXT(项目基本情况!D3,"yyyy年m月d日;;")</f>
        <v>估价期日：2019年3月28日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613" t="s">
        <v>2030</v>
      </c>
      <c r="B3" s="3613" t="s">
        <v>2732</v>
      </c>
      <c r="C3" s="3614" t="s">
        <v>2031</v>
      </c>
      <c r="D3" s="3613" t="s">
        <v>2736</v>
      </c>
      <c r="E3" s="3616" t="s">
        <v>2032</v>
      </c>
      <c r="F3" s="3616"/>
      <c r="G3" s="3616"/>
      <c r="H3" s="3616" t="s">
        <v>2033</v>
      </c>
      <c r="I3" s="3616"/>
      <c r="J3" s="3616"/>
      <c r="K3" s="3614" t="s">
        <v>2034</v>
      </c>
      <c r="L3" s="3614" t="s">
        <v>2035</v>
      </c>
      <c r="M3" s="3613" t="s">
        <v>2733</v>
      </c>
      <c r="N3" s="3615" t="str">
        <f>"（分摊）"&amp;项目基本情况!B16&amp;"国有建设用地使用权面积/㎡"</f>
        <v>（分摊）出让国有建设用地使用权面积/㎡</v>
      </c>
      <c r="O3" s="3613" t="s">
        <v>2064</v>
      </c>
      <c r="P3" s="3614" t="s">
        <v>2044</v>
      </c>
      <c r="Q3" s="3614" t="s">
        <v>2065</v>
      </c>
      <c r="R3" s="3614" t="s">
        <v>2036</v>
      </c>
    </row>
    <row r="4" spans="1:18" ht="36.75" customHeight="1">
      <c r="A4" s="3613"/>
      <c r="B4" s="3613"/>
      <c r="C4" s="3614"/>
      <c r="D4" s="3613"/>
      <c r="E4" s="2628" t="s">
        <v>2043</v>
      </c>
      <c r="F4" s="2628" t="s">
        <v>2745</v>
      </c>
      <c r="G4" s="2628" t="s">
        <v>2037</v>
      </c>
      <c r="H4" s="2628" t="s">
        <v>2038</v>
      </c>
      <c r="I4" s="2628" t="s">
        <v>2746</v>
      </c>
      <c r="J4" s="2628" t="s">
        <v>2037</v>
      </c>
      <c r="K4" s="3614"/>
      <c r="L4" s="3614"/>
      <c r="M4" s="3613"/>
      <c r="N4" s="3615"/>
      <c r="O4" s="3613"/>
      <c r="P4" s="3614"/>
      <c r="Q4" s="3614"/>
      <c r="R4" s="3614"/>
    </row>
    <row r="5" spans="1:18" ht="135" customHeight="1">
      <c r="A5" s="1943" t="s">
        <v>2656</v>
      </c>
      <c r="B5" s="2845"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6130.06</v>
      </c>
      <c r="O5" s="1810">
        <f>项目基本情况!C21</f>
        <v>59625.46</v>
      </c>
      <c r="P5" s="1810">
        <f ca="1">结果表!E42</f>
        <v>11453</v>
      </c>
      <c r="Q5" s="1810">
        <f ca="1">结果表!D42</f>
        <v>1178</v>
      </c>
      <c r="R5" s="1811">
        <f ca="1">结果表!C42</f>
        <v>7021</v>
      </c>
    </row>
    <row r="6" spans="1:18">
      <c r="A6" s="3617" t="str">
        <f>IF(项目基本情况!B9="市场价格","——","抵押价格")</f>
        <v>——</v>
      </c>
      <c r="B6" s="3618"/>
      <c r="C6" s="3618"/>
      <c r="D6" s="3618"/>
      <c r="E6" s="3618"/>
      <c r="F6" s="3618"/>
      <c r="G6" s="3618"/>
      <c r="H6" s="3618"/>
      <c r="I6" s="3618"/>
      <c r="J6" s="3618"/>
      <c r="K6" s="3618"/>
      <c r="L6" s="3618"/>
      <c r="M6" s="3618"/>
      <c r="N6" s="3618"/>
      <c r="O6" s="3618"/>
      <c r="P6" s="3618"/>
      <c r="Q6" s="3619"/>
      <c r="R6" s="1812" t="str">
        <f>结果表!O39</f>
        <v>——</v>
      </c>
    </row>
    <row r="7" spans="1:18">
      <c r="A7" s="3617" t="str">
        <f>IF(项目基本情况!B9="市场价格","——",IF(项目基本情况!E8="已注销及未注销","抵押担保权已注销时的抵押价格","——"))</f>
        <v>——</v>
      </c>
      <c r="B7" s="3618"/>
      <c r="C7" s="3618"/>
      <c r="D7" s="3618"/>
      <c r="E7" s="3618"/>
      <c r="F7" s="3618"/>
      <c r="G7" s="3618"/>
      <c r="H7" s="3618"/>
      <c r="I7" s="3618"/>
      <c r="J7" s="3618"/>
      <c r="K7" s="3618"/>
      <c r="L7" s="3618"/>
      <c r="M7" s="3618"/>
      <c r="N7" s="3618"/>
      <c r="O7" s="3618"/>
      <c r="P7" s="3618"/>
      <c r="Q7" s="3619"/>
      <c r="R7" s="1812" t="str">
        <f>结果表!O40</f>
        <v>——</v>
      </c>
    </row>
    <row r="8" spans="1:18">
      <c r="A8" s="3617" t="str">
        <f>IF(项目基本情况!B9="市场价格","——",项目基本情况!E9)</f>
        <v>——</v>
      </c>
      <c r="B8" s="3618"/>
      <c r="C8" s="3618"/>
      <c r="D8" s="3618"/>
      <c r="E8" s="3618"/>
      <c r="F8" s="3618"/>
      <c r="G8" s="3618"/>
      <c r="H8" s="3618"/>
      <c r="I8" s="3618"/>
      <c r="J8" s="3618"/>
      <c r="K8" s="3618"/>
      <c r="L8" s="3618"/>
      <c r="M8" s="3618"/>
      <c r="N8" s="3618"/>
      <c r="O8" s="3618"/>
      <c r="P8" s="3618"/>
      <c r="Q8" s="361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2788</v>
      </c>
      <c r="C1" s="2982">
        <f>项目基本情况!D3</f>
        <v>43552</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2819</v>
      </c>
      <c r="C2" s="2983">
        <f>'数据-取费表'!B22</f>
        <v>2</v>
      </c>
      <c r="D2" s="2978" t="s">
        <v>2789</v>
      </c>
      <c r="E2" s="2981">
        <f ca="1">INDIRECT("I"&amp;$I$1)/100</f>
        <v>4.7500000000000001E-2</v>
      </c>
      <c r="G2" s="2918"/>
      <c r="H2" s="2918"/>
      <c r="I2" s="2918" t="s">
        <v>2790</v>
      </c>
      <c r="K2" s="2918"/>
      <c r="L2" s="2918"/>
      <c r="M2" s="2918"/>
      <c r="N2" s="2918" t="s">
        <v>2791</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2821</v>
      </c>
      <c r="C3" s="2980">
        <f>'数据-取费表'!B19</f>
        <v>0</v>
      </c>
      <c r="D3" s="2978" t="s">
        <v>2789</v>
      </c>
      <c r="E3" s="2981">
        <f ca="1">INDIRECT("J"&amp;$J$1)/100</f>
        <v>0</v>
      </c>
      <c r="G3" s="2920" t="s">
        <v>2792</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2820</v>
      </c>
      <c r="C4" s="2981">
        <f ca="1">N4/100</f>
        <v>1.4999999999999999E-2</v>
      </c>
      <c r="G4" s="2926" t="s">
        <v>2793</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2794</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2795</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2796</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2797</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2798</v>
      </c>
      <c r="C10" s="2945"/>
      <c r="D10" s="2945"/>
      <c r="E10" s="2945"/>
      <c r="F10" s="2945"/>
      <c r="G10" s="2945"/>
      <c r="H10" s="2945"/>
      <c r="I10" s="2919"/>
      <c r="J10" s="2919"/>
      <c r="K10" s="2945"/>
      <c r="L10" s="2946" t="s">
        <v>2799</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2800</v>
      </c>
      <c r="C11" s="2950" t="s">
        <v>2801</v>
      </c>
      <c r="D11" s="2951" t="s">
        <v>2802</v>
      </c>
      <c r="E11" s="2952"/>
      <c r="F11" s="2951" t="s">
        <v>2803</v>
      </c>
      <c r="G11" s="2953"/>
      <c r="H11" s="2952"/>
      <c r="I11" s="2951" t="s">
        <v>2804</v>
      </c>
      <c r="J11" s="2952"/>
      <c r="K11" s="2948"/>
      <c r="L11" s="2949" t="s">
        <v>2800</v>
      </c>
      <c r="M11" s="2950" t="s">
        <v>2801</v>
      </c>
      <c r="N11" s="2949" t="s">
        <v>2805</v>
      </c>
      <c r="O11" s="2951" t="s">
        <v>2806</v>
      </c>
      <c r="P11" s="2953"/>
      <c r="Q11" s="2953"/>
      <c r="R11" s="2953"/>
      <c r="S11" s="2953"/>
      <c r="T11" s="2952"/>
      <c r="U11" s="2951" t="s">
        <v>2807</v>
      </c>
      <c r="V11" s="2953"/>
      <c r="W11" s="2952"/>
      <c r="X11" s="2949" t="s">
        <v>2808</v>
      </c>
      <c r="Y11" s="2949" t="s">
        <v>2809</v>
      </c>
      <c r="Z11" s="2949" t="s">
        <v>2810</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2811</v>
      </c>
      <c r="E12" s="2958" t="s">
        <v>2812</v>
      </c>
      <c r="F12" s="2958" t="s">
        <v>2813</v>
      </c>
      <c r="G12" s="2958" t="s">
        <v>2814</v>
      </c>
      <c r="H12" s="2958" t="s">
        <v>2796</v>
      </c>
      <c r="I12" s="2959" t="s">
        <v>2815</v>
      </c>
      <c r="J12" s="2959" t="s">
        <v>2815</v>
      </c>
      <c r="K12" s="2955"/>
      <c r="L12" s="2956"/>
      <c r="M12" s="2957"/>
      <c r="N12" s="2956"/>
      <c r="O12" s="2959" t="s">
        <v>2816</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2817</v>
      </c>
      <c r="C13" s="2963">
        <v>42301</v>
      </c>
      <c r="D13" s="2964">
        <v>4.3499999999999996</v>
      </c>
      <c r="E13" s="2964">
        <v>4.3499999999999996</v>
      </c>
      <c r="F13" s="2964">
        <v>4.75</v>
      </c>
      <c r="G13" s="2964">
        <v>4.75</v>
      </c>
      <c r="H13" s="2964">
        <v>4.9000000000000004</v>
      </c>
      <c r="I13" s="2964">
        <v>2.75</v>
      </c>
      <c r="J13" s="2964">
        <v>3.25</v>
      </c>
      <c r="K13" s="2961"/>
      <c r="L13" s="2962" t="s">
        <v>2817</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2818</v>
      </c>
      <c r="Y42" s="2968" t="s">
        <v>2818</v>
      </c>
      <c r="Z42" s="2968" t="s">
        <v>2818</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2818</v>
      </c>
      <c r="Y43" s="2968" t="s">
        <v>2818</v>
      </c>
      <c r="Z43" s="2968" t="s">
        <v>2818</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2818</v>
      </c>
      <c r="Y44" s="2968" t="s">
        <v>2818</v>
      </c>
      <c r="Z44" s="2968" t="s">
        <v>2818</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2818</v>
      </c>
      <c r="Y45" s="2968" t="s">
        <v>2818</v>
      </c>
      <c r="Z45" s="2968" t="s">
        <v>2818</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2818</v>
      </c>
      <c r="Y46" s="2968" t="s">
        <v>2818</v>
      </c>
      <c r="Z46" s="2968" t="s">
        <v>2818</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2818</v>
      </c>
      <c r="Y47" s="2968" t="s">
        <v>2818</v>
      </c>
      <c r="Z47" s="2968" t="s">
        <v>2818</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2818</v>
      </c>
      <c r="Y48" s="2968" t="s">
        <v>2818</v>
      </c>
      <c r="Z48" s="2968" t="s">
        <v>2818</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2818</v>
      </c>
      <c r="Y49" s="2968" t="s">
        <v>2818</v>
      </c>
      <c r="Z49" s="2968" t="s">
        <v>2818</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2818</v>
      </c>
      <c r="Y50" s="2968" t="s">
        <v>2818</v>
      </c>
      <c r="Z50" s="2968" t="s">
        <v>2818</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2818</v>
      </c>
      <c r="V51" s="2968" t="s">
        <v>2818</v>
      </c>
      <c r="W51" s="2968" t="s">
        <v>2818</v>
      </c>
      <c r="X51" s="2968" t="s">
        <v>2818</v>
      </c>
      <c r="Y51" s="2968" t="s">
        <v>2818</v>
      </c>
      <c r="Z51" s="2968" t="s">
        <v>2818</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2818</v>
      </c>
      <c r="J55" s="2968" t="s">
        <v>2818</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621" t="s">
        <v>2066</v>
      </c>
      <c r="B1" s="3621"/>
      <c r="C1" s="3621"/>
      <c r="D1" s="3621"/>
    </row>
    <row r="2" spans="1:4" ht="47.25" customHeight="1">
      <c r="A2" s="3622" t="str">
        <f>"1.权利限制："&amp;项目基本情况!L24&amp;"未设定租赁等其他他项权利。"</f>
        <v>1.权利限制：根据估价对象《不动产权证书》原件、《国有土地使用权》复印件，截至估价期日，估价对象抵押权未见登记。未设定租赁等其他他项权利。</v>
      </c>
      <c r="B2" s="3622"/>
      <c r="C2" s="3622"/>
      <c r="D2" s="3622"/>
    </row>
    <row r="3" spans="1:4" ht="48" customHeight="1">
      <c r="A3" s="36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21"/>
      <c r="C3" s="3621"/>
      <c r="D3" s="3621"/>
    </row>
    <row r="4" spans="1:4" ht="36.75" customHeight="1">
      <c r="A4" s="3621" t="str">
        <f>"3.估价规划限制条件：详见"&amp;项目基本情况!E21&amp;"。"</f>
        <v>3.估价规划限制条件：详见《建设工程规划许可证》[]、《出让合同》[]。</v>
      </c>
      <c r="B4" s="3621"/>
      <c r="C4" s="3621"/>
      <c r="D4" s="3621"/>
    </row>
    <row r="5" spans="1:4">
      <c r="A5" s="3620" t="s">
        <v>2067</v>
      </c>
      <c r="B5" s="3620"/>
      <c r="C5" s="3620"/>
      <c r="D5" s="3620"/>
    </row>
    <row r="6" spans="1:4">
      <c r="A6" s="3621" t="s">
        <v>2045</v>
      </c>
      <c r="B6" s="3621"/>
      <c r="C6" s="3621"/>
      <c r="D6" s="3621"/>
    </row>
    <row r="7" spans="1:4" ht="33" customHeight="1">
      <c r="A7" s="3621" t="s">
        <v>2576</v>
      </c>
      <c r="B7" s="3621"/>
      <c r="C7" s="3621"/>
      <c r="D7" s="3621"/>
    </row>
    <row r="8" spans="1:4" ht="32.25" customHeight="1">
      <c r="A8" s="36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21"/>
      <c r="C8" s="3621"/>
      <c r="D8" s="3621"/>
    </row>
    <row r="9" spans="1:4" ht="33.75" customHeight="1">
      <c r="A9" s="3621" t="str">
        <f>IF(项目基本情况!B8="抵押","3.抵押双方在办理抵押登记手续时，应使用本公司出具的正式《土地估价报告》，特提请报告使用者注意。","——")</f>
        <v>——</v>
      </c>
      <c r="B9" s="3621"/>
      <c r="C9" s="3621"/>
      <c r="D9" s="3621"/>
    </row>
    <row r="10" spans="1:4">
      <c r="A10" s="3621" t="str">
        <f>IF(项目基本情况!B8="抵押","4.估价师所知悉的法定优先受偿款情况为：","——")</f>
        <v>——</v>
      </c>
      <c r="B10" s="3621"/>
      <c r="C10" s="3621"/>
      <c r="D10" s="3621"/>
    </row>
    <row r="11" spans="1:4" ht="37.5" customHeight="1">
      <c r="A11" s="3623" t="str">
        <f>IF(项目基本情况!B8="抵押","（1）"&amp;CONCATENATE(项目基本情况!L24,项目基本情况!L25,项目基本情况!L26),"——")</f>
        <v>——</v>
      </c>
      <c r="B11" s="3623"/>
      <c r="C11" s="3623"/>
      <c r="D11" s="3623"/>
    </row>
    <row r="12" spans="1:4" ht="168" customHeight="1">
      <c r="A12" s="3620" t="s">
        <v>2069</v>
      </c>
      <c r="B12" s="3620"/>
      <c r="C12" s="3620"/>
      <c r="D12" s="3620"/>
    </row>
    <row r="13" spans="1:4">
      <c r="A13" s="3624" t="s">
        <v>2747</v>
      </c>
      <c r="B13" s="3624"/>
      <c r="C13" s="3624"/>
      <c r="D13" s="3624"/>
    </row>
    <row r="14" spans="1:4">
      <c r="A14" s="3623" t="str">
        <f>IF(项目基本情况!B8="抵押","综上，"&amp;结果表!K47,"——")</f>
        <v>——</v>
      </c>
      <c r="B14" s="3623"/>
      <c r="C14" s="3623"/>
      <c r="D14" s="3623"/>
    </row>
    <row r="15" spans="1:4" ht="58.5" customHeight="1">
      <c r="A15" s="36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21"/>
      <c r="C15" s="3621"/>
      <c r="D15" s="3621"/>
    </row>
    <row r="16" spans="1:4" ht="70.5" customHeight="1">
      <c r="A16" s="36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21"/>
      <c r="C16" s="3621"/>
      <c r="D16" s="3621"/>
    </row>
    <row r="17" spans="1:4">
      <c r="A17" s="3621" t="s">
        <v>2703</v>
      </c>
      <c r="B17" s="3621"/>
      <c r="C17" s="3621"/>
      <c r="D17" s="3621"/>
    </row>
    <row r="18" spans="1:4">
      <c r="A18" s="3621" t="s">
        <v>2695</v>
      </c>
      <c r="B18" s="3621"/>
      <c r="C18" s="3621"/>
      <c r="D18" s="3621"/>
    </row>
    <row r="19" spans="1:4">
      <c r="A19" s="2846" t="s">
        <v>2696</v>
      </c>
      <c r="B19" s="2846" t="s">
        <v>2697</v>
      </c>
      <c r="C19" s="2846" t="s">
        <v>2698</v>
      </c>
      <c r="D19" s="2846" t="s">
        <v>2699</v>
      </c>
    </row>
    <row r="20" spans="1:4">
      <c r="A20" s="2846" t="str">
        <f>项目基本情况!B4</f>
        <v>土地估价师</v>
      </c>
      <c r="B20" s="2846">
        <f>项目基本情况!C4</f>
        <v>0</v>
      </c>
      <c r="C20" s="2848"/>
      <c r="D20" s="1800" t="s">
        <v>2704</v>
      </c>
    </row>
    <row r="21" spans="1:4">
      <c r="A21" s="2846" t="str">
        <f>项目基本情况!D4</f>
        <v>土地估价师</v>
      </c>
      <c r="B21" s="2846">
        <f>项目基本情况!E4</f>
        <v>0</v>
      </c>
      <c r="C21" s="2848"/>
      <c r="D21" s="1800" t="s">
        <v>2705</v>
      </c>
    </row>
    <row r="23" spans="1:4">
      <c r="A23" s="3621" t="s">
        <v>2700</v>
      </c>
      <c r="B23" s="3621"/>
      <c r="C23" s="3621"/>
      <c r="D23" s="3621"/>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32" t="s">
        <v>53</v>
      </c>
      <c r="B15" s="3633" t="s">
        <v>846</v>
      </c>
      <c r="C15" s="3629"/>
    </row>
    <row r="16" spans="1:7" ht="14.25">
      <c r="A16" s="3632"/>
      <c r="B16" s="3630" t="s">
        <v>54</v>
      </c>
      <c r="C16" s="1172" t="s">
        <v>53</v>
      </c>
    </row>
    <row r="17" spans="1:3" ht="14.25">
      <c r="A17" s="3632"/>
      <c r="B17" s="3630"/>
      <c r="C17" s="1172" t="s">
        <v>55</v>
      </c>
    </row>
    <row r="18" spans="1:3" ht="14.25">
      <c r="A18" s="3632"/>
      <c r="B18" s="3630"/>
      <c r="C18" s="1172" t="s">
        <v>56</v>
      </c>
    </row>
    <row r="19" spans="1:3" ht="14.25">
      <c r="A19" s="3632"/>
      <c r="B19" s="3628" t="s">
        <v>57</v>
      </c>
      <c r="C19" s="3629"/>
    </row>
    <row r="20" spans="1:3" ht="14.25">
      <c r="A20" s="1173" t="s">
        <v>58</v>
      </c>
      <c r="B20" s="1174"/>
      <c r="C20" s="1175"/>
    </row>
    <row r="21" spans="1:3" ht="14.25">
      <c r="A21" s="3631" t="s">
        <v>59</v>
      </c>
      <c r="B21" s="3628" t="s">
        <v>60</v>
      </c>
      <c r="C21" s="3629"/>
    </row>
    <row r="22" spans="1:3" ht="14.25">
      <c r="A22" s="3631"/>
      <c r="B22" s="3628" t="s">
        <v>61</v>
      </c>
      <c r="C22" s="3629"/>
    </row>
    <row r="23" spans="1:3" ht="14.25">
      <c r="A23" s="3631"/>
      <c r="B23" s="3628" t="s">
        <v>62</v>
      </c>
      <c r="C23" s="3629"/>
    </row>
    <row r="24" spans="1:3" ht="14.25">
      <c r="A24" s="3631"/>
      <c r="B24" s="3634" t="s">
        <v>63</v>
      </c>
      <c r="C24" s="1176" t="s">
        <v>837</v>
      </c>
    </row>
    <row r="25" spans="1:3" ht="14.25">
      <c r="A25" s="3631"/>
      <c r="B25" s="3635"/>
      <c r="C25" s="1176" t="s">
        <v>838</v>
      </c>
    </row>
    <row r="26" spans="1:3" ht="14.25">
      <c r="A26" s="3631"/>
      <c r="B26" s="3635"/>
      <c r="C26" s="1176" t="s">
        <v>839</v>
      </c>
    </row>
    <row r="27" spans="1:3" ht="14.25">
      <c r="A27" s="3631"/>
      <c r="B27" s="3635"/>
      <c r="C27" s="1176" t="s">
        <v>840</v>
      </c>
    </row>
    <row r="28" spans="1:3" ht="14.25">
      <c r="A28" s="3631"/>
      <c r="B28" s="3635"/>
      <c r="C28" s="1176" t="s">
        <v>841</v>
      </c>
    </row>
    <row r="29" spans="1:3" ht="14.25">
      <c r="A29" s="3631"/>
      <c r="B29" s="3635"/>
      <c r="C29" s="1176" t="s">
        <v>842</v>
      </c>
    </row>
    <row r="30" spans="1:3" ht="14.25">
      <c r="A30" s="3631"/>
      <c r="B30" s="3635"/>
      <c r="C30" s="1176" t="s">
        <v>843</v>
      </c>
    </row>
    <row r="31" spans="1:3" ht="14.25">
      <c r="A31" s="3631"/>
      <c r="B31" s="3635"/>
      <c r="C31" s="1176" t="s">
        <v>844</v>
      </c>
    </row>
    <row r="32" spans="1:3" ht="14.25">
      <c r="A32" s="3631"/>
      <c r="B32" s="3635"/>
      <c r="C32" s="1176" t="s">
        <v>1647</v>
      </c>
    </row>
    <row r="33" spans="1:3" ht="14.25">
      <c r="A33" s="3631"/>
      <c r="B33" s="3625" t="s">
        <v>1653</v>
      </c>
      <c r="C33" s="1176" t="s">
        <v>1648</v>
      </c>
    </row>
    <row r="34" spans="1:3" ht="14.25">
      <c r="A34" s="3631"/>
      <c r="B34" s="3626"/>
      <c r="C34" s="1181" t="s">
        <v>1649</v>
      </c>
    </row>
    <row r="35" spans="1:3" ht="14.25">
      <c r="A35" s="3631"/>
      <c r="B35" s="3626"/>
      <c r="C35" s="1182" t="s">
        <v>1650</v>
      </c>
    </row>
    <row r="36" spans="1:3" ht="14.25">
      <c r="A36" s="3631"/>
      <c r="B36" s="3626"/>
      <c r="C36" s="1182" t="s">
        <v>1651</v>
      </c>
    </row>
    <row r="37" spans="1:3" ht="14.25">
      <c r="A37" s="3631"/>
      <c r="B37" s="362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43557</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636" t="s">
        <v>1927</v>
      </c>
      <c r="B25" s="3636"/>
      <c r="C25" s="3636"/>
      <c r="D25" s="3636"/>
      <c r="E25" s="3636"/>
      <c r="F25" s="3636"/>
      <c r="G25" s="3636"/>
    </row>
    <row r="26" spans="1:7" ht="20.25" customHeight="1">
      <c r="A26" s="3637" t="s">
        <v>1928</v>
      </c>
      <c r="B26" s="3637"/>
      <c r="C26" s="3637"/>
      <c r="D26" s="3637" t="s">
        <v>1929</v>
      </c>
      <c r="E26" s="3637"/>
      <c r="F26" s="3637"/>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44" priority="113">
      <formula>AND($C24-TODAY()&lt;30,TODAY()&lt;$C24)</formula>
    </cfRule>
  </conditionalFormatting>
  <conditionalFormatting sqref="C28">
    <cfRule type="expression" dxfId="243" priority="112">
      <formula>AND($C28-TODAY()&lt;30,TODAY()&lt;$C28)</formula>
    </cfRule>
  </conditionalFormatting>
  <conditionalFormatting sqref="C28 F4">
    <cfRule type="cellIs" dxfId="242" priority="114" stopIfTrue="1" operator="lessThan">
      <formula>$B$2</formula>
    </cfRule>
  </conditionalFormatting>
  <conditionalFormatting sqref="F5">
    <cfRule type="cellIs" dxfId="241" priority="110" stopIfTrue="1" operator="lessThan">
      <formula>$B$2</formula>
    </cfRule>
  </conditionalFormatting>
  <conditionalFormatting sqref="F6 F8 F10">
    <cfRule type="cellIs" dxfId="240" priority="108" stopIfTrue="1" operator="lessThan">
      <formula>$B$2</formula>
    </cfRule>
  </conditionalFormatting>
  <conditionalFormatting sqref="C24:D24">
    <cfRule type="expression" dxfId="239" priority="106">
      <formula>AND($C24-TODAY()&lt;30,TODAY()&lt;$C24)</formula>
    </cfRule>
  </conditionalFormatting>
  <conditionalFormatting sqref="F7 F9 F11 C24:D24">
    <cfRule type="cellIs" dxfId="238" priority="107" stopIfTrue="1" operator="lessThan">
      <formula>$B$2</formula>
    </cfRule>
  </conditionalFormatting>
  <conditionalFormatting sqref="F18">
    <cfRule type="cellIs" dxfId="237" priority="79" stopIfTrue="1" operator="lessThan">
      <formula>$B$2</formula>
    </cfRule>
  </conditionalFormatting>
  <conditionalFormatting sqref="F22">
    <cfRule type="cellIs" dxfId="236" priority="78" stopIfTrue="1" operator="lessThan">
      <formula>$B$2</formula>
    </cfRule>
  </conditionalFormatting>
  <conditionalFormatting sqref="F21">
    <cfRule type="cellIs" dxfId="235" priority="77" stopIfTrue="1" operator="lessThan">
      <formula>$B$2</formula>
    </cfRule>
  </conditionalFormatting>
  <conditionalFormatting sqref="B4:B11 E4:E11 E18:E23 B17:B23 B13 E13">
    <cfRule type="cellIs" dxfId="234" priority="75" stopIfTrue="1" operator="equal">
      <formula>"已过期"</formula>
    </cfRule>
  </conditionalFormatting>
  <conditionalFormatting sqref="F28">
    <cfRule type="cellIs" dxfId="233" priority="72" stopIfTrue="1" operator="lessThan">
      <formula>$B$2</formula>
    </cfRule>
  </conditionalFormatting>
  <conditionalFormatting sqref="F29">
    <cfRule type="cellIs" dxfId="232" priority="70" stopIfTrue="1" operator="lessThan">
      <formula>$B$2</formula>
    </cfRule>
  </conditionalFormatting>
  <conditionalFormatting sqref="F28">
    <cfRule type="expression" dxfId="231" priority="116">
      <formula>AND($E28-TODAY()&lt;30,TODAY()&lt;$E28)</formula>
    </cfRule>
  </conditionalFormatting>
  <conditionalFormatting sqref="F29">
    <cfRule type="expression" dxfId="230" priority="117" stopIfTrue="1">
      <formula>AND($E29-TODAY()&lt;30,TODAY()&lt;$E29)</formula>
    </cfRule>
  </conditionalFormatting>
  <conditionalFormatting sqref="C5">
    <cfRule type="expression" dxfId="229" priority="67">
      <formula>AND($C5-TODAY()&lt;30,TODAY()&lt;$C5)</formula>
    </cfRule>
  </conditionalFormatting>
  <conditionalFormatting sqref="C5">
    <cfRule type="cellIs" dxfId="228" priority="68" stopIfTrue="1" operator="lessThan">
      <formula>$B$2</formula>
    </cfRule>
  </conditionalFormatting>
  <conditionalFormatting sqref="C4:C6">
    <cfRule type="expression" dxfId="227" priority="65">
      <formula>AND($C4-TODAY()&lt;30,TODAY()&lt;$C4)</formula>
    </cfRule>
  </conditionalFormatting>
  <conditionalFormatting sqref="C4:C6">
    <cfRule type="cellIs" dxfId="226" priority="66" stopIfTrue="1" operator="lessThan">
      <formula>$B$2</formula>
    </cfRule>
  </conditionalFormatting>
  <conditionalFormatting sqref="C8:C9">
    <cfRule type="expression" dxfId="225" priority="63">
      <formula>AND($C8-TODAY()&lt;30,TODAY()&lt;$C8)</formula>
    </cfRule>
  </conditionalFormatting>
  <conditionalFormatting sqref="C8:C9">
    <cfRule type="cellIs" dxfId="224" priority="64" stopIfTrue="1" operator="lessThan">
      <formula>$B$2</formula>
    </cfRule>
  </conditionalFormatting>
  <conditionalFormatting sqref="C7">
    <cfRule type="expression" dxfId="223" priority="46">
      <formula>AND($C7-TODAY()&lt;30,TODAY()&lt;$C7)</formula>
    </cfRule>
  </conditionalFormatting>
  <conditionalFormatting sqref="C7">
    <cfRule type="cellIs" dxfId="222" priority="47" stopIfTrue="1" operator="lessThan">
      <formula>$B$2</formula>
    </cfRule>
  </conditionalFormatting>
  <conditionalFormatting sqref="C10:C11 C13 C23 C17:C21">
    <cfRule type="expression" dxfId="221" priority="44">
      <formula>AND($C10-TODAY()&lt;30,TODAY()&lt;$C10)</formula>
    </cfRule>
  </conditionalFormatting>
  <conditionalFormatting sqref="C10:C11 C13 C23 C17:C21">
    <cfRule type="cellIs" dxfId="220" priority="45" stopIfTrue="1" operator="lessThan">
      <formula>$B$2</formula>
    </cfRule>
  </conditionalFormatting>
  <conditionalFormatting sqref="F13">
    <cfRule type="cellIs" dxfId="219" priority="43" stopIfTrue="1" operator="lessThan">
      <formula>$B$2</formula>
    </cfRule>
  </conditionalFormatting>
  <conditionalFormatting sqref="F12">
    <cfRule type="cellIs" dxfId="218" priority="35" stopIfTrue="1" operator="lessThan">
      <formula>$B$2</formula>
    </cfRule>
  </conditionalFormatting>
  <conditionalFormatting sqref="B12 E12">
    <cfRule type="cellIs" dxfId="217" priority="34" stopIfTrue="1" operator="equal">
      <formula>"已过期"</formula>
    </cfRule>
  </conditionalFormatting>
  <conditionalFormatting sqref="C12">
    <cfRule type="expression" dxfId="216" priority="32">
      <formula>AND($C12-TODAY()&lt;30,TODAY()&lt;$C12)</formula>
    </cfRule>
  </conditionalFormatting>
  <conditionalFormatting sqref="C12">
    <cfRule type="cellIs" dxfId="215" priority="33" stopIfTrue="1" operator="lessThan">
      <formula>$B$2</formula>
    </cfRule>
  </conditionalFormatting>
  <conditionalFormatting sqref="C22">
    <cfRule type="expression" dxfId="214" priority="24">
      <formula>AND($C22-TODAY()&lt;30,TODAY()&lt;$C22)</formula>
    </cfRule>
  </conditionalFormatting>
  <conditionalFormatting sqref="C22">
    <cfRule type="cellIs" dxfId="213" priority="25" stopIfTrue="1" operator="lessThan">
      <formula>$B$2</formula>
    </cfRule>
  </conditionalFormatting>
  <conditionalFormatting sqref="C16">
    <cfRule type="expression" dxfId="212" priority="22">
      <formula>AND($C16-TODAY()&lt;30,TODAY()&lt;$C16)</formula>
    </cfRule>
  </conditionalFormatting>
  <conditionalFormatting sqref="C16">
    <cfRule type="cellIs" dxfId="211" priority="23" stopIfTrue="1" operator="lessThan">
      <formula>$B$2</formula>
    </cfRule>
  </conditionalFormatting>
  <conditionalFormatting sqref="C16">
    <cfRule type="expression" dxfId="210" priority="20">
      <formula>AND($C16-TODAY()&lt;30,TODAY()&lt;$C16)</formula>
    </cfRule>
  </conditionalFormatting>
  <conditionalFormatting sqref="C16">
    <cfRule type="cellIs" dxfId="209" priority="21" stopIfTrue="1" operator="lessThan">
      <formula>$B$2</formula>
    </cfRule>
  </conditionalFormatting>
  <conditionalFormatting sqref="B16">
    <cfRule type="cellIs" dxfId="208" priority="19" stopIfTrue="1" operator="equal">
      <formula>"已过期"</formula>
    </cfRule>
  </conditionalFormatting>
  <conditionalFormatting sqref="C14:C15">
    <cfRule type="expression" dxfId="207" priority="17">
      <formula>AND($C14-TODAY()&lt;30,TODAY()&lt;$C14)</formula>
    </cfRule>
  </conditionalFormatting>
  <conditionalFormatting sqref="C14:C15">
    <cfRule type="cellIs" dxfId="206" priority="18" stopIfTrue="1" operator="lessThan">
      <formula>$B$2</formula>
    </cfRule>
  </conditionalFormatting>
  <conditionalFormatting sqref="C14">
    <cfRule type="expression" dxfId="205" priority="15">
      <formula>AND($C14-TODAY()&lt;30,TODAY()&lt;$C14)</formula>
    </cfRule>
  </conditionalFormatting>
  <conditionalFormatting sqref="C14">
    <cfRule type="cellIs" dxfId="204" priority="16" stopIfTrue="1" operator="lessThan">
      <formula>$B$2</formula>
    </cfRule>
  </conditionalFormatting>
  <conditionalFormatting sqref="C15">
    <cfRule type="expression" dxfId="203" priority="13">
      <formula>AND($C15-TODAY()&lt;30,TODAY()&lt;$C15)</formula>
    </cfRule>
  </conditionalFormatting>
  <conditionalFormatting sqref="C15">
    <cfRule type="cellIs" dxfId="202" priority="14" stopIfTrue="1" operator="lessThan">
      <formula>$B$2</formula>
    </cfRule>
  </conditionalFormatting>
  <conditionalFormatting sqref="B14">
    <cfRule type="cellIs" dxfId="201" priority="12" stopIfTrue="1" operator="equal">
      <formula>"已过期"</formula>
    </cfRule>
  </conditionalFormatting>
  <conditionalFormatting sqref="B15">
    <cfRule type="cellIs" dxfId="200" priority="11" stopIfTrue="1" operator="equal">
      <formula>"已过期"</formula>
    </cfRule>
  </conditionalFormatting>
  <conditionalFormatting sqref="A15">
    <cfRule type="cellIs" dxfId="199" priority="10" stopIfTrue="1" operator="equal">
      <formula>"已过期"</formula>
    </cfRule>
  </conditionalFormatting>
  <conditionalFormatting sqref="C15">
    <cfRule type="expression" dxfId="198" priority="9">
      <formula>AND($C15-TODAY()&lt;30,TODAY()&lt;$C15)</formula>
    </cfRule>
  </conditionalFormatting>
  <conditionalFormatting sqref="F16">
    <cfRule type="cellIs" dxfId="197" priority="8" stopIfTrue="1" operator="lessThan">
      <formula>$B$2</formula>
    </cfRule>
  </conditionalFormatting>
  <conditionalFormatting sqref="E16">
    <cfRule type="cellIs" dxfId="196" priority="7" stopIfTrue="1" operator="equal">
      <formula>"已过期"</formula>
    </cfRule>
  </conditionalFormatting>
  <conditionalFormatting sqref="E15">
    <cfRule type="cellIs" dxfId="195" priority="6" stopIfTrue="1" operator="equal">
      <formula>"已过期"</formula>
    </cfRule>
  </conditionalFormatting>
  <conditionalFormatting sqref="D15">
    <cfRule type="cellIs" dxfId="194" priority="5" stopIfTrue="1" operator="equal">
      <formula>"已过期"</formula>
    </cfRule>
  </conditionalFormatting>
  <conditionalFormatting sqref="F17">
    <cfRule type="cellIs" dxfId="193" priority="4" stopIfTrue="1" operator="lessThan">
      <formula>$B$2</formula>
    </cfRule>
  </conditionalFormatting>
  <conditionalFormatting sqref="E17">
    <cfRule type="cellIs" dxfId="192" priority="3" stopIfTrue="1" operator="equal">
      <formula>"已过期"</formula>
    </cfRule>
  </conditionalFormatting>
  <conditionalFormatting sqref="E14">
    <cfRule type="cellIs" dxfId="191" priority="2" stopIfTrue="1" operator="equal">
      <formula>"已过期"</formula>
    </cfRule>
  </conditionalFormatting>
  <conditionalFormatting sqref="F14">
    <cfRule type="cellIs" dxfId="19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A25" sqref="AA25"/>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2957</v>
      </c>
      <c r="C18" s="1554"/>
    </row>
    <row r="19" spans="1:3">
      <c r="A19" s="8" t="s">
        <v>120</v>
      </c>
      <c r="B19" s="3088" t="s">
        <v>2965</v>
      </c>
      <c r="C19" s="1554"/>
    </row>
    <row r="20" spans="1:3">
      <c r="A20" s="8" t="s">
        <v>121</v>
      </c>
      <c r="B20" s="8" t="s">
        <v>3022</v>
      </c>
      <c r="C20" s="1554"/>
    </row>
    <row r="21" spans="1:3">
      <c r="A21" s="8" t="s">
        <v>122</v>
      </c>
      <c r="B21" s="8" t="s">
        <v>3021</v>
      </c>
      <c r="C21" s="1554"/>
    </row>
    <row r="22" spans="1:3">
      <c r="A22" s="8" t="s">
        <v>123</v>
      </c>
      <c r="B22" s="8" t="s">
        <v>3244</v>
      </c>
      <c r="C22" s="1554"/>
    </row>
    <row r="23" spans="1:3">
      <c r="A23" s="8" t="s">
        <v>124</v>
      </c>
      <c r="B23" s="8" t="s">
        <v>3245</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3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28日，在规划利用条件下、设定土地开发程度为红线外“七通”、宗地内场地，设定用途为，剩余土地使用年限为的出让国有建设用地使用权价格。</v>
      </c>
      <c r="D53" s="1767"/>
      <c r="E53" s="1767"/>
    </row>
    <row r="54" spans="1:5">
      <c r="A54" s="363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3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3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3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133</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结果表汇总</vt:lpstr>
      <vt:lpstr>总结果表</vt:lpstr>
      <vt:lpstr>结果表</vt:lpstr>
      <vt:lpstr>结果表-商业</vt:lpstr>
      <vt:lpstr>基准地价-商业</vt:lpstr>
      <vt:lpstr>剩余法-商业</vt:lpstr>
      <vt:lpstr>不动产比较法-商业</vt:lpstr>
      <vt:lpstr>不动产收益法-商业</vt:lpstr>
      <vt:lpstr>商业案例</vt:lpstr>
      <vt:lpstr>结果表-办公</vt:lpstr>
      <vt:lpstr>基准地价-办公</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剩余法-办公</vt:lpstr>
      <vt:lpstr>酒店收入计算</vt:lpstr>
      <vt:lpstr>成本逼近法</vt:lpstr>
      <vt:lpstr>不动产比较法-住宅</vt:lpstr>
      <vt:lpstr>不动产比较法-办公</vt:lpstr>
      <vt:lpstr>不动产收益法-办公</vt:lpstr>
      <vt:lpstr>办公案例</vt:lpstr>
      <vt:lpstr>Sheet1</vt:lpstr>
      <vt:lpstr>地价</vt:lpstr>
      <vt:lpstr>不动产比较法-工业</vt:lpstr>
      <vt:lpstr>不动产比较法-车位</vt:lpstr>
      <vt:lpstr>不动产比较法-仓储</vt:lpstr>
      <vt:lpstr>典型户型修正</vt:lpstr>
      <vt:lpstr>存贷款利率</vt:lpstr>
      <vt:lpstr>结果表汇总!Print_Area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2019-04-02T01:54:01Z</dcterms:modified>
</cp:coreProperties>
</file>