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指标" sheetId="81" r:id="rId14"/>
    <sheet name="数据-汇总表" sheetId="6" r:id="rId15"/>
    <sheet name="数据-取费表" sheetId="1" r:id="rId16"/>
    <sheet name="估价对象房地状况" sheetId="20" state="hidden" r:id="rId17"/>
    <sheet name="系统读取表" sheetId="74" r:id="rId18"/>
    <sheet name="结果表" sheetId="9" r:id="rId19"/>
    <sheet name="核对项目总净值" sheetId="85" r:id="rId20"/>
    <sheet name="地价款明细" sheetId="84" r:id="rId21"/>
    <sheet name="成本法" sheetId="68" r:id="rId22"/>
    <sheet name="成本法 (元)" sheetId="69" state="hidden" r:id="rId23"/>
    <sheet name="基准地价修正" sheetId="43" r:id="rId24"/>
    <sheet name="土地比较法-住宅、综合" sheetId="39" state="hidden" r:id="rId25"/>
    <sheet name="商业土地案例" sheetId="82" state="hidden" r:id="rId26"/>
    <sheet name="假设开发法" sheetId="12"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收益法" sheetId="15"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商业、办公" sheetId="83" r:id="rId50"/>
  </sheets>
  <externalReferences>
    <externalReference r:id="rId51"/>
    <externalReference r:id="rId52"/>
    <externalReference r:id="rId53"/>
    <externalReference r:id="rId54"/>
    <externalReference r:id="rId55"/>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25" hidden="1">商业土地案例!$A$1:$AD$46</definedName>
    <definedName name="_xlnm._FilterDatabase" localSheetId="12" hidden="1">'数据-基础表'!$A$12:$AT$587</definedName>
    <definedName name="_xlnm._FilterDatabase" localSheetId="37"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19">核对项目总净值!$A$1:$I$127</definedName>
    <definedName name="_xlnm.Print_Area" localSheetId="39">'基准地价（汇总）'!$A$1:$E$13</definedName>
    <definedName name="_xlnm.Print_Area" localSheetId="23">基准地价修正!$A$1:$J$44,基准地价修正!$A$47:$H$101,基准地价修正!$R$1:$V$16</definedName>
    <definedName name="_xlnm.Print_Area" localSheetId="26">假设开发法!$A$1:$K$32</definedName>
    <definedName name="_xlnm.Print_Area" localSheetId="18">结果表!$A$1:$I$127</definedName>
    <definedName name="_xlnm.Print_Area" localSheetId="3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7">'土地比较法-工业'!$A$1:$K$61,'土地比较法-工业'!$A$64:$M$121</definedName>
    <definedName name="_xlnm.Print_Area" localSheetId="2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79" i="81" l="1"/>
  <c r="C79" i="81"/>
  <c r="C18" i="74"/>
  <c r="B18" i="74"/>
  <c r="C17" i="74"/>
  <c r="B17" i="74"/>
  <c r="D18" i="74" l="1"/>
  <c r="G18" i="74" l="1"/>
  <c r="I18" i="74" l="1"/>
  <c r="J18" i="74"/>
  <c r="D17" i="74" l="1"/>
  <c r="G17" i="74" l="1"/>
  <c r="I17" i="74" l="1"/>
  <c r="J17" i="74"/>
  <c r="C16" i="74" l="1"/>
  <c r="B16" i="74"/>
  <c r="D16" i="74" l="1"/>
  <c r="G16" i="74" l="1"/>
  <c r="J16" i="74" l="1"/>
  <c r="I16" i="74"/>
  <c r="C15" i="74" l="1"/>
  <c r="B15" i="74"/>
  <c r="G15" i="74" l="1"/>
  <c r="D15" i="74"/>
  <c r="I15" i="74" l="1"/>
  <c r="J15" i="74" l="1"/>
  <c r="A120" i="85" l="1"/>
  <c r="E111" i="85"/>
  <c r="H112" i="85" s="1"/>
  <c r="E109" i="85"/>
  <c r="A124" i="85" s="1"/>
  <c r="E107" i="85"/>
  <c r="A122" i="85" s="1"/>
  <c r="H106" i="85"/>
  <c r="H103" i="85" s="1"/>
  <c r="D120" i="85" s="1"/>
  <c r="H105" i="85"/>
  <c r="H104" i="85"/>
  <c r="D101" i="85"/>
  <c r="C101" i="85"/>
  <c r="E90" i="85"/>
  <c r="D89" i="85"/>
  <c r="H77" i="85"/>
  <c r="D77" i="85"/>
  <c r="C76" i="85"/>
  <c r="F59" i="85"/>
  <c r="O55" i="85" s="1"/>
  <c r="E59" i="85"/>
  <c r="N55" i="85" s="1"/>
  <c r="D59" i="85"/>
  <c r="M55" i="85" s="1"/>
  <c r="F56" i="85"/>
  <c r="O54" i="85" s="1"/>
  <c r="K55" i="85"/>
  <c r="J55" i="85"/>
  <c r="I55" i="85"/>
  <c r="F55" i="85" s="1"/>
  <c r="O53" i="85" s="1"/>
  <c r="N54" i="85"/>
  <c r="N53" i="85"/>
  <c r="K49" i="85"/>
  <c r="E48" i="85"/>
  <c r="N52" i="85" s="1"/>
  <c r="F33" i="85"/>
  <c r="D27" i="85"/>
  <c r="C25" i="85"/>
  <c r="C24" i="85"/>
  <c r="D17" i="85"/>
  <c r="C17" i="85"/>
  <c r="L4" i="85"/>
  <c r="K4" i="85"/>
  <c r="H1" i="85"/>
  <c r="C18" i="85" l="1"/>
  <c r="D18" i="85" s="1"/>
  <c r="D121" i="85"/>
  <c r="K120" i="85"/>
  <c r="H111" i="85"/>
  <c r="D126" i="85" s="1"/>
  <c r="D127" i="85" s="1"/>
  <c r="A126" i="85"/>
  <c r="H109" i="85"/>
  <c r="D124" i="85" l="1"/>
  <c r="D125" i="85" s="1"/>
  <c r="H110" i="85"/>
  <c r="S17" i="83" l="1"/>
  <c r="S16" i="83"/>
  <c r="S15" i="83"/>
  <c r="S14" i="83"/>
  <c r="L14" i="1" l="1"/>
  <c r="C27" i="84" l="1"/>
  <c r="J27" i="84"/>
  <c r="B27" i="84" s="1"/>
  <c r="D27" i="84" s="1"/>
  <c r="J25" i="84"/>
  <c r="F25" i="84"/>
  <c r="E25" i="84" l="1"/>
  <c r="G25" i="84" s="1"/>
  <c r="G28" i="84" s="1"/>
  <c r="D26" i="84"/>
  <c r="D25" i="84"/>
  <c r="D19" i="84" l="1"/>
  <c r="D20" i="84" s="1"/>
  <c r="D21" i="84" l="1"/>
  <c r="AC25" i="1" l="1"/>
  <c r="AC23" i="1"/>
  <c r="AC24" i="1"/>
  <c r="AC22" i="1"/>
  <c r="N14" i="1" l="1"/>
  <c r="U26" i="1"/>
  <c r="U25" i="1"/>
  <c r="F76" i="81"/>
  <c r="F75" i="81"/>
  <c r="AN13" i="3"/>
  <c r="AL13" i="3"/>
  <c r="I13" i="3"/>
  <c r="AA21" i="1" s="1"/>
  <c r="AA22" i="1" l="1"/>
  <c r="AD21" i="1"/>
  <c r="AA23" i="1"/>
  <c r="AD23" i="1" s="1"/>
  <c r="F19" i="6"/>
  <c r="AA24" i="1" l="1"/>
  <c r="AD22" i="1"/>
  <c r="AD24" i="1" l="1"/>
  <c r="I68" i="81" l="1"/>
  <c r="K13" i="3" s="1"/>
  <c r="N62" i="77"/>
  <c r="N61" i="77"/>
  <c r="N60" i="77"/>
  <c r="X69" i="82"/>
  <c r="Y69" i="82"/>
  <c r="Z69" i="82"/>
  <c r="AA69" i="82"/>
  <c r="AB69" i="82"/>
  <c r="X68" i="82"/>
  <c r="Y68" i="82"/>
  <c r="Z68" i="82"/>
  <c r="AA68" i="82"/>
  <c r="AB68" i="82"/>
  <c r="Z67" i="82"/>
  <c r="AA67" i="82"/>
  <c r="AB67" i="82"/>
  <c r="X67" i="82"/>
  <c r="X70" i="82" s="1"/>
  <c r="Y67" i="82"/>
  <c r="W69" i="82"/>
  <c r="AG69" i="82" s="1"/>
  <c r="W68" i="82"/>
  <c r="AG68" i="82" s="1"/>
  <c r="W67" i="82"/>
  <c r="AG67" i="82" s="1"/>
  <c r="V69" i="82"/>
  <c r="V68" i="82"/>
  <c r="V67" i="82"/>
  <c r="Z64" i="82"/>
  <c r="AA64" i="82"/>
  <c r="AB64" i="82"/>
  <c r="W64" i="82"/>
  <c r="X64" i="82"/>
  <c r="Y64" i="82"/>
  <c r="AD58" i="82"/>
  <c r="AD59" i="82"/>
  <c r="AD60" i="82"/>
  <c r="AD61" i="82"/>
  <c r="AD62" i="82"/>
  <c r="AD63" i="82"/>
  <c r="AC58" i="82"/>
  <c r="AC59" i="82"/>
  <c r="AC60" i="82"/>
  <c r="AC61" i="82"/>
  <c r="AC62" i="82"/>
  <c r="AC63" i="82"/>
  <c r="AD57" i="82"/>
  <c r="AC57" i="82"/>
  <c r="V64" i="82"/>
  <c r="AA70" i="82" l="1"/>
  <c r="Y70" i="82"/>
  <c r="AA25" i="1"/>
  <c r="G19" i="6"/>
  <c r="AH6" i="1" s="1"/>
  <c r="AB70" i="82"/>
  <c r="AC67" i="82"/>
  <c r="Z72" i="82"/>
  <c r="V72" i="82"/>
  <c r="AC69" i="82"/>
  <c r="AC68" i="82"/>
  <c r="Y72" i="82"/>
  <c r="W72" i="82"/>
  <c r="AB72" i="82"/>
  <c r="X72" i="82"/>
  <c r="Z70" i="82"/>
  <c r="V70" i="82"/>
  <c r="W70" i="82"/>
  <c r="AE70" i="82" s="1"/>
  <c r="AA72" i="82"/>
  <c r="AG70" i="82"/>
  <c r="AD67" i="82" s="1"/>
  <c r="AD64" i="82"/>
  <c r="AC64" i="82"/>
  <c r="AD25" i="1" l="1"/>
  <c r="AD26" i="1" s="1"/>
  <c r="AA26" i="1"/>
  <c r="AC72" i="82"/>
  <c r="AC70" i="82"/>
  <c r="AD68" i="82"/>
  <c r="AE68" i="82" s="1"/>
  <c r="AE67" i="82"/>
  <c r="AD69" i="82"/>
  <c r="AE69" i="82" s="1"/>
  <c r="I6" i="39"/>
  <c r="G6" i="39"/>
  <c r="E6" i="39"/>
  <c r="I46" i="39"/>
  <c r="I38" i="39"/>
  <c r="I7" i="39"/>
  <c r="I5" i="39"/>
  <c r="G46" i="39"/>
  <c r="G38" i="39"/>
  <c r="G7" i="39"/>
  <c r="G5" i="39"/>
  <c r="E46" i="39"/>
  <c r="E38" i="39"/>
  <c r="E7" i="39"/>
  <c r="E5" i="39"/>
  <c r="AD72" i="82" l="1"/>
  <c r="AE72" i="82" s="1"/>
  <c r="AC26" i="1"/>
  <c r="C34" i="77"/>
  <c r="D34" i="77" l="1"/>
  <c r="E34" i="77"/>
  <c r="T30" i="1" l="1"/>
  <c r="U28" i="1"/>
  <c r="U27" i="1"/>
  <c r="O29" i="1"/>
  <c r="U24" i="1" l="1"/>
  <c r="U30" i="1" s="1"/>
  <c r="O25" i="81" l="1"/>
  <c r="N24" i="81"/>
  <c r="O24" i="81" s="1"/>
  <c r="N15" i="81" l="1"/>
  <c r="N16" i="81" s="1"/>
  <c r="C77" i="81"/>
  <c r="A3" i="3" l="1"/>
  <c r="B77" i="81"/>
  <c r="F77" i="81" s="1"/>
  <c r="E69" i="81"/>
  <c r="F69" i="81"/>
  <c r="N29" i="1" s="1"/>
  <c r="D69" i="81"/>
  <c r="J69" i="81"/>
  <c r="H69" i="81"/>
  <c r="G68" i="81"/>
  <c r="C68" i="81"/>
  <c r="G67" i="81"/>
  <c r="C67" i="81"/>
  <c r="P29" i="1" l="1"/>
  <c r="C69" i="81"/>
  <c r="N25" i="1" s="1"/>
  <c r="I69" i="81"/>
  <c r="G69" i="81" s="1"/>
  <c r="N26" i="1" s="1"/>
  <c r="B68" i="81"/>
  <c r="B67" i="81"/>
  <c r="D3" i="4"/>
  <c r="U2" i="43" l="1"/>
  <c r="P26" i="1"/>
  <c r="B69" i="81"/>
  <c r="C60" i="78"/>
  <c r="D60" i="78" s="1"/>
  <c r="D53" i="78"/>
  <c r="D52" i="78"/>
  <c r="B51" i="78"/>
  <c r="B56" i="78" s="1"/>
  <c r="U3" i="43" l="1"/>
  <c r="U4" i="43"/>
  <c r="U5" i="43"/>
  <c r="D51" i="78"/>
  <c r="C51" i="78" s="1"/>
  <c r="C56" i="78" s="1"/>
  <c r="C58" i="78" s="1"/>
  <c r="P25" i="1"/>
  <c r="P24" i="1" s="1"/>
  <c r="Q26" i="1" s="1"/>
  <c r="N24" i="1"/>
  <c r="B55" i="78"/>
  <c r="D55" i="78" s="1"/>
  <c r="B62" i="78"/>
  <c r="B54" i="78"/>
  <c r="D54" i="78" s="1"/>
  <c r="N30" i="1" l="1"/>
  <c r="N27" i="1"/>
  <c r="P27" i="1" s="1"/>
  <c r="N28" i="1"/>
  <c r="P28" i="1" s="1"/>
  <c r="O24" i="1"/>
  <c r="Q25" i="1"/>
  <c r="D56" i="78"/>
  <c r="D58" i="78" s="1"/>
  <c r="D62" i="78" s="1"/>
  <c r="C62" i="78" s="1"/>
  <c r="P30" i="1" l="1"/>
  <c r="G14" i="73"/>
  <c r="F14" i="73"/>
  <c r="E14" i="73"/>
  <c r="P31" i="1" l="1"/>
  <c r="P32" i="1" s="1"/>
  <c r="O30" i="1"/>
  <c r="Q29" i="1"/>
  <c r="Q24" i="1"/>
  <c r="Q28" i="1"/>
  <c r="Q27" i="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Q30" i="1" l="1"/>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4" i="79" l="1"/>
  <c r="W34" i="79" s="1"/>
  <c r="S42" i="79"/>
  <c r="U44" i="79"/>
  <c r="AD45" i="79"/>
  <c r="S17" i="79"/>
  <c r="AA28" i="79"/>
  <c r="AD28" i="79" s="1"/>
  <c r="AD41" i="79"/>
  <c r="N28" i="79"/>
  <c r="T19" i="79"/>
  <c r="W19" i="79" s="1"/>
  <c r="U40" i="79"/>
  <c r="AD32" i="79"/>
  <c r="AD31"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P10" i="71"/>
  <c r="O10" i="71"/>
  <c r="N10" i="71"/>
  <c r="U5" i="77" l="1"/>
  <c r="D6" i="77"/>
  <c r="E24" i="43"/>
  <c r="D18" i="77" l="1"/>
  <c r="D16" i="77"/>
  <c r="D10" i="77"/>
  <c r="D15" i="77"/>
  <c r="D17" i="77"/>
  <c r="D9" i="77"/>
  <c r="C23" i="77"/>
  <c r="Q32" i="43"/>
  <c r="P32" i="43"/>
  <c r="O32" i="43"/>
  <c r="N32" i="43"/>
  <c r="M32" i="43"/>
  <c r="AH11" i="71"/>
  <c r="AG11" i="71"/>
  <c r="AE11" i="71"/>
  <c r="AF11" i="71" s="1"/>
  <c r="AD11" i="71"/>
  <c r="Q11" i="71"/>
  <c r="P11" i="71"/>
  <c r="O11" i="71"/>
  <c r="N11" i="71"/>
  <c r="D23" i="77" l="1"/>
  <c r="C29" i="77"/>
  <c r="AH12" i="71"/>
  <c r="AG12" i="71"/>
  <c r="AE12" i="71"/>
  <c r="AF12" i="71" s="1"/>
  <c r="AD12" i="71"/>
  <c r="Q12" i="71"/>
  <c r="P12" i="71"/>
  <c r="O12" i="71"/>
  <c r="N12" i="71"/>
  <c r="D29" i="77" l="1"/>
  <c r="E23" i="77"/>
  <c r="E29" i="77" s="1"/>
  <c r="AH13" i="7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B22" i="31"/>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Y38" i="71" s="1"/>
  <c r="Z38" i="71" s="1"/>
  <c r="N38" i="71"/>
  <c r="Q37" i="71"/>
  <c r="F38" i="71" s="1"/>
  <c r="F39" i="71" s="1"/>
  <c r="P37" i="71"/>
  <c r="O37" i="71"/>
  <c r="C38" i="71" s="1"/>
  <c r="D38" i="71" s="1"/>
  <c r="N37" i="71"/>
  <c r="B38" i="71" s="1"/>
  <c r="D37" i="71"/>
  <c r="Q36" i="71"/>
  <c r="P36" i="71"/>
  <c r="O36" i="71"/>
  <c r="N36" i="71"/>
  <c r="Q35" i="71"/>
  <c r="P35" i="71"/>
  <c r="O35" i="71"/>
  <c r="N35" i="71"/>
  <c r="Q34" i="7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N29" i="71"/>
  <c r="D29" i="71"/>
  <c r="O28" i="71"/>
  <c r="N28" i="71"/>
  <c r="B28" i="71" s="1"/>
  <c r="B27" i="71" s="1"/>
  <c r="B30" i="71"/>
  <c r="B31" i="71" s="1"/>
  <c r="B32" i="71" s="1"/>
  <c r="S32" i="71" s="1"/>
  <c r="P28" i="71"/>
  <c r="E28" i="71" s="1"/>
  <c r="E67" i="71"/>
  <c r="P67" i="71" s="1"/>
  <c r="Q28" i="71"/>
  <c r="F28" i="71" s="1"/>
  <c r="E79" i="71"/>
  <c r="E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W25" i="40" s="1"/>
  <c r="H29" i="39"/>
  <c r="AB29" i="39" s="1"/>
  <c r="J29" i="39"/>
  <c r="J18" i="36"/>
  <c r="AC18" i="36" s="1"/>
  <c r="H18" i="35"/>
  <c r="AB18" i="35" s="1"/>
  <c r="J18" i="35"/>
  <c r="AC18" i="35" s="1"/>
  <c r="H21" i="37"/>
  <c r="U21" i="37" s="1"/>
  <c r="F21" i="37"/>
  <c r="AA21" i="37" s="1"/>
  <c r="F84" i="34"/>
  <c r="G84" i="34" s="1"/>
  <c r="H21" i="34"/>
  <c r="AB21" i="34" s="1"/>
  <c r="H21" i="33"/>
  <c r="U21" i="33" s="1"/>
  <c r="F21" i="33"/>
  <c r="AA21" i="33" s="1"/>
  <c r="H1" i="69"/>
  <c r="U29" i="39"/>
  <c r="W18" i="36"/>
  <c r="J21" i="37"/>
  <c r="W21" i="37" s="1"/>
  <c r="J21" i="34"/>
  <c r="W21" i="34" s="1"/>
  <c r="J21" i="33"/>
  <c r="W21" i="33" s="1"/>
  <c r="H21" i="21"/>
  <c r="U21" i="21" s="1"/>
  <c r="F38" i="69"/>
  <c r="E37" i="69"/>
  <c r="F36" i="69"/>
  <c r="F35" i="69"/>
  <c r="F21" i="69"/>
  <c r="F40" i="69" s="1"/>
  <c r="F20" i="69"/>
  <c r="F39" i="69" s="1"/>
  <c r="E10" i="69"/>
  <c r="E9" i="69"/>
  <c r="C7" i="69"/>
  <c r="J21" i="21"/>
  <c r="AC21" i="21" s="1"/>
  <c r="F38" i="68"/>
  <c r="E37" i="68"/>
  <c r="F36" i="68"/>
  <c r="F35" i="68"/>
  <c r="F21" i="68"/>
  <c r="C40" i="68" s="1"/>
  <c r="F20" i="68"/>
  <c r="F39" i="68" s="1"/>
  <c r="E10" i="68"/>
  <c r="E9" i="68"/>
  <c r="Q72" i="67"/>
  <c r="Q59" i="67"/>
  <c r="Q58" i="67"/>
  <c r="Q51" i="67"/>
  <c r="J50" i="67"/>
  <c r="M47" i="67"/>
  <c r="D46" i="67"/>
  <c r="F33" i="67"/>
  <c r="F61" i="67" s="1"/>
  <c r="F23" i="67"/>
  <c r="D24" i="67" s="1"/>
  <c r="F21" i="67"/>
  <c r="F20" i="67"/>
  <c r="M19" i="67"/>
  <c r="F18" i="67"/>
  <c r="F17" i="67"/>
  <c r="F15" i="67"/>
  <c r="S2" i="4"/>
  <c r="A13" i="5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G44" i="43" s="1"/>
  <c r="D15" i="4"/>
  <c r="C15" i="4"/>
  <c r="L21" i="4"/>
  <c r="F19" i="4"/>
  <c r="F2" i="52"/>
  <c r="B50" i="72" s="1"/>
  <c r="D2" i="52"/>
  <c r="B46" i="72" s="1"/>
  <c r="B8" i="53"/>
  <c r="B23" i="72" s="1"/>
  <c r="L4" i="9"/>
  <c r="B17" i="72"/>
  <c r="A3" i="51"/>
  <c r="C8" i="11"/>
  <c r="B40" i="48"/>
  <c r="B3" i="72" s="1"/>
  <c r="F35" i="4"/>
  <c r="J55" i="39" s="1"/>
  <c r="H38" i="43"/>
  <c r="H39" i="43"/>
  <c r="H40" i="43"/>
  <c r="H41" i="43"/>
  <c r="H37" i="43"/>
  <c r="J24" i="43"/>
  <c r="C22" i="43"/>
  <c r="C10" i="43"/>
  <c r="C11" i="43" s="1"/>
  <c r="C9" i="43"/>
  <c r="F33" i="15"/>
  <c r="F61" i="15" s="1"/>
  <c r="M19" i="15"/>
  <c r="BR13" i="3"/>
  <c r="B22" i="1"/>
  <c r="G41" i="69"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34" i="1" s="1"/>
  <c r="E20" i="6"/>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AB42" i="34" s="1"/>
  <c r="J42" i="34"/>
  <c r="W42" i="34" s="1"/>
  <c r="F42" i="34"/>
  <c r="S42" i="34" s="1"/>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H33" i="40" s="1"/>
  <c r="U33" i="40" s="1"/>
  <c r="B103" i="40"/>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F8" i="40"/>
  <c r="AA8" i="40" s="1"/>
  <c r="J38" i="39"/>
  <c r="W38" i="39" s="1"/>
  <c r="H38" i="39"/>
  <c r="AB38" i="39" s="1"/>
  <c r="F38" i="39"/>
  <c r="AA38" i="39" s="1"/>
  <c r="D123" i="39"/>
  <c r="E123" i="39" s="1"/>
  <c r="D119" i="39"/>
  <c r="F39" i="39" s="1"/>
  <c r="S39" i="39" s="1"/>
  <c r="B113" i="39"/>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D98" i="39"/>
  <c r="E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D96" i="39"/>
  <c r="J23" i="39" s="1"/>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D79" i="37"/>
  <c r="E79" i="37" s="1"/>
  <c r="F79" i="37" s="1"/>
  <c r="D75" i="37"/>
  <c r="E75" i="37" s="1"/>
  <c r="D73" i="37"/>
  <c r="E73" i="37" s="1"/>
  <c r="F73" i="37" s="1"/>
  <c r="D71" i="37"/>
  <c r="E71" i="37" s="1"/>
  <c r="F71" i="37" s="1"/>
  <c r="G71" i="37" s="1"/>
  <c r="H15" i="37"/>
  <c r="AB15" i="37" s="1"/>
  <c r="B68" i="37"/>
  <c r="H14" i="37" s="1"/>
  <c r="AB14" i="37" s="1"/>
  <c r="B66" i="37"/>
  <c r="B64" i="37"/>
  <c r="D63" i="37"/>
  <c r="E63" i="37" s="1"/>
  <c r="F63" i="37" s="1"/>
  <c r="G63" i="37" s="1"/>
  <c r="H63" i="37" s="1"/>
  <c r="I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B95" i="36"/>
  <c r="F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AA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H12" i="36" s="1"/>
  <c r="B55" i="36"/>
  <c r="H11" i="36" s="1"/>
  <c r="U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AB36" i="35" s="1"/>
  <c r="B99" i="35"/>
  <c r="J35" i="35" s="1"/>
  <c r="B97" i="35"/>
  <c r="H34" i="35" s="1"/>
  <c r="B77" i="35"/>
  <c r="B75" i="35"/>
  <c r="J24" i="35" s="1"/>
  <c r="AC24" i="35" s="1"/>
  <c r="B73" i="35"/>
  <c r="B57" i="35"/>
  <c r="F11" i="35" s="1"/>
  <c r="S11" i="35" s="1"/>
  <c r="B61" i="35"/>
  <c r="B59" i="35"/>
  <c r="F12" i="35" s="1"/>
  <c r="B131" i="34"/>
  <c r="F47" i="34" s="1"/>
  <c r="B129" i="34"/>
  <c r="F46" i="34" s="1"/>
  <c r="B127" i="34"/>
  <c r="B99" i="34"/>
  <c r="B97" i="34"/>
  <c r="B95" i="34"/>
  <c r="H30" i="34" s="1"/>
  <c r="B93" i="34"/>
  <c r="B75" i="34"/>
  <c r="B73" i="34"/>
  <c r="J13" i="34" s="1"/>
  <c r="B71" i="34"/>
  <c r="B130" i="33"/>
  <c r="B128" i="33"/>
  <c r="B126" i="33"/>
  <c r="F44" i="33" s="1"/>
  <c r="B98" i="33"/>
  <c r="H31" i="33" s="1"/>
  <c r="B96" i="33"/>
  <c r="B94" i="33"/>
  <c r="B74" i="33"/>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s="1"/>
  <c r="J38" i="33"/>
  <c r="AC38" i="33" s="1"/>
  <c r="H38" i="33"/>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c r="Q11" i="33"/>
  <c r="Z11" i="33" s="1"/>
  <c r="Q10" i="33"/>
  <c r="Z10" i="33" s="1"/>
  <c r="Q9" i="33"/>
  <c r="Z9" i="33" s="1"/>
  <c r="J8" i="33"/>
  <c r="H8" i="33"/>
  <c r="AB8" i="33" s="1"/>
  <c r="F8" i="33"/>
  <c r="AA8" i="33" s="1"/>
  <c r="M102" i="21"/>
  <c r="D102" i="21"/>
  <c r="E102" i="21"/>
  <c r="F102" i="21"/>
  <c r="G102" i="21"/>
  <c r="H102" i="21"/>
  <c r="I102" i="21"/>
  <c r="J102" i="21"/>
  <c r="K102" i="21"/>
  <c r="L102" i="21"/>
  <c r="C102" i="21"/>
  <c r="C63" i="21"/>
  <c r="G18" i="20"/>
  <c r="B90" i="43"/>
  <c r="G19" i="20"/>
  <c r="G16" i="20"/>
  <c r="G15" i="20"/>
  <c r="B83" i="43" s="1"/>
  <c r="C24" i="20"/>
  <c r="C21" i="20"/>
  <c r="C20" i="20"/>
  <c r="B101" i="43" s="1"/>
  <c r="C18" i="20"/>
  <c r="B51"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H45" i="21" s="1"/>
  <c r="B126" i="21"/>
  <c r="J44" i="21" s="1"/>
  <c r="B98" i="21"/>
  <c r="H31" i="21" s="1"/>
  <c r="B96" i="21"/>
  <c r="H30" i="21" s="1"/>
  <c r="U30" i="21" s="1"/>
  <c r="B94" i="21"/>
  <c r="J29" i="21" s="1"/>
  <c r="AC29" i="21" s="1"/>
  <c r="B92" i="21"/>
  <c r="F28" i="21" s="1"/>
  <c r="B90" i="21"/>
  <c r="B74" i="21"/>
  <c r="H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D42" i="43" s="1"/>
  <c r="H42" i="43" s="1"/>
  <c r="F34" i="21"/>
  <c r="AA34" i="21" s="1"/>
  <c r="H34" i="21"/>
  <c r="AB34" i="21" s="1"/>
  <c r="F43" i="21"/>
  <c r="S43" i="21" s="1"/>
  <c r="H38" i="21"/>
  <c r="H43" i="21"/>
  <c r="AB43" i="21" s="1"/>
  <c r="F38" i="21"/>
  <c r="S38" i="21" s="1"/>
  <c r="F36" i="21"/>
  <c r="F39" i="21"/>
  <c r="J40" i="21"/>
  <c r="W40" i="21" s="1"/>
  <c r="H35" i="21"/>
  <c r="J8" i="21"/>
  <c r="AC8" i="21" s="1"/>
  <c r="H8" i="21"/>
  <c r="U8" i="21" s="1"/>
  <c r="H10" i="21"/>
  <c r="AB10" i="21" s="1"/>
  <c r="H39" i="21"/>
  <c r="J34" i="21"/>
  <c r="H36" i="21"/>
  <c r="U36" i="21" s="1"/>
  <c r="F35" i="21"/>
  <c r="AA35" i="21" s="1"/>
  <c r="J10" i="21"/>
  <c r="AC10" i="21" s="1"/>
  <c r="H26" i="21"/>
  <c r="AB26" i="21" s="1"/>
  <c r="AB19" i="21"/>
  <c r="J19" i="21"/>
  <c r="W19" i="21" s="1"/>
  <c r="J26" i="21"/>
  <c r="W26" i="21" s="1"/>
  <c r="F26" i="21"/>
  <c r="S26" i="21" s="1"/>
  <c r="F35" i="39"/>
  <c r="F29" i="36"/>
  <c r="AA29" i="36" s="1"/>
  <c r="F16" i="36"/>
  <c r="H22" i="35"/>
  <c r="AB22" i="35" s="1"/>
  <c r="AC27" i="35"/>
  <c r="F36" i="34"/>
  <c r="S36" i="34" s="1"/>
  <c r="J35" i="34"/>
  <c r="AC35" i="34" s="1"/>
  <c r="H39" i="33"/>
  <c r="AB39" i="33" s="1"/>
  <c r="F26" i="33"/>
  <c r="AA26" i="33" s="1"/>
  <c r="F11" i="40"/>
  <c r="H11" i="40"/>
  <c r="AB11" i="40" s="1"/>
  <c r="U9" i="40"/>
  <c r="F42" i="39"/>
  <c r="AA42" i="39" s="1"/>
  <c r="H40" i="39"/>
  <c r="AB40" i="39" s="1"/>
  <c r="H34" i="39"/>
  <c r="U34" i="39" s="1"/>
  <c r="H19" i="39"/>
  <c r="AB19" i="39" s="1"/>
  <c r="F19" i="39"/>
  <c r="AA19" i="39" s="1"/>
  <c r="J23" i="40"/>
  <c r="AC23" i="40" s="1"/>
  <c r="F21" i="40"/>
  <c r="J21" i="40"/>
  <c r="H42" i="39"/>
  <c r="AB42" i="39" s="1"/>
  <c r="J34" i="39"/>
  <c r="J19" i="39"/>
  <c r="F11" i="21"/>
  <c r="S11" i="21" s="1"/>
  <c r="S40" i="39"/>
  <c r="H32" i="33"/>
  <c r="H11" i="21"/>
  <c r="U11" i="21" s="1"/>
  <c r="J11" i="21"/>
  <c r="W11" i="21" s="1"/>
  <c r="H37" i="40"/>
  <c r="H36" i="40"/>
  <c r="AB36" i="40" s="1"/>
  <c r="F35" i="40"/>
  <c r="AA35" i="40" s="1"/>
  <c r="H23" i="40"/>
  <c r="AB23" i="40" s="1"/>
  <c r="H17" i="40"/>
  <c r="U17" i="40" s="1"/>
  <c r="J15" i="40"/>
  <c r="W15" i="40" s="1"/>
  <c r="J11" i="40"/>
  <c r="J30" i="35"/>
  <c r="W30" i="35" s="1"/>
  <c r="H30" i="35"/>
  <c r="AB30" i="35" s="1"/>
  <c r="F22" i="35"/>
  <c r="H10" i="35"/>
  <c r="U10" i="35" s="1"/>
  <c r="H16" i="36"/>
  <c r="E85" i="36"/>
  <c r="F85" i="36" s="1"/>
  <c r="G85" i="36" s="1"/>
  <c r="H85" i="36" s="1"/>
  <c r="I85" i="36" s="1"/>
  <c r="J85" i="36" s="1"/>
  <c r="K85" i="36" s="1"/>
  <c r="L85" i="36" s="1"/>
  <c r="M85" i="36" s="1"/>
  <c r="J29" i="36"/>
  <c r="F14" i="35"/>
  <c r="AA14" i="35" s="1"/>
  <c r="F23" i="35"/>
  <c r="AA23" i="35" s="1"/>
  <c r="J32" i="35"/>
  <c r="AC32" i="35" s="1"/>
  <c r="J16" i="35"/>
  <c r="H16" i="35"/>
  <c r="U16" i="35" s="1"/>
  <c r="F16" i="35"/>
  <c r="H14" i="35"/>
  <c r="AB14" i="35" s="1"/>
  <c r="J29" i="35"/>
  <c r="H33" i="35"/>
  <c r="J20" i="35"/>
  <c r="F35" i="37"/>
  <c r="S35" i="37" s="1"/>
  <c r="J34" i="37"/>
  <c r="J33" i="37"/>
  <c r="AC33" i="37" s="1"/>
  <c r="U42" i="34"/>
  <c r="H40" i="34"/>
  <c r="H36" i="34"/>
  <c r="U36" i="34" s="1"/>
  <c r="F37" i="34"/>
  <c r="F25" i="34"/>
  <c r="S25" i="34" s="1"/>
  <c r="H23" i="34"/>
  <c r="U23" i="34" s="1"/>
  <c r="J23" i="34"/>
  <c r="W23" i="34" s="1"/>
  <c r="F19" i="34"/>
  <c r="S19" i="34" s="1"/>
  <c r="H17" i="34"/>
  <c r="U17" i="34" s="1"/>
  <c r="F15" i="34"/>
  <c r="AA15" i="34" s="1"/>
  <c r="J15" i="34"/>
  <c r="H15" i="34"/>
  <c r="AB15" i="34" s="1"/>
  <c r="F41" i="33"/>
  <c r="AA41" i="33" s="1"/>
  <c r="F32" i="33"/>
  <c r="J19" i="33"/>
  <c r="AC19" i="33" s="1"/>
  <c r="J15" i="33"/>
  <c r="AC15" i="33" s="1"/>
  <c r="F11" i="33"/>
  <c r="AA11" i="33" s="1"/>
  <c r="F37" i="40"/>
  <c r="F36" i="40"/>
  <c r="AA36" i="40" s="1"/>
  <c r="H28" i="40"/>
  <c r="F23" i="40"/>
  <c r="AA23" i="40" s="1"/>
  <c r="F17" i="40"/>
  <c r="AA17" i="40" s="1"/>
  <c r="J17" i="40"/>
  <c r="F15" i="40"/>
  <c r="S15" i="40" s="1"/>
  <c r="H15" i="40"/>
  <c r="AB15" i="40" s="1"/>
  <c r="F29" i="35"/>
  <c r="S29" i="35" s="1"/>
  <c r="H29" i="35"/>
  <c r="H33" i="37"/>
  <c r="F33" i="37"/>
  <c r="AA33" i="37" s="1"/>
  <c r="S34" i="37"/>
  <c r="J43" i="34"/>
  <c r="W43" i="34" s="1"/>
  <c r="J40" i="34"/>
  <c r="AC40" i="34" s="1"/>
  <c r="H38" i="34"/>
  <c r="AB38" i="34" s="1"/>
  <c r="J36" i="34"/>
  <c r="W36" i="34" s="1"/>
  <c r="H37" i="34"/>
  <c r="U37" i="34" s="1"/>
  <c r="H25" i="34"/>
  <c r="AB25" i="34" s="1"/>
  <c r="J25" i="34"/>
  <c r="AC25" i="34" s="1"/>
  <c r="F23" i="34"/>
  <c r="J19" i="34"/>
  <c r="AC19" i="34" s="1"/>
  <c r="F17" i="34"/>
  <c r="J17" i="34"/>
  <c r="H37" i="33"/>
  <c r="H15" i="33"/>
  <c r="AB15" i="33" s="1"/>
  <c r="H11" i="33"/>
  <c r="AB11" i="33" s="1"/>
  <c r="F28" i="40"/>
  <c r="AA28" i="40" s="1"/>
  <c r="AA42" i="34"/>
  <c r="J37" i="34"/>
  <c r="AC37" i="34" s="1"/>
  <c r="J11" i="33"/>
  <c r="J42" i="21"/>
  <c r="AC42" i="21" s="1"/>
  <c r="H42" i="21"/>
  <c r="J44" i="34"/>
  <c r="W44" i="34" s="1"/>
  <c r="F44" i="34"/>
  <c r="AA44" i="34" s="1"/>
  <c r="J10" i="35"/>
  <c r="AC10" i="35" s="1"/>
  <c r="F28" i="33"/>
  <c r="F33" i="35"/>
  <c r="J33" i="35"/>
  <c r="AC33" i="35" s="1"/>
  <c r="F30" i="35"/>
  <c r="S30" i="35" s="1"/>
  <c r="E89" i="35"/>
  <c r="F89" i="35" s="1"/>
  <c r="G89" i="35" s="1"/>
  <c r="H89" i="35" s="1"/>
  <c r="I89" i="35" s="1"/>
  <c r="J89" i="35" s="1"/>
  <c r="K89" i="35" s="1"/>
  <c r="L89" i="35" s="1"/>
  <c r="M89" i="35" s="1"/>
  <c r="H10" i="36"/>
  <c r="AB10" i="36" s="1"/>
  <c r="J14" i="36"/>
  <c r="AC14" i="36" s="1"/>
  <c r="H14" i="36"/>
  <c r="F28" i="36"/>
  <c r="AA28" i="36" s="1"/>
  <c r="J31" i="21"/>
  <c r="AC31" i="21" s="1"/>
  <c r="F31" i="21"/>
  <c r="S31" i="21" s="1"/>
  <c r="F13" i="33"/>
  <c r="H29" i="33"/>
  <c r="J45" i="33"/>
  <c r="F14" i="34"/>
  <c r="S14" i="34" s="1"/>
  <c r="F30" i="34"/>
  <c r="S30" i="34" s="1"/>
  <c r="H11" i="35"/>
  <c r="AB11" i="35" s="1"/>
  <c r="J26" i="36"/>
  <c r="H28" i="36"/>
  <c r="U28" i="36" s="1"/>
  <c r="J29" i="37"/>
  <c r="W29" i="37" s="1"/>
  <c r="F29" i="37"/>
  <c r="S29" i="37" s="1"/>
  <c r="F105" i="37"/>
  <c r="G105" i="37" s="1"/>
  <c r="H36" i="37"/>
  <c r="J37" i="37"/>
  <c r="AC37" i="37" s="1"/>
  <c r="H37" i="37"/>
  <c r="J40" i="37"/>
  <c r="H13" i="34"/>
  <c r="U13" i="34" s="1"/>
  <c r="J47" i="34"/>
  <c r="AC47" i="34" s="1"/>
  <c r="F13" i="37"/>
  <c r="F28" i="37"/>
  <c r="AA28" i="37" s="1"/>
  <c r="J28" i="37"/>
  <c r="H28" i="37"/>
  <c r="H38" i="37"/>
  <c r="J38" i="37"/>
  <c r="F38" i="37"/>
  <c r="S38" i="37" s="1"/>
  <c r="H43" i="39"/>
  <c r="AB43" i="39" s="1"/>
  <c r="F12" i="40"/>
  <c r="H30" i="40"/>
  <c r="AB30" i="40" s="1"/>
  <c r="J35" i="40"/>
  <c r="J37" i="40"/>
  <c r="F13" i="40"/>
  <c r="F14" i="37"/>
  <c r="S14" i="37" s="1"/>
  <c r="F13" i="39"/>
  <c r="S13" i="39" s="1"/>
  <c r="J13" i="39"/>
  <c r="W13" i="39" s="1"/>
  <c r="H13" i="39"/>
  <c r="U13" i="39" s="1"/>
  <c r="J14" i="40"/>
  <c r="W14" i="40" s="1"/>
  <c r="J14" i="37"/>
  <c r="J36" i="37"/>
  <c r="J10" i="36"/>
  <c r="AC10" i="36" s="1"/>
  <c r="F17" i="21"/>
  <c r="H17" i="21"/>
  <c r="F15" i="21"/>
  <c r="S15" i="21" s="1"/>
  <c r="G568" i="3"/>
  <c r="AC557" i="3"/>
  <c r="G557" i="3" s="1"/>
  <c r="BQ557" i="3"/>
  <c r="BQ583" i="3"/>
  <c r="BQ581" i="3"/>
  <c r="BQ579" i="3"/>
  <c r="BQ577" i="3"/>
  <c r="BQ575" i="3"/>
  <c r="BQ573" i="3"/>
  <c r="BQ571" i="3"/>
  <c r="BQ569" i="3"/>
  <c r="BQ567" i="3"/>
  <c r="BQ565" i="3"/>
  <c r="BQ563" i="3"/>
  <c r="BQ561" i="3"/>
  <c r="BQ559" i="3"/>
  <c r="BQ555" i="3"/>
  <c r="BQ553" i="3"/>
  <c r="BQ551" i="3"/>
  <c r="BQ549" i="3"/>
  <c r="BQ547" i="3"/>
  <c r="BQ545" i="3"/>
  <c r="BQ543" i="3"/>
  <c r="BQ541" i="3"/>
  <c r="BQ539" i="3"/>
  <c r="BQ537" i="3"/>
  <c r="BQ535" i="3"/>
  <c r="BQ533" i="3"/>
  <c r="BQ531" i="3"/>
  <c r="BQ529" i="3"/>
  <c r="BQ527" i="3"/>
  <c r="BQ525" i="3"/>
  <c r="BQ523" i="3"/>
  <c r="AC521" i="3"/>
  <c r="BQ521" i="3"/>
  <c r="BQ519" i="3"/>
  <c r="BQ517" i="3"/>
  <c r="BQ515" i="3"/>
  <c r="BQ513" i="3"/>
  <c r="BQ511"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F25" i="21"/>
  <c r="S25" i="21" s="1"/>
  <c r="J25" i="21"/>
  <c r="H43" i="33"/>
  <c r="H17" i="37"/>
  <c r="U17" i="37" s="1"/>
  <c r="F39" i="33"/>
  <c r="AA39" i="33" s="1"/>
  <c r="E123" i="33"/>
  <c r="F123" i="33" s="1"/>
  <c r="G123" i="33" s="1"/>
  <c r="H123" i="33" s="1"/>
  <c r="I123" i="33" s="1"/>
  <c r="J123" i="33" s="1"/>
  <c r="K123" i="33" s="1"/>
  <c r="L123" i="33" s="1"/>
  <c r="M123" i="33" s="1"/>
  <c r="F42" i="33"/>
  <c r="AA42" i="33" s="1"/>
  <c r="F14" i="36"/>
  <c r="AA14" i="36" s="1"/>
  <c r="F22" i="36"/>
  <c r="F26" i="36"/>
  <c r="S26" i="36" s="1"/>
  <c r="H35" i="34"/>
  <c r="U35" i="34" s="1"/>
  <c r="F41" i="34"/>
  <c r="H41" i="34"/>
  <c r="J41" i="34"/>
  <c r="F10" i="35"/>
  <c r="S10" i="35" s="1"/>
  <c r="F24" i="35"/>
  <c r="H24" i="35"/>
  <c r="AB24" i="35" s="1"/>
  <c r="H23" i="37"/>
  <c r="J32" i="37"/>
  <c r="AC32" i="37" s="1"/>
  <c r="F36" i="37"/>
  <c r="F37" i="37"/>
  <c r="AA37" i="37" s="1"/>
  <c r="H32" i="40"/>
  <c r="AB32" i="40" s="1"/>
  <c r="J36" i="40"/>
  <c r="W36" i="40" s="1"/>
  <c r="H19" i="37"/>
  <c r="H42" i="33"/>
  <c r="J43" i="33"/>
  <c r="W43" i="33" s="1"/>
  <c r="S28" i="31"/>
  <c r="S27" i="31"/>
  <c r="S26" i="31"/>
  <c r="U19" i="21"/>
  <c r="F43" i="33"/>
  <c r="H37" i="21"/>
  <c r="U37" i="21" s="1"/>
  <c r="H19" i="34"/>
  <c r="F36" i="35"/>
  <c r="F9" i="37"/>
  <c r="S9" i="37" s="1"/>
  <c r="F15" i="37"/>
  <c r="AA15" i="37" s="1"/>
  <c r="E94" i="37"/>
  <c r="F94" i="37" s="1"/>
  <c r="G94" i="37" s="1"/>
  <c r="H94" i="37" s="1"/>
  <c r="I94" i="37" s="1"/>
  <c r="J94" i="37" s="1"/>
  <c r="K94" i="37" s="1"/>
  <c r="L94" i="37" s="1"/>
  <c r="M94" i="37" s="1"/>
  <c r="F31" i="37"/>
  <c r="J42" i="39"/>
  <c r="AC42" i="39" s="1"/>
  <c r="H21" i="40"/>
  <c r="AB21" i="40" s="1"/>
  <c r="H31" i="37"/>
  <c r="J15" i="37"/>
  <c r="W15" i="37" s="1"/>
  <c r="AT6" i="3"/>
  <c r="AA25" i="21"/>
  <c r="H19" i="40"/>
  <c r="U19" i="40" s="1"/>
  <c r="F19" i="40"/>
  <c r="S19" i="40" s="1"/>
  <c r="F15" i="39"/>
  <c r="AA15" i="39" s="1"/>
  <c r="H15" i="39"/>
  <c r="U15" i="39" s="1"/>
  <c r="J15" i="39"/>
  <c r="W15" i="39" s="1"/>
  <c r="J19" i="40"/>
  <c r="J50" i="40"/>
  <c r="H103" i="9"/>
  <c r="B16" i="53"/>
  <c r="B33" i="72" s="1"/>
  <c r="C7" i="34"/>
  <c r="A118" i="9"/>
  <c r="A4" i="52"/>
  <c r="B41" i="72" s="1"/>
  <c r="J11" i="39"/>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BL392" i="3"/>
  <c r="G393" i="3"/>
  <c r="G17" i="3"/>
  <c r="BA17" i="3"/>
  <c r="BA15" i="3"/>
  <c r="F83" i="43"/>
  <c r="H85" i="43" s="1"/>
  <c r="F50" i="43"/>
  <c r="H54" i="43" s="1"/>
  <c r="G54" i="43" s="1"/>
  <c r="F72" i="43"/>
  <c r="H75" i="43" s="1"/>
  <c r="S14" i="35"/>
  <c r="AC35" i="21"/>
  <c r="J37" i="33"/>
  <c r="W37" i="33" s="1"/>
  <c r="J34" i="33"/>
  <c r="W34" i="33" s="1"/>
  <c r="F33" i="34"/>
  <c r="S33" i="34" s="1"/>
  <c r="H20" i="36"/>
  <c r="J20" i="36"/>
  <c r="W20" i="36" s="1"/>
  <c r="J27" i="36"/>
  <c r="W27" i="36" s="1"/>
  <c r="H35" i="40"/>
  <c r="AC29" i="35"/>
  <c r="W29" i="35"/>
  <c r="H35" i="37"/>
  <c r="AC14" i="35"/>
  <c r="H20" i="35"/>
  <c r="AB20" i="35" s="1"/>
  <c r="F20" i="35"/>
  <c r="H32" i="37"/>
  <c r="H27" i="40"/>
  <c r="U27" i="40" s="1"/>
  <c r="J27" i="40"/>
  <c r="J30" i="40"/>
  <c r="F30" i="40"/>
  <c r="F10" i="33"/>
  <c r="S10" i="33" s="1"/>
  <c r="F34" i="33"/>
  <c r="H34" i="33"/>
  <c r="F35" i="33"/>
  <c r="F39" i="34"/>
  <c r="AA39" i="34" s="1"/>
  <c r="J39" i="34"/>
  <c r="F40" i="34"/>
  <c r="F43" i="34"/>
  <c r="AA43" i="34" s="1"/>
  <c r="H44" i="34"/>
  <c r="U44" i="34" s="1"/>
  <c r="C40" i="11"/>
  <c r="H27" i="36"/>
  <c r="U27" i="36" s="1"/>
  <c r="F27" i="36"/>
  <c r="AA27" i="36" s="1"/>
  <c r="H33" i="34"/>
  <c r="F32" i="37"/>
  <c r="F20" i="36"/>
  <c r="AA20" i="36" s="1"/>
  <c r="J33" i="34"/>
  <c r="H23" i="39"/>
  <c r="U23" i="39" s="1"/>
  <c r="K9" i="1"/>
  <c r="M9" i="1" s="1"/>
  <c r="D93" i="9"/>
  <c r="AC39" i="40"/>
  <c r="W39" i="40"/>
  <c r="BL14" i="3"/>
  <c r="S19" i="39"/>
  <c r="F39" i="40"/>
  <c r="AA39" i="40" s="1"/>
  <c r="BA14" i="3"/>
  <c r="B12" i="1"/>
  <c r="E12" i="1" s="1"/>
  <c r="B10" i="1"/>
  <c r="E10" i="1" s="1"/>
  <c r="K12" i="1"/>
  <c r="M12" i="1" s="1"/>
  <c r="S13" i="1"/>
  <c r="AR13" i="1" s="1"/>
  <c r="R13" i="1"/>
  <c r="J51" i="67"/>
  <c r="B41" i="1"/>
  <c r="S35" i="40"/>
  <c r="AC15" i="40"/>
  <c r="AA19" i="40"/>
  <c r="S28" i="40"/>
  <c r="F32" i="39"/>
  <c r="F21" i="39"/>
  <c r="AA21" i="39" s="1"/>
  <c r="H21" i="39"/>
  <c r="U21" i="39" s="1"/>
  <c r="S9" i="39"/>
  <c r="S23" i="36"/>
  <c r="U13" i="36"/>
  <c r="U26" i="36"/>
  <c r="AA26" i="36"/>
  <c r="W14" i="36"/>
  <c r="U22" i="36"/>
  <c r="W24" i="35"/>
  <c r="U36" i="35"/>
  <c r="U32" i="35"/>
  <c r="AC30" i="35"/>
  <c r="S32" i="35"/>
  <c r="S28" i="35"/>
  <c r="AB16" i="35"/>
  <c r="U22" i="35"/>
  <c r="U14" i="35"/>
  <c r="AA11" i="35"/>
  <c r="F9" i="35"/>
  <c r="S9" i="35" s="1"/>
  <c r="AC29" i="37"/>
  <c r="AA38" i="37"/>
  <c r="AC35" i="37"/>
  <c r="S30" i="37"/>
  <c r="AC15" i="37"/>
  <c r="J17" i="37"/>
  <c r="W17" i="37" s="1"/>
  <c r="G73" i="37"/>
  <c r="F17" i="37"/>
  <c r="AB17" i="37"/>
  <c r="F75" i="37"/>
  <c r="G75" i="37" s="1"/>
  <c r="F19" i="37"/>
  <c r="F23" i="37"/>
  <c r="U15" i="37"/>
  <c r="H10" i="37"/>
  <c r="AB10" i="37" s="1"/>
  <c r="F11" i="37"/>
  <c r="S11" i="37" s="1"/>
  <c r="AB8" i="34"/>
  <c r="U43" i="34"/>
  <c r="AC42" i="34"/>
  <c r="AB35" i="34"/>
  <c r="U39" i="34"/>
  <c r="AA25" i="34"/>
  <c r="H10" i="34"/>
  <c r="AB10" i="34" s="1"/>
  <c r="F11" i="34"/>
  <c r="S11" i="34" s="1"/>
  <c r="W42" i="33"/>
  <c r="H41" i="33"/>
  <c r="F121" i="33"/>
  <c r="G121" i="33" s="1"/>
  <c r="H121" i="33" s="1"/>
  <c r="I121" i="33" s="1"/>
  <c r="J121" i="33" s="1"/>
  <c r="K121" i="33" s="1"/>
  <c r="L121" i="33" s="1"/>
  <c r="M121" i="33" s="1"/>
  <c r="F36" i="33"/>
  <c r="G108" i="33"/>
  <c r="H108" i="33" s="1"/>
  <c r="I108" i="33" s="1"/>
  <c r="J108" i="33" s="1"/>
  <c r="K108" i="33" s="1"/>
  <c r="L108" i="33" s="1"/>
  <c r="M108" i="33" s="1"/>
  <c r="J35" i="33"/>
  <c r="AC35" i="33" s="1"/>
  <c r="S37" i="33"/>
  <c r="AA37" i="33"/>
  <c r="S39" i="33"/>
  <c r="J32" i="33"/>
  <c r="F91" i="33"/>
  <c r="G91" i="33" s="1"/>
  <c r="H91" i="33" s="1"/>
  <c r="I91" i="33" s="1"/>
  <c r="J91" i="33" s="1"/>
  <c r="K91" i="33" s="1"/>
  <c r="L91" i="33" s="1"/>
  <c r="M91" i="33" s="1"/>
  <c r="F87" i="33"/>
  <c r="G87" i="33" s="1"/>
  <c r="H87" i="33" s="1"/>
  <c r="I87" i="33" s="1"/>
  <c r="J87" i="33" s="1"/>
  <c r="K87" i="33" s="1"/>
  <c r="L87" i="33" s="1"/>
  <c r="M87" i="33" s="1"/>
  <c r="H25" i="33"/>
  <c r="AB25" i="33" s="1"/>
  <c r="F25" i="33"/>
  <c r="S25" i="33" s="1"/>
  <c r="J23" i="33"/>
  <c r="AC23" i="33" s="1"/>
  <c r="H23" i="33"/>
  <c r="U23" i="33" s="1"/>
  <c r="F19" i="33"/>
  <c r="S19" i="33" s="1"/>
  <c r="J17" i="33"/>
  <c r="AC17" i="33" s="1"/>
  <c r="F79" i="33"/>
  <c r="G79" i="33" s="1"/>
  <c r="W15" i="33"/>
  <c r="J10" i="33"/>
  <c r="W10" i="33" s="1"/>
  <c r="H10" i="33"/>
  <c r="U10" i="33" s="1"/>
  <c r="AA43" i="21"/>
  <c r="AC40" i="21"/>
  <c r="J15" i="21"/>
  <c r="W15" i="21" s="1"/>
  <c r="F77" i="21"/>
  <c r="G77" i="21" s="1"/>
  <c r="F23" i="21"/>
  <c r="S23" i="21" s="1"/>
  <c r="E85" i="21"/>
  <c r="F85" i="21" s="1"/>
  <c r="G85" i="21" s="1"/>
  <c r="C18" i="9"/>
  <c r="D18" i="9" s="1"/>
  <c r="F34" i="15"/>
  <c r="F62" i="15" s="1"/>
  <c r="BL17" i="3"/>
  <c r="BL13" i="3"/>
  <c r="J56" i="9"/>
  <c r="J57" i="9" s="1"/>
  <c r="J59" i="9" s="1"/>
  <c r="J61" i="9" s="1"/>
  <c r="A24" i="51"/>
  <c r="B18" i="72" s="1"/>
  <c r="E32" i="6"/>
  <c r="G1" i="68"/>
  <c r="K1" i="12"/>
  <c r="E19" i="69"/>
  <c r="E19" i="68"/>
  <c r="E19" i="11"/>
  <c r="E1" i="73"/>
  <c r="G22" i="69"/>
  <c r="G22" i="68"/>
  <c r="G26" i="12"/>
  <c r="G22" i="11"/>
  <c r="C6" i="43"/>
  <c r="B19" i="53"/>
  <c r="B37" i="72" s="1"/>
  <c r="C7" i="35"/>
  <c r="C48" i="35" s="1"/>
  <c r="D48" i="35" s="1"/>
  <c r="C7" i="21"/>
  <c r="M47" i="9"/>
  <c r="L20" i="6"/>
  <c r="B6" i="1"/>
  <c r="E6" i="1" s="1"/>
  <c r="K11" i="1"/>
  <c r="M11" i="1" s="1"/>
  <c r="O11" i="1" s="1"/>
  <c r="B9" i="1"/>
  <c r="E9" i="1" s="1"/>
  <c r="K7" i="1"/>
  <c r="G1" i="15"/>
  <c r="G1" i="69"/>
  <c r="G1" i="67"/>
  <c r="U32" i="40"/>
  <c r="W28" i="40"/>
  <c r="S36" i="40"/>
  <c r="AA15" i="40"/>
  <c r="U11" i="40"/>
  <c r="AB17" i="40"/>
  <c r="S8" i="40"/>
  <c r="AB13" i="39"/>
  <c r="AA13" i="39"/>
  <c r="S8" i="39"/>
  <c r="AC20" i="36"/>
  <c r="AA35" i="37"/>
  <c r="S27" i="37"/>
  <c r="W32" i="37"/>
  <c r="AA29" i="37"/>
  <c r="U8" i="37"/>
  <c r="W19" i="34"/>
  <c r="AA30" i="34"/>
  <c r="AB36" i="34"/>
  <c r="U30" i="34"/>
  <c r="AB30" i="34"/>
  <c r="U38" i="34"/>
  <c r="W40" i="34"/>
  <c r="AA19" i="34"/>
  <c r="AB9" i="34"/>
  <c r="U9" i="34"/>
  <c r="S46" i="34"/>
  <c r="AA46" i="34"/>
  <c r="AC23" i="34"/>
  <c r="W35" i="34"/>
  <c r="U39" i="33"/>
  <c r="S33" i="33"/>
  <c r="U15" i="33"/>
  <c r="S11" i="33"/>
  <c r="F33" i="21"/>
  <c r="AA33" i="21" s="1"/>
  <c r="J33" i="21"/>
  <c r="AC33" i="21" s="1"/>
  <c r="H33" i="21"/>
  <c r="AB33" i="21" s="1"/>
  <c r="F37" i="21"/>
  <c r="AA37" i="21" s="1"/>
  <c r="AA26" i="21"/>
  <c r="U13" i="21"/>
  <c r="AB13" i="21"/>
  <c r="J37" i="21"/>
  <c r="W37" i="21" s="1"/>
  <c r="H15" i="21"/>
  <c r="U15" i="21" s="1"/>
  <c r="J17" i="21"/>
  <c r="W39" i="21"/>
  <c r="F29" i="21"/>
  <c r="AA29" i="21" s="1"/>
  <c r="F13" i="21"/>
  <c r="H32" i="21"/>
  <c r="H9" i="21"/>
  <c r="U9" i="21" s="1"/>
  <c r="J32" i="21"/>
  <c r="W32" i="21" s="1"/>
  <c r="F32" i="21"/>
  <c r="S32" i="21" s="1"/>
  <c r="S19" i="21"/>
  <c r="K141" i="21"/>
  <c r="K144" i="21"/>
  <c r="K143" i="21"/>
  <c r="F10" i="21"/>
  <c r="AA10" i="21" s="1"/>
  <c r="K145" i="21"/>
  <c r="W31" i="21"/>
  <c r="AA15" i="21"/>
  <c r="AB36" i="21"/>
  <c r="C19" i="39"/>
  <c r="C15" i="40"/>
  <c r="C21" i="40"/>
  <c r="B56" i="43"/>
  <c r="B58" i="43"/>
  <c r="B69" i="43"/>
  <c r="D23" i="15"/>
  <c r="D22" i="15"/>
  <c r="E4" i="4"/>
  <c r="B5" i="62" s="1"/>
  <c r="B73" i="72" s="1"/>
  <c r="C4" i="4"/>
  <c r="J32" i="39"/>
  <c r="W32" i="39" s="1"/>
  <c r="H32" i="39"/>
  <c r="AC17" i="37"/>
  <c r="J19" i="37"/>
  <c r="W19" i="37" s="1"/>
  <c r="J23" i="37"/>
  <c r="G79" i="37"/>
  <c r="J10" i="37"/>
  <c r="W10" i="37" s="1"/>
  <c r="H11" i="37"/>
  <c r="AB11" i="37" s="1"/>
  <c r="H11" i="34"/>
  <c r="U11" i="34" s="1"/>
  <c r="J10" i="34"/>
  <c r="AC10" i="34" s="1"/>
  <c r="AB41" i="33"/>
  <c r="U41" i="33"/>
  <c r="J36" i="33"/>
  <c r="W36" i="33" s="1"/>
  <c r="H36" i="33"/>
  <c r="U36" i="33" s="1"/>
  <c r="U25" i="33"/>
  <c r="J25" i="33"/>
  <c r="AC25" i="33" s="1"/>
  <c r="F23" i="33"/>
  <c r="H19" i="33"/>
  <c r="U19" i="33" s="1"/>
  <c r="H17" i="33"/>
  <c r="U17" i="33" s="1"/>
  <c r="F17" i="33"/>
  <c r="J23" i="21"/>
  <c r="W23" i="21" s="1"/>
  <c r="H23" i="21"/>
  <c r="U23" i="21" s="1"/>
  <c r="AP7" i="1"/>
  <c r="AB32" i="21"/>
  <c r="U32" i="21"/>
  <c r="J63" i="37"/>
  <c r="K63" i="37" s="1"/>
  <c r="L63" i="37" s="1"/>
  <c r="M63" i="37" s="1"/>
  <c r="J11" i="37"/>
  <c r="AC11" i="37" s="1"/>
  <c r="J11" i="34"/>
  <c r="W11" i="34" s="1"/>
  <c r="W25"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B13" i="76"/>
  <c r="F36" i="67"/>
  <c r="B10" i="76"/>
  <c r="B9" i="76"/>
  <c r="M8" i="67"/>
  <c r="B12" i="76"/>
  <c r="E2" i="69"/>
  <c r="AO13" i="1"/>
  <c r="B7" i="76"/>
  <c r="M22" i="67"/>
  <c r="M29" i="67"/>
  <c r="B11" i="76"/>
  <c r="F43" i="67"/>
  <c r="E8" i="76"/>
  <c r="M24" i="15"/>
  <c r="F20" i="31"/>
  <c r="E11" i="76"/>
  <c r="F4" i="73"/>
  <c r="F6" i="73"/>
  <c r="E9" i="76"/>
  <c r="M28" i="67"/>
  <c r="E2" i="68"/>
  <c r="F3" i="73"/>
  <c r="D6" i="73"/>
  <c r="E7" i="76"/>
  <c r="C76" i="67"/>
  <c r="F7" i="73"/>
  <c r="J15" i="67"/>
  <c r="E12" i="76"/>
  <c r="F5" i="73"/>
  <c r="B8" i="76"/>
  <c r="E10" i="76"/>
  <c r="U36" i="40" l="1"/>
  <c r="AB19" i="37"/>
  <c r="U19" i="37"/>
  <c r="S12" i="40"/>
  <c r="AA12" i="40"/>
  <c r="C15" i="39"/>
  <c r="B72" i="43"/>
  <c r="B84" i="43"/>
  <c r="C17" i="40"/>
  <c r="J24" i="36"/>
  <c r="F24" i="36"/>
  <c r="U29" i="36"/>
  <c r="AB29" i="36"/>
  <c r="H13" i="37"/>
  <c r="J13" i="37"/>
  <c r="F98" i="39"/>
  <c r="H25" i="39" s="1"/>
  <c r="AB25" i="39" s="1"/>
  <c r="F25" i="39"/>
  <c r="AA25" i="39" s="1"/>
  <c r="F123" i="39"/>
  <c r="G123" i="39" s="1"/>
  <c r="H41" i="39"/>
  <c r="AB41" i="39" s="1"/>
  <c r="F14" i="40"/>
  <c r="H14" i="40"/>
  <c r="AB14" i="40" s="1"/>
  <c r="J32" i="40"/>
  <c r="F32" i="40"/>
  <c r="S32" i="40" s="1"/>
  <c r="AB34" i="37"/>
  <c r="U34" i="37"/>
  <c r="W30" i="36"/>
  <c r="AC30" i="36"/>
  <c r="AC19" i="39"/>
  <c r="W19" i="39"/>
  <c r="AA28" i="21"/>
  <c r="S28" i="21"/>
  <c r="W22" i="36"/>
  <c r="AA38" i="21"/>
  <c r="S23" i="35"/>
  <c r="AC26" i="21"/>
  <c r="S28" i="37"/>
  <c r="AC14" i="40"/>
  <c r="S14" i="36"/>
  <c r="U34" i="33"/>
  <c r="AB34" i="33"/>
  <c r="AB34" i="39"/>
  <c r="S36" i="35"/>
  <c r="AA36" i="35"/>
  <c r="AC37" i="40"/>
  <c r="W37" i="40"/>
  <c r="W17" i="40"/>
  <c r="AC17" i="40"/>
  <c r="W15" i="34"/>
  <c r="AC15" i="34"/>
  <c r="C25" i="39"/>
  <c r="F17" i="39"/>
  <c r="AB41" i="21"/>
  <c r="J27" i="34"/>
  <c r="H27" i="34"/>
  <c r="F14" i="33"/>
  <c r="J14" i="33"/>
  <c r="J31" i="34"/>
  <c r="H31" i="34"/>
  <c r="AA21" i="40"/>
  <c r="S21" i="40"/>
  <c r="W43" i="21"/>
  <c r="U31" i="37"/>
  <c r="AB31" i="37"/>
  <c r="AC25" i="21"/>
  <c r="W25" i="21"/>
  <c r="J28" i="21"/>
  <c r="W28" i="21" s="1"/>
  <c r="AB37" i="33"/>
  <c r="U37" i="33"/>
  <c r="AA23" i="34"/>
  <c r="S23" i="34"/>
  <c r="B54" i="43"/>
  <c r="B65" i="43"/>
  <c r="J26" i="33"/>
  <c r="H26" i="33"/>
  <c r="U26" i="33" s="1"/>
  <c r="H33" i="36"/>
  <c r="F33" i="36"/>
  <c r="H9" i="37"/>
  <c r="U9" i="37" s="1"/>
  <c r="J9" i="37"/>
  <c r="W9" i="37" s="1"/>
  <c r="J39" i="37"/>
  <c r="H39" i="37"/>
  <c r="F39" i="37"/>
  <c r="S39" i="37" s="1"/>
  <c r="J37" i="39"/>
  <c r="H37" i="39"/>
  <c r="J12" i="40"/>
  <c r="H12" i="40"/>
  <c r="H35" i="39"/>
  <c r="J35" i="39"/>
  <c r="AC35" i="39" s="1"/>
  <c r="G509" i="3"/>
  <c r="D76" i="71"/>
  <c r="D72" i="71"/>
  <c r="G584" i="3"/>
  <c r="G579" i="3"/>
  <c r="G577" i="3"/>
  <c r="G576" i="3"/>
  <c r="G570" i="3"/>
  <c r="G563" i="3"/>
  <c r="G560" i="3"/>
  <c r="G555" i="3"/>
  <c r="G549" i="3"/>
  <c r="G548" i="3"/>
  <c r="G546" i="3"/>
  <c r="G541" i="3"/>
  <c r="G540" i="3"/>
  <c r="G538" i="3"/>
  <c r="G533" i="3"/>
  <c r="G530" i="3"/>
  <c r="G525" i="3"/>
  <c r="G524" i="3"/>
  <c r="G523" i="3"/>
  <c r="G519" i="3"/>
  <c r="G518" i="3"/>
  <c r="G517" i="3"/>
  <c r="G516" i="3"/>
  <c r="G511" i="3"/>
  <c r="G510" i="3"/>
  <c r="G505" i="3"/>
  <c r="G504" i="3"/>
  <c r="G503" i="3"/>
  <c r="G502" i="3"/>
  <c r="G497" i="3"/>
  <c r="G496" i="3"/>
  <c r="G212" i="3"/>
  <c r="G220" i="3"/>
  <c r="G224" i="3"/>
  <c r="G237" i="3"/>
  <c r="C87" i="71"/>
  <c r="C86" i="71" s="1"/>
  <c r="D86" i="71" s="1"/>
  <c r="N68" i="71"/>
  <c r="AB27" i="33"/>
  <c r="U27" i="33"/>
  <c r="W9" i="35"/>
  <c r="AC9" i="35"/>
  <c r="S47" i="34"/>
  <c r="AA47" i="34"/>
  <c r="AC35" i="35"/>
  <c r="W35" i="35"/>
  <c r="AA32" i="21"/>
  <c r="AB23" i="33"/>
  <c r="W29" i="21"/>
  <c r="AC19" i="21"/>
  <c r="S35" i="21"/>
  <c r="AA36" i="34"/>
  <c r="U43" i="39"/>
  <c r="W38" i="33"/>
  <c r="H9" i="35"/>
  <c r="U9" i="35" s="1"/>
  <c r="AC36" i="40"/>
  <c r="W43" i="39"/>
  <c r="H31" i="40"/>
  <c r="H47" i="34"/>
  <c r="F13" i="34"/>
  <c r="J44" i="33"/>
  <c r="H14" i="33"/>
  <c r="J13" i="36"/>
  <c r="H29" i="21"/>
  <c r="W40" i="39"/>
  <c r="G583" i="3"/>
  <c r="G575" i="3"/>
  <c r="G567" i="3"/>
  <c r="G559" i="3"/>
  <c r="G553" i="3"/>
  <c r="G545" i="3"/>
  <c r="G544" i="3"/>
  <c r="G537" i="3"/>
  <c r="G536" i="3"/>
  <c r="G529" i="3"/>
  <c r="G528" i="3"/>
  <c r="G515" i="3"/>
  <c r="G514" i="3"/>
  <c r="G508" i="3"/>
  <c r="G501" i="3"/>
  <c r="G500" i="3"/>
  <c r="D78" i="9"/>
  <c r="D78" i="85"/>
  <c r="D93" i="85"/>
  <c r="M56" i="9"/>
  <c r="M56" i="85"/>
  <c r="K56" i="85"/>
  <c r="J56" i="85"/>
  <c r="J57" i="85" s="1"/>
  <c r="J59" i="85" s="1"/>
  <c r="J61" i="85" s="1"/>
  <c r="N56" i="85"/>
  <c r="AB19" i="33"/>
  <c r="U30" i="40"/>
  <c r="S42" i="33"/>
  <c r="S37" i="37"/>
  <c r="F23" i="39"/>
  <c r="S23" i="39" s="1"/>
  <c r="AC38" i="39"/>
  <c r="U43" i="21"/>
  <c r="F11" i="39"/>
  <c r="W47" i="34"/>
  <c r="F31" i="40"/>
  <c r="H28" i="34"/>
  <c r="F31" i="34"/>
  <c r="H44" i="33"/>
  <c r="F27" i="33"/>
  <c r="J28" i="34"/>
  <c r="G400" i="3"/>
  <c r="O68" i="71"/>
  <c r="U68" i="71"/>
  <c r="B26" i="71"/>
  <c r="F54" i="85"/>
  <c r="F48" i="85"/>
  <c r="O52" i="85" s="1"/>
  <c r="F53" i="85"/>
  <c r="D68" i="85"/>
  <c r="F52" i="85"/>
  <c r="BL359" i="3"/>
  <c r="J27" i="33"/>
  <c r="W42" i="21"/>
  <c r="AC15" i="21"/>
  <c r="U24" i="35"/>
  <c r="W23" i="40"/>
  <c r="AZ17" i="3"/>
  <c r="W19" i="33"/>
  <c r="U15" i="34"/>
  <c r="AC13" i="39"/>
  <c r="S17" i="40"/>
  <c r="E96" i="39"/>
  <c r="F96" i="39" s="1"/>
  <c r="G96" i="39" s="1"/>
  <c r="W37" i="37"/>
  <c r="AZ380" i="3"/>
  <c r="AZ390" i="3"/>
  <c r="H13" i="40"/>
  <c r="F43" i="39"/>
  <c r="F13" i="36"/>
  <c r="F44" i="21"/>
  <c r="U40" i="33"/>
  <c r="U34" i="21"/>
  <c r="U31" i="35"/>
  <c r="U31" i="36"/>
  <c r="U30" i="37"/>
  <c r="G585" i="3"/>
  <c r="E5" i="6"/>
  <c r="BL586" i="3"/>
  <c r="G401" i="3"/>
  <c r="G490" i="3"/>
  <c r="G246" i="3"/>
  <c r="G266" i="3"/>
  <c r="G270" i="3"/>
  <c r="G302" i="3"/>
  <c r="G128" i="3"/>
  <c r="G144" i="3"/>
  <c r="G164" i="3"/>
  <c r="G184" i="3"/>
  <c r="G188" i="3"/>
  <c r="G192" i="3"/>
  <c r="C7" i="37"/>
  <c r="C52" i="37" s="1"/>
  <c r="D52" i="37" s="1"/>
  <c r="M47" i="85"/>
  <c r="C51" i="10"/>
  <c r="A2" i="85"/>
  <c r="A118" i="85"/>
  <c r="AC25" i="40"/>
  <c r="F27" i="71"/>
  <c r="F26" i="71" s="1"/>
  <c r="S39" i="40"/>
  <c r="U20" i="35"/>
  <c r="AC44" i="34"/>
  <c r="U14" i="40"/>
  <c r="AC43" i="33"/>
  <c r="J46" i="34"/>
  <c r="J13" i="21"/>
  <c r="H44" i="21"/>
  <c r="U30" i="36"/>
  <c r="J17" i="39"/>
  <c r="H17" i="39"/>
  <c r="AB17" i="39" s="1"/>
  <c r="W31" i="40"/>
  <c r="J9" i="36"/>
  <c r="BA583" i="3"/>
  <c r="BA568" i="3"/>
  <c r="G565" i="3"/>
  <c r="G564" i="3"/>
  <c r="BL563" i="3"/>
  <c r="BA563" i="3"/>
  <c r="BL554" i="3"/>
  <c r="BL551" i="3"/>
  <c r="G551" i="3"/>
  <c r="G550" i="3"/>
  <c r="BA547" i="3"/>
  <c r="G543" i="3"/>
  <c r="G542" i="3"/>
  <c r="BL541" i="3"/>
  <c r="BA535" i="3"/>
  <c r="G535" i="3"/>
  <c r="G534" i="3"/>
  <c r="BL532" i="3"/>
  <c r="BA532" i="3"/>
  <c r="AZ532" i="3" s="1"/>
  <c r="G527" i="3"/>
  <c r="G520" i="3"/>
  <c r="G513" i="3"/>
  <c r="G512" i="3"/>
  <c r="BA510" i="3"/>
  <c r="BA509" i="3"/>
  <c r="G507" i="3"/>
  <c r="G506" i="3"/>
  <c r="G499" i="3"/>
  <c r="G498" i="3"/>
  <c r="BL490" i="3"/>
  <c r="W17" i="33"/>
  <c r="AZ326" i="3"/>
  <c r="AZ310" i="3"/>
  <c r="AZ351" i="3"/>
  <c r="AZ342" i="3"/>
  <c r="H46" i="34"/>
  <c r="U46" i="34" s="1"/>
  <c r="J31" i="33"/>
  <c r="W31" i="33" s="1"/>
  <c r="S34" i="40"/>
  <c r="G432" i="3"/>
  <c r="G444" i="3"/>
  <c r="G452" i="3"/>
  <c r="G464" i="3"/>
  <c r="G472" i="3"/>
  <c r="G492" i="3"/>
  <c r="G358" i="3"/>
  <c r="G238" i="3"/>
  <c r="G247" i="3"/>
  <c r="G251" i="3"/>
  <c r="G255" i="3"/>
  <c r="G268" i="3"/>
  <c r="BL278" i="3"/>
  <c r="G295" i="3"/>
  <c r="BA120" i="3"/>
  <c r="AZ120" i="3" s="1"/>
  <c r="BA168" i="3"/>
  <c r="AZ168" i="3" s="1"/>
  <c r="BA194" i="3"/>
  <c r="G19" i="3"/>
  <c r="BA40" i="3"/>
  <c r="G51" i="3"/>
  <c r="G56" i="3"/>
  <c r="G60" i="3"/>
  <c r="G64" i="3"/>
  <c r="G71" i="3"/>
  <c r="G80" i="3"/>
  <c r="G83" i="3"/>
  <c r="BA97" i="3"/>
  <c r="AZ359" i="3"/>
  <c r="D68" i="71"/>
  <c r="B39" i="71"/>
  <c r="AZ320" i="3"/>
  <c r="F6" i="1"/>
  <c r="G471" i="3"/>
  <c r="G474" i="3"/>
  <c r="G478" i="3"/>
  <c r="BL386" i="3"/>
  <c r="G397" i="3"/>
  <c r="G253" i="3"/>
  <c r="G261" i="3"/>
  <c r="G135" i="3"/>
  <c r="G155" i="3"/>
  <c r="G167" i="3"/>
  <c r="G29" i="3"/>
  <c r="G53" i="3"/>
  <c r="G57" i="3"/>
  <c r="G61" i="3"/>
  <c r="G73" i="3"/>
  <c r="W21" i="21"/>
  <c r="AC44" i="21"/>
  <c r="W44" i="21"/>
  <c r="AB8" i="40"/>
  <c r="U8" i="40"/>
  <c r="BA575" i="3"/>
  <c r="BA571" i="3"/>
  <c r="BL555" i="3"/>
  <c r="BL545" i="3"/>
  <c r="BA513" i="3"/>
  <c r="BA506" i="3"/>
  <c r="BL498" i="3"/>
  <c r="AC32" i="39"/>
  <c r="AB16" i="36"/>
  <c r="U16" i="36"/>
  <c r="S40" i="33"/>
  <c r="H12" i="37"/>
  <c r="AB12" i="37" s="1"/>
  <c r="F12" i="37"/>
  <c r="S12" i="37" s="1"/>
  <c r="U8" i="39"/>
  <c r="AB8" i="39"/>
  <c r="AA32" i="37"/>
  <c r="S32" i="37"/>
  <c r="W38" i="21"/>
  <c r="AC38" i="21"/>
  <c r="BL572" i="3"/>
  <c r="BA556" i="3"/>
  <c r="BL514" i="3"/>
  <c r="BK5" i="3"/>
  <c r="U21" i="40"/>
  <c r="AC16" i="35"/>
  <c r="W16" i="35"/>
  <c r="S34" i="36"/>
  <c r="AA34" i="36"/>
  <c r="B99" i="43"/>
  <c r="B67" i="43"/>
  <c r="B87" i="43"/>
  <c r="C23" i="40"/>
  <c r="AB9" i="21"/>
  <c r="AA19" i="33"/>
  <c r="AA25" i="33"/>
  <c r="AA31" i="21"/>
  <c r="U40" i="21"/>
  <c r="AC43" i="34"/>
  <c r="AB28" i="36"/>
  <c r="AC34" i="33"/>
  <c r="S15" i="37"/>
  <c r="M54" i="43"/>
  <c r="N54" i="43" s="1"/>
  <c r="K54" i="43"/>
  <c r="J54" i="43" s="1"/>
  <c r="W23" i="39"/>
  <c r="J12" i="37"/>
  <c r="AB19" i="34"/>
  <c r="U19" i="34"/>
  <c r="AB13" i="37"/>
  <c r="U13" i="37"/>
  <c r="S14" i="33"/>
  <c r="AA14" i="33"/>
  <c r="AC40" i="37"/>
  <c r="W40" i="37"/>
  <c r="AA17" i="39"/>
  <c r="S17" i="39"/>
  <c r="AA31" i="39"/>
  <c r="S31" i="39"/>
  <c r="AA39" i="21"/>
  <c r="S39" i="21"/>
  <c r="U38" i="21"/>
  <c r="AB38" i="21"/>
  <c r="AB28" i="35"/>
  <c r="U28" i="35"/>
  <c r="H34" i="36"/>
  <c r="J34" i="36"/>
  <c r="W34" i="36" s="1"/>
  <c r="W39" i="34"/>
  <c r="AC39" i="34"/>
  <c r="U31" i="21"/>
  <c r="AB31" i="21"/>
  <c r="H45" i="39"/>
  <c r="J45" i="39"/>
  <c r="W45" i="39" s="1"/>
  <c r="F45" i="39"/>
  <c r="BL582" i="3"/>
  <c r="BL504" i="3"/>
  <c r="BA502" i="3"/>
  <c r="BL496" i="3"/>
  <c r="BA495" i="3"/>
  <c r="AC27" i="33"/>
  <c r="W27" i="33"/>
  <c r="AC37" i="33"/>
  <c r="U15" i="40"/>
  <c r="W34" i="40"/>
  <c r="AB36" i="37"/>
  <c r="U36" i="37"/>
  <c r="AC23" i="37"/>
  <c r="W23" i="37"/>
  <c r="AA8" i="34"/>
  <c r="W41" i="21"/>
  <c r="AA33" i="34"/>
  <c r="S19" i="37"/>
  <c r="AA19" i="37"/>
  <c r="AA32" i="39"/>
  <c r="S32" i="39"/>
  <c r="BM5" i="3"/>
  <c r="U11" i="33"/>
  <c r="U41" i="34"/>
  <c r="AB41" i="34"/>
  <c r="AA37" i="40"/>
  <c r="S37" i="40"/>
  <c r="H25" i="36"/>
  <c r="J25" i="36"/>
  <c r="F25" i="36"/>
  <c r="AA28" i="33"/>
  <c r="S28" i="33"/>
  <c r="AA38" i="33"/>
  <c r="S38" i="33"/>
  <c r="J33" i="40"/>
  <c r="F33" i="40"/>
  <c r="BL566" i="3"/>
  <c r="BA546" i="3"/>
  <c r="BL526" i="3"/>
  <c r="BT5" i="3"/>
  <c r="W25" i="34"/>
  <c r="S23" i="40"/>
  <c r="U17" i="39"/>
  <c r="AC28" i="21"/>
  <c r="J11" i="35"/>
  <c r="J30" i="34"/>
  <c r="F31" i="33"/>
  <c r="J13" i="33"/>
  <c r="H28" i="21"/>
  <c r="S26" i="33"/>
  <c r="B79" i="43"/>
  <c r="BA248" i="3"/>
  <c r="BA250" i="3"/>
  <c r="BL252" i="3"/>
  <c r="G265" i="3"/>
  <c r="G269" i="3"/>
  <c r="BA286" i="3"/>
  <c r="G18" i="3"/>
  <c r="G26" i="3"/>
  <c r="BA47" i="3"/>
  <c r="BA50" i="3"/>
  <c r="G106" i="3"/>
  <c r="AB21" i="37"/>
  <c r="AB34" i="71"/>
  <c r="AB26" i="33"/>
  <c r="K10" i="1"/>
  <c r="M10" i="1" s="1"/>
  <c r="O10" i="1" s="1"/>
  <c r="P10" i="1" s="1"/>
  <c r="BA407" i="3"/>
  <c r="G412" i="3"/>
  <c r="G417" i="3"/>
  <c r="G420" i="3"/>
  <c r="G428" i="3"/>
  <c r="BL431" i="3"/>
  <c r="G433" i="3"/>
  <c r="G445" i="3"/>
  <c r="BL445" i="3"/>
  <c r="BL446" i="3"/>
  <c r="G453" i="3"/>
  <c r="BA466" i="3"/>
  <c r="G473" i="3"/>
  <c r="G477" i="3"/>
  <c r="G481" i="3"/>
  <c r="BL208" i="3"/>
  <c r="BL211" i="3"/>
  <c r="G213" i="3"/>
  <c r="BA214" i="3"/>
  <c r="G221" i="3"/>
  <c r="BL224" i="3"/>
  <c r="G229" i="3"/>
  <c r="G233" i="3"/>
  <c r="BL237" i="3"/>
  <c r="G239" i="3"/>
  <c r="BL242" i="3"/>
  <c r="G256" i="3"/>
  <c r="G260" i="3"/>
  <c r="G284" i="3"/>
  <c r="G138" i="3"/>
  <c r="G150" i="3"/>
  <c r="G154" i="3"/>
  <c r="G178" i="3"/>
  <c r="G182" i="3"/>
  <c r="BA30" i="3"/>
  <c r="G93" i="3"/>
  <c r="AC21" i="33"/>
  <c r="E66" i="71"/>
  <c r="P65" i="71" s="1"/>
  <c r="Y27" i="71"/>
  <c r="Z27" i="71" s="1"/>
  <c r="X34" i="71"/>
  <c r="AA38" i="71"/>
  <c r="B51" i="71"/>
  <c r="B52" i="71" s="1"/>
  <c r="S52" i="71" s="1"/>
  <c r="B23" i="71"/>
  <c r="B22" i="71" s="1"/>
  <c r="B21" i="71" s="1"/>
  <c r="B20" i="71" s="1"/>
  <c r="G418" i="3"/>
  <c r="G435" i="3"/>
  <c r="G459" i="3"/>
  <c r="G467" i="3"/>
  <c r="BL484" i="3"/>
  <c r="G307" i="3"/>
  <c r="G311" i="3"/>
  <c r="G315" i="3"/>
  <c r="G323" i="3"/>
  <c r="G339" i="3"/>
  <c r="G351" i="3"/>
  <c r="G396" i="3"/>
  <c r="G258" i="3"/>
  <c r="BL262" i="3"/>
  <c r="BL298" i="3"/>
  <c r="BA162" i="3"/>
  <c r="BL86" i="3"/>
  <c r="BA92" i="3"/>
  <c r="C40" i="69"/>
  <c r="AB21" i="33"/>
  <c r="C67" i="71"/>
  <c r="D67" i="71" s="1"/>
  <c r="C63" i="71"/>
  <c r="C7" i="12"/>
  <c r="AA13" i="21"/>
  <c r="S13" i="21"/>
  <c r="U20" i="36"/>
  <c r="AB20" i="36"/>
  <c r="U42" i="21"/>
  <c r="AB42" i="21"/>
  <c r="AA11" i="40"/>
  <c r="S11" i="40"/>
  <c r="S36" i="21"/>
  <c r="AA36" i="21"/>
  <c r="BL580" i="3"/>
  <c r="BA580" i="3"/>
  <c r="BA576" i="3"/>
  <c r="BL561" i="3"/>
  <c r="BA560" i="3"/>
  <c r="BA559" i="3"/>
  <c r="BL544" i="3"/>
  <c r="BA539" i="3"/>
  <c r="BA526" i="3"/>
  <c r="BA518" i="3"/>
  <c r="BA517" i="3"/>
  <c r="BL516" i="3"/>
  <c r="BH5" i="3"/>
  <c r="BA498" i="3"/>
  <c r="BD5" i="3"/>
  <c r="G493" i="3"/>
  <c r="AC5" i="3"/>
  <c r="U25" i="34"/>
  <c r="F48" i="9"/>
  <c r="O52" i="9" s="1"/>
  <c r="F30" i="68"/>
  <c r="F48" i="68" s="1"/>
  <c r="AC30" i="40"/>
  <c r="W30" i="40"/>
  <c r="S45" i="39"/>
  <c r="AA45" i="39"/>
  <c r="AA40" i="21"/>
  <c r="S40" i="21"/>
  <c r="AC8" i="33"/>
  <c r="W8" i="33"/>
  <c r="AA15" i="33"/>
  <c r="S15" i="33"/>
  <c r="AC33" i="33"/>
  <c r="W33" i="33"/>
  <c r="S17" i="33"/>
  <c r="AA17" i="33"/>
  <c r="U35" i="37"/>
  <c r="AB35" i="37"/>
  <c r="F30" i="33"/>
  <c r="J30" i="33"/>
  <c r="J29" i="34"/>
  <c r="F29" i="34"/>
  <c r="F25" i="35"/>
  <c r="H25" i="35"/>
  <c r="AB29" i="37"/>
  <c r="U29" i="37"/>
  <c r="BA579" i="3"/>
  <c r="BA572" i="3"/>
  <c r="BL558" i="3"/>
  <c r="BL542" i="3"/>
  <c r="BA542" i="3"/>
  <c r="BA538" i="3"/>
  <c r="BL534" i="3"/>
  <c r="BA534" i="3"/>
  <c r="BA527" i="3"/>
  <c r="BL520" i="3"/>
  <c r="BL513" i="3"/>
  <c r="BG5" i="3"/>
  <c r="AB32" i="39"/>
  <c r="U32" i="39"/>
  <c r="AB19" i="40"/>
  <c r="AA32" i="40"/>
  <c r="U25" i="21"/>
  <c r="AB25" i="21"/>
  <c r="BL501" i="3"/>
  <c r="AA17" i="21"/>
  <c r="S17" i="21"/>
  <c r="J25" i="35"/>
  <c r="H30" i="33"/>
  <c r="U37" i="37"/>
  <c r="AB37" i="37"/>
  <c r="W26" i="36"/>
  <c r="AC26" i="36"/>
  <c r="W45" i="33"/>
  <c r="AC45" i="33"/>
  <c r="S13" i="33"/>
  <c r="AA13" i="33"/>
  <c r="AC36" i="21"/>
  <c r="W36" i="21"/>
  <c r="W32" i="33"/>
  <c r="AC32" i="33"/>
  <c r="AA20" i="35"/>
  <c r="S20" i="35"/>
  <c r="S13" i="37"/>
  <c r="AA13" i="37"/>
  <c r="AC13" i="21"/>
  <c r="W13" i="21"/>
  <c r="S33" i="35"/>
  <c r="AA33" i="35"/>
  <c r="U44" i="21"/>
  <c r="AB44" i="21"/>
  <c r="U14" i="21"/>
  <c r="AB14" i="21"/>
  <c r="U39" i="21"/>
  <c r="AB39" i="21"/>
  <c r="AB35" i="21"/>
  <c r="U35" i="21"/>
  <c r="J27" i="21"/>
  <c r="H27" i="21"/>
  <c r="F27" i="21"/>
  <c r="H12" i="33"/>
  <c r="U12" i="33" s="1"/>
  <c r="J12" i="33"/>
  <c r="F12" i="33"/>
  <c r="J46" i="33"/>
  <c r="F46" i="33"/>
  <c r="H46" i="33"/>
  <c r="J45" i="34"/>
  <c r="F45" i="34"/>
  <c r="H13" i="35"/>
  <c r="F13" i="35"/>
  <c r="J13" i="35"/>
  <c r="AC30" i="37"/>
  <c r="W30" i="37"/>
  <c r="H36" i="39"/>
  <c r="J36" i="39"/>
  <c r="AC36" i="39" s="1"/>
  <c r="F36" i="39"/>
  <c r="BA584" i="3"/>
  <c r="BL574" i="3"/>
  <c r="BL567" i="3"/>
  <c r="BA567" i="3"/>
  <c r="BL564" i="3"/>
  <c r="BA564" i="3"/>
  <c r="BL556" i="3"/>
  <c r="AZ556" i="3" s="1"/>
  <c r="BA553" i="3"/>
  <c r="BA552" i="3"/>
  <c r="BA543" i="3"/>
  <c r="BL536" i="3"/>
  <c r="BA536" i="3"/>
  <c r="BA531" i="3"/>
  <c r="BA530" i="3"/>
  <c r="BL528" i="3"/>
  <c r="BL524" i="3"/>
  <c r="BA523" i="3"/>
  <c r="BA522" i="3"/>
  <c r="BA514" i="3"/>
  <c r="BA507" i="3"/>
  <c r="BL506" i="3"/>
  <c r="AZ506" i="3" s="1"/>
  <c r="BA503" i="3"/>
  <c r="BA499" i="3"/>
  <c r="BP5" i="3"/>
  <c r="BB5" i="3"/>
  <c r="BA494" i="3"/>
  <c r="U26" i="37"/>
  <c r="BL523" i="3"/>
  <c r="BL531" i="3"/>
  <c r="H45" i="34"/>
  <c r="H29" i="34"/>
  <c r="W11" i="33"/>
  <c r="AC11" i="33"/>
  <c r="AA17" i="34"/>
  <c r="S17" i="34"/>
  <c r="U28" i="40"/>
  <c r="AB28" i="40"/>
  <c r="W20" i="35"/>
  <c r="AC20" i="35"/>
  <c r="AC29" i="36"/>
  <c r="W29" i="36"/>
  <c r="W22" i="35"/>
  <c r="BA585" i="3"/>
  <c r="U45" i="21"/>
  <c r="AB45" i="21"/>
  <c r="AZ313" i="3"/>
  <c r="AZ394" i="3"/>
  <c r="BL509" i="3"/>
  <c r="BL519" i="3"/>
  <c r="BL573" i="3"/>
  <c r="U35" i="33"/>
  <c r="U34" i="34"/>
  <c r="J12" i="34"/>
  <c r="H12" i="34"/>
  <c r="F12" i="34"/>
  <c r="S12" i="34" s="1"/>
  <c r="S41" i="21"/>
  <c r="AA41" i="21"/>
  <c r="AZ387" i="3"/>
  <c r="BL497" i="3"/>
  <c r="BL505" i="3"/>
  <c r="BL527" i="3"/>
  <c r="BL547" i="3"/>
  <c r="BL583" i="3"/>
  <c r="F14" i="21"/>
  <c r="J14" i="21"/>
  <c r="AA35" i="34"/>
  <c r="S35" i="34"/>
  <c r="J36" i="35"/>
  <c r="AC36" i="35" s="1"/>
  <c r="AZ377" i="3"/>
  <c r="AZ361" i="3"/>
  <c r="AZ338" i="3"/>
  <c r="AZ327" i="3"/>
  <c r="AZ356" i="3"/>
  <c r="AZ336" i="3"/>
  <c r="AZ305" i="3"/>
  <c r="AZ325" i="3"/>
  <c r="BL515" i="3"/>
  <c r="G521" i="3"/>
  <c r="BL537" i="3"/>
  <c r="BL569" i="3"/>
  <c r="AC31" i="34"/>
  <c r="W31" i="34"/>
  <c r="AA35" i="39"/>
  <c r="S35" i="39"/>
  <c r="F14" i="39"/>
  <c r="H14" i="39"/>
  <c r="G552" i="3"/>
  <c r="BA569" i="3"/>
  <c r="G569" i="3"/>
  <c r="BL568" i="3"/>
  <c r="BA566" i="3"/>
  <c r="AZ566" i="3" s="1"/>
  <c r="BA565" i="3"/>
  <c r="BL562" i="3"/>
  <c r="BA562" i="3"/>
  <c r="BA561" i="3"/>
  <c r="G561" i="3"/>
  <c r="BL560" i="3"/>
  <c r="BA558" i="3"/>
  <c r="BA557" i="3"/>
  <c r="BA555" i="3"/>
  <c r="BA554" i="3"/>
  <c r="G554" i="3"/>
  <c r="BL552" i="3"/>
  <c r="BL549" i="3"/>
  <c r="BA549" i="3"/>
  <c r="BA548" i="3"/>
  <c r="G547" i="3"/>
  <c r="BL546" i="3"/>
  <c r="BA545" i="3"/>
  <c r="BA544" i="3"/>
  <c r="BA541" i="3"/>
  <c r="AZ541" i="3" s="1"/>
  <c r="BL540" i="3"/>
  <c r="BA540" i="3"/>
  <c r="BL579" i="3"/>
  <c r="AA38" i="34"/>
  <c r="F37" i="39"/>
  <c r="H11" i="39"/>
  <c r="S38" i="40"/>
  <c r="W8" i="40"/>
  <c r="S27" i="35"/>
  <c r="S31" i="35"/>
  <c r="J38" i="40"/>
  <c r="BL584" i="3"/>
  <c r="BA582" i="3"/>
  <c r="BA581" i="3"/>
  <c r="G581" i="3"/>
  <c r="G580" i="3"/>
  <c r="BL578" i="3"/>
  <c r="BA578" i="3"/>
  <c r="BA403" i="3"/>
  <c r="G424" i="3"/>
  <c r="BA424" i="3"/>
  <c r="BA437" i="3"/>
  <c r="BA441" i="3"/>
  <c r="BL443" i="3"/>
  <c r="G457" i="3"/>
  <c r="BL472" i="3"/>
  <c r="BA482" i="3"/>
  <c r="BA484" i="3"/>
  <c r="AZ484" i="3" s="1"/>
  <c r="BA487" i="3"/>
  <c r="BA489" i="3"/>
  <c r="BL489" i="3"/>
  <c r="BL491" i="3"/>
  <c r="BL492" i="3"/>
  <c r="BL350" i="3"/>
  <c r="BL395" i="3"/>
  <c r="BA217" i="3"/>
  <c r="G225" i="3"/>
  <c r="BA225" i="3"/>
  <c r="G243" i="3"/>
  <c r="BA245" i="3"/>
  <c r="BL245" i="3"/>
  <c r="BA275" i="3"/>
  <c r="BA116" i="3"/>
  <c r="AZ116" i="3" s="1"/>
  <c r="BA121" i="3"/>
  <c r="BL121" i="3"/>
  <c r="BA125" i="3"/>
  <c r="BA129" i="3"/>
  <c r="BL166" i="3"/>
  <c r="G190" i="3"/>
  <c r="D87" i="71"/>
  <c r="B40" i="71"/>
  <c r="S40" i="71" s="1"/>
  <c r="AB35" i="71"/>
  <c r="E47" i="71"/>
  <c r="E48" i="71" s="1"/>
  <c r="U48" i="71" s="1"/>
  <c r="B59" i="71"/>
  <c r="B60" i="71" s="1"/>
  <c r="S60" i="71" s="1"/>
  <c r="S68" i="71"/>
  <c r="V68" i="71"/>
  <c r="G539" i="3"/>
  <c r="BL538" i="3"/>
  <c r="BA537" i="3"/>
  <c r="BA533" i="3"/>
  <c r="G531" i="3"/>
  <c r="BL530" i="3"/>
  <c r="BA529" i="3"/>
  <c r="BA528" i="3"/>
  <c r="BA525" i="3"/>
  <c r="BA524" i="3"/>
  <c r="BL522" i="3"/>
  <c r="G522" i="3"/>
  <c r="BA521" i="3"/>
  <c r="BA520" i="3"/>
  <c r="BA519" i="3"/>
  <c r="BL518" i="3"/>
  <c r="BA516" i="3"/>
  <c r="BA515" i="3"/>
  <c r="BL512" i="3"/>
  <c r="BA512" i="3"/>
  <c r="BA511" i="3"/>
  <c r="BL510" i="3"/>
  <c r="AZ510" i="3" s="1"/>
  <c r="BL508" i="3"/>
  <c r="BA508" i="3"/>
  <c r="AZ508" i="3" s="1"/>
  <c r="BA505" i="3"/>
  <c r="BA504" i="3"/>
  <c r="BL502" i="3"/>
  <c r="BA501" i="3"/>
  <c r="BL500" i="3"/>
  <c r="BA500" i="3"/>
  <c r="BA497" i="3"/>
  <c r="BN5" i="3"/>
  <c r="BI5" i="3"/>
  <c r="BA496" i="3"/>
  <c r="AZ496" i="3" s="1"/>
  <c r="BR5" i="3"/>
  <c r="G28" i="6" s="1"/>
  <c r="BL494" i="3"/>
  <c r="BA493" i="3"/>
  <c r="G411" i="3"/>
  <c r="G419" i="3"/>
  <c r="BA456" i="3"/>
  <c r="BL467" i="3"/>
  <c r="BL468" i="3"/>
  <c r="BA208" i="3"/>
  <c r="AZ208" i="3" s="1"/>
  <c r="BL222" i="3"/>
  <c r="BA228" i="3"/>
  <c r="G232" i="3"/>
  <c r="BA233" i="3"/>
  <c r="BL267" i="3"/>
  <c r="BA288" i="3"/>
  <c r="BL292" i="3"/>
  <c r="BA298" i="3"/>
  <c r="AZ298" i="3" s="1"/>
  <c r="BA149" i="3"/>
  <c r="BA189" i="3"/>
  <c r="G196" i="3"/>
  <c r="G23" i="3"/>
  <c r="BL35" i="3"/>
  <c r="BA37" i="3"/>
  <c r="G39" i="3"/>
  <c r="BL39" i="3"/>
  <c r="G48" i="3"/>
  <c r="BL64" i="3"/>
  <c r="BL69" i="3"/>
  <c r="BA70" i="3"/>
  <c r="BL79" i="3"/>
  <c r="G89" i="3"/>
  <c r="BA95" i="3"/>
  <c r="G103" i="3"/>
  <c r="S25" i="40"/>
  <c r="X31" i="71"/>
  <c r="F35" i="71"/>
  <c r="F36" i="71" s="1"/>
  <c r="V36" i="71" s="1"/>
  <c r="AA3" i="71"/>
  <c r="BA577" i="3"/>
  <c r="BL576" i="3"/>
  <c r="BA574" i="3"/>
  <c r="BA573" i="3"/>
  <c r="G573" i="3"/>
  <c r="G572" i="3"/>
  <c r="BL570" i="3"/>
  <c r="BA570" i="3"/>
  <c r="G404" i="3"/>
  <c r="BL409" i="3"/>
  <c r="BA410" i="3"/>
  <c r="G413" i="3"/>
  <c r="BA419" i="3"/>
  <c r="G425" i="3"/>
  <c r="G434" i="3"/>
  <c r="G438" i="3"/>
  <c r="G443" i="3"/>
  <c r="BA448" i="3"/>
  <c r="G451" i="3"/>
  <c r="BA451" i="3"/>
  <c r="BL462" i="3"/>
  <c r="BA463" i="3"/>
  <c r="BA476" i="3"/>
  <c r="G349" i="3"/>
  <c r="G209" i="3"/>
  <c r="G218" i="3"/>
  <c r="G222" i="3"/>
  <c r="G223" i="3"/>
  <c r="G231" i="3"/>
  <c r="G234" i="3"/>
  <c r="G241" i="3"/>
  <c r="G244" i="3"/>
  <c r="BA257" i="3"/>
  <c r="BL257" i="3"/>
  <c r="BL258" i="3"/>
  <c r="G259" i="3"/>
  <c r="G263" i="3"/>
  <c r="BL280" i="3"/>
  <c r="BL283" i="3"/>
  <c r="BL284" i="3"/>
  <c r="G285" i="3"/>
  <c r="G134" i="3"/>
  <c r="BL135" i="3"/>
  <c r="AZ135" i="3" s="1"/>
  <c r="G143" i="3"/>
  <c r="BA148" i="3"/>
  <c r="AZ148" i="3" s="1"/>
  <c r="BL154" i="3"/>
  <c r="G156" i="3"/>
  <c r="BL175" i="3"/>
  <c r="AZ175" i="3" s="1"/>
  <c r="BL177" i="3"/>
  <c r="G179" i="3"/>
  <c r="G183" i="3"/>
  <c r="G191" i="3"/>
  <c r="BA22" i="3"/>
  <c r="BL29" i="3"/>
  <c r="BA65" i="3"/>
  <c r="BA77" i="3"/>
  <c r="BL82" i="3"/>
  <c r="BA84" i="3"/>
  <c r="BL96" i="3"/>
  <c r="BL100" i="3"/>
  <c r="BA106" i="3"/>
  <c r="B68" i="43"/>
  <c r="G202" i="3"/>
  <c r="BL205" i="3"/>
  <c r="BA207" i="3"/>
  <c r="G20" i="3"/>
  <c r="G28" i="3"/>
  <c r="G47" i="3"/>
  <c r="BA55" i="3"/>
  <c r="G66" i="3"/>
  <c r="G78" i="3"/>
  <c r="G82" i="3"/>
  <c r="G86" i="3"/>
  <c r="G87" i="3"/>
  <c r="G92" i="3"/>
  <c r="G108" i="3"/>
  <c r="AC21" i="37"/>
  <c r="U38" i="39"/>
  <c r="S38" i="39"/>
  <c r="U9" i="39"/>
  <c r="W9" i="39"/>
  <c r="F12" i="39"/>
  <c r="J12" i="39"/>
  <c r="W35" i="33"/>
  <c r="AC17" i="21"/>
  <c r="W17" i="21"/>
  <c r="S20" i="36"/>
  <c r="AB12" i="39"/>
  <c r="U12" i="39"/>
  <c r="AB35" i="40"/>
  <c r="U35" i="40"/>
  <c r="AZ498" i="3"/>
  <c r="AZ514" i="3"/>
  <c r="AZ572" i="3"/>
  <c r="AB17" i="21"/>
  <c r="U17" i="21"/>
  <c r="AC36" i="37"/>
  <c r="W36" i="37"/>
  <c r="AC35" i="40"/>
  <c r="W35" i="40"/>
  <c r="AB12" i="40"/>
  <c r="U12" i="40"/>
  <c r="AB38" i="37"/>
  <c r="U38" i="37"/>
  <c r="W13" i="37"/>
  <c r="AC13" i="37"/>
  <c r="AC44" i="33"/>
  <c r="W44" i="33"/>
  <c r="U14" i="33"/>
  <c r="AB14" i="33"/>
  <c r="W11" i="35"/>
  <c r="AC11" i="35"/>
  <c r="AA32" i="33"/>
  <c r="S32" i="33"/>
  <c r="U40" i="34"/>
  <c r="AB40" i="34"/>
  <c r="AA22" i="35"/>
  <c r="S22" i="35"/>
  <c r="U37" i="40"/>
  <c r="AB37" i="40"/>
  <c r="AA42" i="21"/>
  <c r="S42" i="21"/>
  <c r="F9" i="21"/>
  <c r="J9" i="21"/>
  <c r="AC9" i="21" s="1"/>
  <c r="AC8" i="34"/>
  <c r="W8" i="34"/>
  <c r="AC24" i="36"/>
  <c r="W24" i="36"/>
  <c r="AC31" i="37"/>
  <c r="W31" i="37"/>
  <c r="H27" i="37"/>
  <c r="J27" i="37"/>
  <c r="F40" i="37"/>
  <c r="H40" i="37"/>
  <c r="AC8" i="39"/>
  <c r="W8" i="39"/>
  <c r="AB34" i="40"/>
  <c r="U34" i="40"/>
  <c r="W13" i="40"/>
  <c r="AC13" i="40"/>
  <c r="AC23" i="21"/>
  <c r="AA23" i="21"/>
  <c r="AB33" i="34"/>
  <c r="U33" i="34"/>
  <c r="S35" i="33"/>
  <c r="AA35" i="33"/>
  <c r="AZ371" i="3"/>
  <c r="D8" i="53"/>
  <c r="D120" i="9"/>
  <c r="S31" i="37"/>
  <c r="AA31" i="37"/>
  <c r="AA43" i="33"/>
  <c r="S43" i="33"/>
  <c r="AB42" i="33"/>
  <c r="U42" i="33"/>
  <c r="AA36" i="37"/>
  <c r="S36" i="37"/>
  <c r="AA24" i="35"/>
  <c r="S24" i="35"/>
  <c r="S22" i="36"/>
  <c r="AA22" i="36"/>
  <c r="AZ563" i="3"/>
  <c r="AA13" i="40"/>
  <c r="S13" i="40"/>
  <c r="AA43" i="39"/>
  <c r="S43" i="39"/>
  <c r="W25" i="36"/>
  <c r="AC25" i="36"/>
  <c r="S25" i="35"/>
  <c r="AA25" i="35"/>
  <c r="S31" i="34"/>
  <c r="AA31" i="34"/>
  <c r="W13" i="34"/>
  <c r="AC13" i="34"/>
  <c r="AA46" i="33"/>
  <c r="S46" i="33"/>
  <c r="S13" i="36"/>
  <c r="AA13" i="36"/>
  <c r="U29" i="33"/>
  <c r="AB29" i="33"/>
  <c r="W11" i="40"/>
  <c r="AC11" i="40"/>
  <c r="AC34" i="39"/>
  <c r="W34" i="39"/>
  <c r="BA587" i="3"/>
  <c r="BA586" i="3"/>
  <c r="AZ586" i="3" s="1"/>
  <c r="AB33" i="33"/>
  <c r="U33" i="33"/>
  <c r="AC28" i="35"/>
  <c r="W28" i="35"/>
  <c r="F29" i="33"/>
  <c r="J29" i="33"/>
  <c r="H45" i="33"/>
  <c r="U45" i="33" s="1"/>
  <c r="F45" i="33"/>
  <c r="J14" i="34"/>
  <c r="H14" i="34"/>
  <c r="F32" i="34"/>
  <c r="J32" i="34"/>
  <c r="H32" i="34"/>
  <c r="F35" i="35"/>
  <c r="H35" i="35"/>
  <c r="U27" i="35"/>
  <c r="AB27" i="35"/>
  <c r="J11" i="36"/>
  <c r="AC11" i="36" s="1"/>
  <c r="F11" i="36"/>
  <c r="AZ560" i="3"/>
  <c r="AZ558" i="3"/>
  <c r="AZ554" i="3"/>
  <c r="AZ544" i="3"/>
  <c r="BL533" i="3"/>
  <c r="AZ528" i="3"/>
  <c r="AZ524" i="3"/>
  <c r="AZ520" i="3"/>
  <c r="AZ516" i="3"/>
  <c r="AZ512" i="3"/>
  <c r="AZ504" i="3"/>
  <c r="BO5" i="3"/>
  <c r="BJ5" i="3"/>
  <c r="BF5" i="3"/>
  <c r="BS5" i="3"/>
  <c r="G29" i="6"/>
  <c r="BL493" i="3"/>
  <c r="AZ493" i="3" s="1"/>
  <c r="S27" i="40"/>
  <c r="AA27" i="40"/>
  <c r="AB14" i="39"/>
  <c r="U14" i="39"/>
  <c r="AC28" i="37"/>
  <c r="W28" i="37"/>
  <c r="W25" i="35"/>
  <c r="AC25" i="35"/>
  <c r="U14" i="36"/>
  <c r="AB14" i="36"/>
  <c r="AB28" i="21"/>
  <c r="U28" i="21"/>
  <c r="W17" i="34"/>
  <c r="AC17" i="34"/>
  <c r="AA37" i="34"/>
  <c r="S37" i="34"/>
  <c r="AA24" i="36"/>
  <c r="S24" i="36"/>
  <c r="AA16" i="36"/>
  <c r="S16" i="36"/>
  <c r="B94" i="43"/>
  <c r="B62" i="43"/>
  <c r="AB38" i="33"/>
  <c r="U38" i="33"/>
  <c r="AC39" i="33"/>
  <c r="W39" i="33"/>
  <c r="AC40" i="33"/>
  <c r="W40" i="33"/>
  <c r="H9" i="33"/>
  <c r="F9" i="33"/>
  <c r="AA9" i="33" s="1"/>
  <c r="J9" i="33"/>
  <c r="H28" i="33"/>
  <c r="J28" i="33"/>
  <c r="H12" i="35"/>
  <c r="F32" i="36"/>
  <c r="J32" i="36"/>
  <c r="W32" i="36" s="1"/>
  <c r="H32" i="36"/>
  <c r="AA9" i="40"/>
  <c r="S9" i="40"/>
  <c r="W38" i="34"/>
  <c r="AC38" i="34"/>
  <c r="AZ584" i="3"/>
  <c r="AZ582" i="3"/>
  <c r="BL575" i="3"/>
  <c r="AZ575" i="3" s="1"/>
  <c r="AZ574" i="3"/>
  <c r="AZ570" i="3"/>
  <c r="S34" i="33"/>
  <c r="AA34" i="33"/>
  <c r="AZ389" i="3"/>
  <c r="AC19" i="40"/>
  <c r="W19" i="40"/>
  <c r="AA31" i="40"/>
  <c r="S31" i="40"/>
  <c r="AB23" i="37"/>
  <c r="U23" i="37"/>
  <c r="AC41" i="34"/>
  <c r="W41" i="34"/>
  <c r="AB27" i="34"/>
  <c r="U27" i="34"/>
  <c r="AZ509" i="3"/>
  <c r="AZ526" i="3"/>
  <c r="AC38" i="37"/>
  <c r="W38" i="37"/>
  <c r="AB25" i="36"/>
  <c r="U25" i="36"/>
  <c r="S44" i="33"/>
  <c r="AA44" i="33"/>
  <c r="AB29" i="35"/>
  <c r="U29" i="35"/>
  <c r="W34" i="37"/>
  <c r="AC34" i="37"/>
  <c r="S16" i="35"/>
  <c r="AA16" i="35"/>
  <c r="AB32" i="33"/>
  <c r="U32" i="33"/>
  <c r="W21" i="40"/>
  <c r="AC21" i="40"/>
  <c r="W34" i="21"/>
  <c r="AC34" i="21"/>
  <c r="J46" i="21"/>
  <c r="F46" i="21"/>
  <c r="H46" i="21"/>
  <c r="U12" i="36"/>
  <c r="AB12" i="36"/>
  <c r="AC28" i="36"/>
  <c r="W28" i="36"/>
  <c r="J21" i="39"/>
  <c r="W21" i="39" s="1"/>
  <c r="G94" i="39"/>
  <c r="AB35" i="39"/>
  <c r="U35" i="39"/>
  <c r="H44" i="39"/>
  <c r="F44" i="39"/>
  <c r="J44" i="39"/>
  <c r="G98" i="39"/>
  <c r="J25" i="39"/>
  <c r="AA34" i="39"/>
  <c r="S34" i="39"/>
  <c r="BE5" i="3"/>
  <c r="AZ379" i="3"/>
  <c r="AZ373" i="3"/>
  <c r="AZ362" i="3"/>
  <c r="AZ357" i="3"/>
  <c r="AZ322" i="3"/>
  <c r="AZ311" i="3"/>
  <c r="AZ344" i="3"/>
  <c r="AZ304" i="3"/>
  <c r="AZ378" i="3"/>
  <c r="AZ360" i="3"/>
  <c r="AZ341" i="3"/>
  <c r="BL495" i="3"/>
  <c r="BL503" i="3"/>
  <c r="AZ503" i="3" s="1"/>
  <c r="BL529" i="3"/>
  <c r="BL535" i="3"/>
  <c r="AZ535" i="3" s="1"/>
  <c r="BL559" i="3"/>
  <c r="AZ559" i="3" s="1"/>
  <c r="BL581" i="3"/>
  <c r="F30" i="21"/>
  <c r="J30" i="21"/>
  <c r="J45" i="21"/>
  <c r="F45" i="21"/>
  <c r="F9" i="34"/>
  <c r="AA9" i="34" s="1"/>
  <c r="J9" i="34"/>
  <c r="AA28" i="34"/>
  <c r="S28" i="34"/>
  <c r="J12" i="36"/>
  <c r="F12" i="36"/>
  <c r="BL499" i="3"/>
  <c r="AZ499" i="3" s="1"/>
  <c r="BL511" i="3"/>
  <c r="AZ511" i="3" s="1"/>
  <c r="BL517" i="3"/>
  <c r="BL521" i="3"/>
  <c r="AZ521" i="3" s="1"/>
  <c r="BL525" i="3"/>
  <c r="AZ525" i="3" s="1"/>
  <c r="BL539" i="3"/>
  <c r="BL543" i="3"/>
  <c r="AZ543" i="3" s="1"/>
  <c r="BL553" i="3"/>
  <c r="AZ553" i="3" s="1"/>
  <c r="BL565" i="3"/>
  <c r="AZ565" i="3" s="1"/>
  <c r="BL571" i="3"/>
  <c r="BL577" i="3"/>
  <c r="AZ577" i="3" s="1"/>
  <c r="BL557" i="3"/>
  <c r="AZ557" i="3" s="1"/>
  <c r="W41" i="33"/>
  <c r="J23" i="35"/>
  <c r="H23" i="35"/>
  <c r="H25" i="37"/>
  <c r="J25" i="37"/>
  <c r="F25" i="37"/>
  <c r="H31" i="39"/>
  <c r="J31" i="39"/>
  <c r="E119" i="39"/>
  <c r="H39" i="39"/>
  <c r="U39" i="39" s="1"/>
  <c r="G556" i="3"/>
  <c r="A15" i="62"/>
  <c r="B61" i="72" s="1"/>
  <c r="G582" i="3"/>
  <c r="G574" i="3"/>
  <c r="G566" i="3"/>
  <c r="G14" i="3"/>
  <c r="BL16" i="3"/>
  <c r="AZ16" i="3" s="1"/>
  <c r="BL399" i="3"/>
  <c r="BA444" i="3"/>
  <c r="BL458" i="3"/>
  <c r="BA480" i="3"/>
  <c r="H5" i="3"/>
  <c r="F11" i="1"/>
  <c r="G11" i="1" s="1"/>
  <c r="E36" i="77"/>
  <c r="F36" i="77" s="1"/>
  <c r="BA400" i="3"/>
  <c r="G402" i="3"/>
  <c r="BA402" i="3"/>
  <c r="G405" i="3"/>
  <c r="G406" i="3"/>
  <c r="BA406" i="3"/>
  <c r="G410" i="3"/>
  <c r="BA413" i="3"/>
  <c r="BA420" i="3"/>
  <c r="BA422" i="3"/>
  <c r="BL427" i="3"/>
  <c r="G429" i="3"/>
  <c r="G430" i="3"/>
  <c r="BL433" i="3"/>
  <c r="BL434" i="3"/>
  <c r="G436" i="3"/>
  <c r="G437" i="3"/>
  <c r="BL440" i="3"/>
  <c r="G441" i="3"/>
  <c r="G447" i="3"/>
  <c r="BA452" i="3"/>
  <c r="BL455" i="3"/>
  <c r="G456" i="3"/>
  <c r="BA458" i="3"/>
  <c r="G463" i="3"/>
  <c r="G469" i="3"/>
  <c r="BA469" i="3"/>
  <c r="BL473" i="3"/>
  <c r="BL474" i="3"/>
  <c r="G475" i="3"/>
  <c r="BA315" i="3"/>
  <c r="AZ315" i="3" s="1"/>
  <c r="BA331" i="3"/>
  <c r="AZ331" i="3" s="1"/>
  <c r="BA333" i="3"/>
  <c r="BL367" i="3"/>
  <c r="G374" i="3"/>
  <c r="BL383" i="3"/>
  <c r="AZ383" i="3" s="1"/>
  <c r="BA211" i="3"/>
  <c r="AZ211" i="3" s="1"/>
  <c r="BL215" i="3"/>
  <c r="G226" i="3"/>
  <c r="BA226" i="3"/>
  <c r="BA235" i="3"/>
  <c r="BA237" i="3"/>
  <c r="AZ237" i="3" s="1"/>
  <c r="G249" i="3"/>
  <c r="BL259" i="3"/>
  <c r="G262" i="3"/>
  <c r="G264" i="3"/>
  <c r="BL269" i="3"/>
  <c r="G271" i="3"/>
  <c r="G276" i="3"/>
  <c r="BA278" i="3"/>
  <c r="AZ278" i="3" s="1"/>
  <c r="G280" i="3"/>
  <c r="G281" i="3"/>
  <c r="G287" i="3"/>
  <c r="G288" i="3"/>
  <c r="G292" i="3"/>
  <c r="BA293" i="3"/>
  <c r="BA126" i="3"/>
  <c r="BA132" i="3"/>
  <c r="AZ132" i="3" s="1"/>
  <c r="BL139" i="3"/>
  <c r="AZ139" i="3" s="1"/>
  <c r="G140" i="3"/>
  <c r="BL141" i="3"/>
  <c r="BL143" i="3"/>
  <c r="AZ143" i="3" s="1"/>
  <c r="G158" i="3"/>
  <c r="BL161" i="3"/>
  <c r="G163" i="3"/>
  <c r="BA33" i="3"/>
  <c r="BA109" i="3"/>
  <c r="C64" i="71"/>
  <c r="D63" i="71"/>
  <c r="BA401" i="3"/>
  <c r="BL402" i="3"/>
  <c r="G403" i="3"/>
  <c r="BA404" i="3"/>
  <c r="BA405" i="3"/>
  <c r="BL406" i="3"/>
  <c r="G407" i="3"/>
  <c r="G408" i="3"/>
  <c r="G409" i="3"/>
  <c r="BL412" i="3"/>
  <c r="G414" i="3"/>
  <c r="BL419" i="3"/>
  <c r="G421" i="3"/>
  <c r="BL430" i="3"/>
  <c r="G431" i="3"/>
  <c r="G440" i="3"/>
  <c r="BL447" i="3"/>
  <c r="G448" i="3"/>
  <c r="G449" i="3"/>
  <c r="BL449" i="3"/>
  <c r="BL450" i="3"/>
  <c r="BL452" i="3"/>
  <c r="G454" i="3"/>
  <c r="G455" i="3"/>
  <c r="G460" i="3"/>
  <c r="BL465" i="3"/>
  <c r="G470" i="3"/>
  <c r="BL477" i="3"/>
  <c r="BL478" i="3"/>
  <c r="G479" i="3"/>
  <c r="G485" i="3"/>
  <c r="G489" i="3"/>
  <c r="G491" i="3"/>
  <c r="BA319" i="3"/>
  <c r="AZ319" i="3" s="1"/>
  <c r="G364" i="3"/>
  <c r="BL381" i="3"/>
  <c r="AZ381" i="3" s="1"/>
  <c r="BA385" i="3"/>
  <c r="G392" i="3"/>
  <c r="BA395" i="3"/>
  <c r="AZ395" i="3" s="1"/>
  <c r="G210" i="3"/>
  <c r="BL213" i="3"/>
  <c r="G216" i="3"/>
  <c r="G217" i="3"/>
  <c r="BA220" i="3"/>
  <c r="BA222" i="3"/>
  <c r="AZ222" i="3" s="1"/>
  <c r="BA224" i="3"/>
  <c r="AZ224" i="3" s="1"/>
  <c r="G227" i="3"/>
  <c r="G228" i="3"/>
  <c r="BA231" i="3"/>
  <c r="G235" i="3"/>
  <c r="BA242" i="3"/>
  <c r="AZ242" i="3" s="1"/>
  <c r="BA255" i="3"/>
  <c r="BL255" i="3"/>
  <c r="G257" i="3"/>
  <c r="BA260" i="3"/>
  <c r="BA265" i="3"/>
  <c r="BL265" i="3"/>
  <c r="G267" i="3"/>
  <c r="BA270" i="3"/>
  <c r="G273" i="3"/>
  <c r="G277" i="3"/>
  <c r="G279" i="3"/>
  <c r="G283" i="3"/>
  <c r="BL289" i="3"/>
  <c r="G291" i="3"/>
  <c r="BA291" i="3"/>
  <c r="BL410" i="3"/>
  <c r="BL416" i="3"/>
  <c r="BL423" i="3"/>
  <c r="BA431" i="3"/>
  <c r="BL438" i="3"/>
  <c r="BL439" i="3"/>
  <c r="BA443" i="3"/>
  <c r="BL451" i="3"/>
  <c r="AZ451" i="3" s="1"/>
  <c r="BL456" i="3"/>
  <c r="BL463" i="3"/>
  <c r="BL464" i="3"/>
  <c r="BA485" i="3"/>
  <c r="BL316" i="3"/>
  <c r="BL340" i="3"/>
  <c r="AZ340" i="3" s="1"/>
  <c r="BL346" i="3"/>
  <c r="AZ346" i="3" s="1"/>
  <c r="BA384" i="3"/>
  <c r="AZ384" i="3" s="1"/>
  <c r="G387" i="3"/>
  <c r="BA392" i="3"/>
  <c r="AZ392" i="3" s="1"/>
  <c r="BA212" i="3"/>
  <c r="G215" i="3"/>
  <c r="BL216" i="3"/>
  <c r="BL219" i="3"/>
  <c r="BL227" i="3"/>
  <c r="BL230" i="3"/>
  <c r="BA240" i="3"/>
  <c r="AZ240" i="3" s="1"/>
  <c r="BL240" i="3"/>
  <c r="BL254" i="3"/>
  <c r="BA262" i="3"/>
  <c r="AZ262" i="3" s="1"/>
  <c r="BL272" i="3"/>
  <c r="BA273" i="3"/>
  <c r="BA280" i="3"/>
  <c r="AZ280" i="3" s="1"/>
  <c r="BA294" i="3"/>
  <c r="G130" i="3"/>
  <c r="BA133" i="3"/>
  <c r="BL133" i="3"/>
  <c r="BL158" i="3"/>
  <c r="BL169" i="3"/>
  <c r="BA43" i="3"/>
  <c r="G294" i="3"/>
  <c r="BL295" i="3"/>
  <c r="G299" i="3"/>
  <c r="BL122" i="3"/>
  <c r="G123" i="3"/>
  <c r="BA124" i="3"/>
  <c r="AZ124" i="3" s="1"/>
  <c r="G127" i="3"/>
  <c r="BL127" i="3"/>
  <c r="AZ127" i="3" s="1"/>
  <c r="BL146" i="3"/>
  <c r="G147" i="3"/>
  <c r="BA157" i="3"/>
  <c r="AZ157" i="3" s="1"/>
  <c r="BL157" i="3"/>
  <c r="BL159" i="3"/>
  <c r="AZ159" i="3" s="1"/>
  <c r="G160" i="3"/>
  <c r="G172" i="3"/>
  <c r="G175" i="3"/>
  <c r="G176" i="3"/>
  <c r="BA177" i="3"/>
  <c r="AZ177" i="3" s="1"/>
  <c r="BL186" i="3"/>
  <c r="G195" i="3"/>
  <c r="BL198" i="3"/>
  <c r="BL23" i="3"/>
  <c r="G32" i="3"/>
  <c r="G33" i="3"/>
  <c r="G34" i="3"/>
  <c r="G38" i="3"/>
  <c r="G42" i="3"/>
  <c r="G43" i="3"/>
  <c r="G44" i="3"/>
  <c r="BL50" i="3"/>
  <c r="AZ50" i="3" s="1"/>
  <c r="BL51" i="3"/>
  <c r="BA62" i="3"/>
  <c r="BA67" i="3"/>
  <c r="BL74" i="3"/>
  <c r="G75" i="3"/>
  <c r="BL75" i="3"/>
  <c r="BA79" i="3"/>
  <c r="AZ79" i="3" s="1"/>
  <c r="BA88" i="3"/>
  <c r="BA98" i="3"/>
  <c r="G99" i="3"/>
  <c r="BL103" i="3"/>
  <c r="BA104" i="3"/>
  <c r="G107" i="3"/>
  <c r="G112" i="3"/>
  <c r="BL112" i="3"/>
  <c r="W18" i="35"/>
  <c r="U25" i="40"/>
  <c r="C29" i="39"/>
  <c r="B88" i="43"/>
  <c r="AA21" i="34"/>
  <c r="D80" i="71"/>
  <c r="C75" i="71"/>
  <c r="Q68" i="71"/>
  <c r="C59" i="71"/>
  <c r="AA34" i="71"/>
  <c r="C43" i="71"/>
  <c r="E51" i="71"/>
  <c r="E52" i="71" s="1"/>
  <c r="U52" i="71" s="1"/>
  <c r="C51" i="71"/>
  <c r="C52" i="71" s="1"/>
  <c r="B71" i="71"/>
  <c r="B70" i="71" s="1"/>
  <c r="U72" i="71"/>
  <c r="S76" i="71"/>
  <c r="BA145" i="3"/>
  <c r="G146" i="3"/>
  <c r="G152" i="3"/>
  <c r="BA156" i="3"/>
  <c r="AZ156" i="3" s="1"/>
  <c r="G159" i="3"/>
  <c r="BL163" i="3"/>
  <c r="AZ163" i="3" s="1"/>
  <c r="G170" i="3"/>
  <c r="G174" i="3"/>
  <c r="BL183" i="3"/>
  <c r="AZ183" i="3" s="1"/>
  <c r="BA186" i="3"/>
  <c r="AZ186" i="3" s="1"/>
  <c r="BA190" i="3"/>
  <c r="G198" i="3"/>
  <c r="BL201" i="3"/>
  <c r="BL203" i="3"/>
  <c r="AZ203" i="3" s="1"/>
  <c r="BA204" i="3"/>
  <c r="AZ204" i="3" s="1"/>
  <c r="BA18" i="3"/>
  <c r="G21" i="3"/>
  <c r="BL21" i="3"/>
  <c r="G31" i="3"/>
  <c r="G41" i="3"/>
  <c r="G46" i="3"/>
  <c r="BL49" i="3"/>
  <c r="BA56" i="3"/>
  <c r="BA57" i="3"/>
  <c r="BL58" i="3"/>
  <c r="BA60" i="3"/>
  <c r="G63" i="3"/>
  <c r="BA66" i="3"/>
  <c r="G68" i="3"/>
  <c r="BA71" i="3"/>
  <c r="BL72" i="3"/>
  <c r="G74" i="3"/>
  <c r="G79" i="3"/>
  <c r="BL88" i="3"/>
  <c r="G90" i="3"/>
  <c r="BL93" i="3"/>
  <c r="G98" i="3"/>
  <c r="G102" i="3"/>
  <c r="BL110" i="3"/>
  <c r="G111" i="3"/>
  <c r="B57" i="43"/>
  <c r="P66" i="71"/>
  <c r="Y29" i="71"/>
  <c r="Z29" i="71" s="1"/>
  <c r="X25" i="71"/>
  <c r="AA35" i="71"/>
  <c r="Y35" i="71"/>
  <c r="Z35" i="71" s="1"/>
  <c r="X36" i="71"/>
  <c r="B79" i="71"/>
  <c r="B78" i="71" s="1"/>
  <c r="BL173" i="3"/>
  <c r="BL181" i="3"/>
  <c r="BA188" i="3"/>
  <c r="AZ188" i="3" s="1"/>
  <c r="BL195" i="3"/>
  <c r="AZ195" i="3" s="1"/>
  <c r="BA197" i="3"/>
  <c r="BA201" i="3"/>
  <c r="G206" i="3"/>
  <c r="BL24" i="3"/>
  <c r="BL34" i="3"/>
  <c r="BL44" i="3"/>
  <c r="BA45" i="3"/>
  <c r="BA46" i="3"/>
  <c r="BL52" i="3"/>
  <c r="BL53" i="3"/>
  <c r="G58" i="3"/>
  <c r="BA63" i="3"/>
  <c r="G67" i="3"/>
  <c r="BL76" i="3"/>
  <c r="BL91" i="3"/>
  <c r="G95" i="3"/>
  <c r="G109" i="3"/>
  <c r="U21" i="34"/>
  <c r="P27" i="6"/>
  <c r="C30" i="71"/>
  <c r="D30" i="71" s="1"/>
  <c r="Y26" i="71"/>
  <c r="Z26" i="71" s="1"/>
  <c r="AB36" i="71"/>
  <c r="AA37" i="71"/>
  <c r="C23" i="71"/>
  <c r="U42" i="39"/>
  <c r="S42" i="39"/>
  <c r="J27" i="39"/>
  <c r="H27" i="39"/>
  <c r="G100" i="39"/>
  <c r="F27" i="39"/>
  <c r="U25" i="39"/>
  <c r="AA23" i="39"/>
  <c r="S21" i="39"/>
  <c r="AB21" i="39"/>
  <c r="U19" i="39"/>
  <c r="S15" i="39"/>
  <c r="U41" i="39"/>
  <c r="U40" i="39"/>
  <c r="AA39" i="39"/>
  <c r="M7" i="1"/>
  <c r="O7" i="1" s="1"/>
  <c r="P7" i="1" s="1"/>
  <c r="AP6" i="1"/>
  <c r="C36" i="69" s="1"/>
  <c r="M8" i="1"/>
  <c r="O8" i="1" s="1"/>
  <c r="P8" i="1" s="1"/>
  <c r="M20" i="67"/>
  <c r="F34" i="67"/>
  <c r="F62" i="67" s="1"/>
  <c r="F52" i="9"/>
  <c r="F54" i="9"/>
  <c r="F32" i="15"/>
  <c r="F60" i="15" s="1"/>
  <c r="M18" i="15"/>
  <c r="M18" i="67"/>
  <c r="F30" i="11"/>
  <c r="C48" i="11" s="1"/>
  <c r="D68" i="9"/>
  <c r="F30" i="69"/>
  <c r="F48" i="69" s="1"/>
  <c r="F31" i="12"/>
  <c r="F28" i="15"/>
  <c r="F32" i="67"/>
  <c r="F60" i="67" s="1"/>
  <c r="F28" i="67"/>
  <c r="F7" i="1"/>
  <c r="G7" i="1" s="1"/>
  <c r="BA13" i="3"/>
  <c r="AZ13" i="3" s="1"/>
  <c r="BC5" i="3"/>
  <c r="G13" i="3"/>
  <c r="C7" i="40"/>
  <c r="C63" i="40" s="1"/>
  <c r="C7" i="39"/>
  <c r="C67" i="39" s="1"/>
  <c r="C42" i="1"/>
  <c r="C7" i="36"/>
  <c r="C46" i="36" s="1"/>
  <c r="D46" i="36" s="1"/>
  <c r="E46" i="36" s="1"/>
  <c r="F46" i="36" s="1"/>
  <c r="G46" i="36" s="1"/>
  <c r="H46" i="36" s="1"/>
  <c r="I46" i="36" s="1"/>
  <c r="G23" i="43"/>
  <c r="C23" i="43" s="1"/>
  <c r="C7" i="33"/>
  <c r="AB23" i="21"/>
  <c r="AA17" i="37"/>
  <c r="S17" i="37"/>
  <c r="AB27" i="40"/>
  <c r="AB32" i="37"/>
  <c r="U32" i="37"/>
  <c r="S11" i="39"/>
  <c r="AA11" i="39"/>
  <c r="AB15" i="21"/>
  <c r="AC33" i="34"/>
  <c r="W33" i="34"/>
  <c r="AC27" i="40"/>
  <c r="W27" i="40"/>
  <c r="W11" i="39"/>
  <c r="AC11" i="39"/>
  <c r="W45" i="21"/>
  <c r="AC45" i="21"/>
  <c r="AB34" i="35"/>
  <c r="U34" i="35"/>
  <c r="D121" i="9"/>
  <c r="D7" i="52" s="1"/>
  <c r="D6" i="52"/>
  <c r="AA36" i="33"/>
  <c r="S36" i="33"/>
  <c r="S30" i="40"/>
  <c r="AA30" i="40"/>
  <c r="AB36" i="33"/>
  <c r="W9" i="21"/>
  <c r="S37" i="21"/>
  <c r="S23" i="37"/>
  <c r="AA23" i="37"/>
  <c r="S40" i="34"/>
  <c r="AA40" i="34"/>
  <c r="F29" i="6"/>
  <c r="E29" i="6" s="1"/>
  <c r="K15" i="1" s="1"/>
  <c r="AZ391" i="3"/>
  <c r="AZ318" i="3"/>
  <c r="AZ364" i="3"/>
  <c r="AZ329" i="3"/>
  <c r="AZ306" i="3"/>
  <c r="AZ513" i="3"/>
  <c r="AZ502" i="3"/>
  <c r="AC36" i="34"/>
  <c r="AZ531" i="3"/>
  <c r="AZ583" i="3"/>
  <c r="AZ568" i="3"/>
  <c r="AZ576" i="3"/>
  <c r="S44" i="34"/>
  <c r="AA14" i="34"/>
  <c r="AA14" i="37"/>
  <c r="G587" i="3"/>
  <c r="H23" i="36"/>
  <c r="J23" i="36"/>
  <c r="S43" i="34"/>
  <c r="AZ14" i="3"/>
  <c r="AZ345" i="3"/>
  <c r="AZ334" i="3"/>
  <c r="AZ372" i="3"/>
  <c r="AZ347" i="3"/>
  <c r="AZ337" i="3"/>
  <c r="AZ376" i="3"/>
  <c r="AZ309" i="3"/>
  <c r="AZ523" i="3"/>
  <c r="AZ547" i="3"/>
  <c r="AZ571" i="3"/>
  <c r="AZ579" i="3"/>
  <c r="AB46" i="34"/>
  <c r="AB30" i="21"/>
  <c r="S41" i="33"/>
  <c r="AB23" i="34"/>
  <c r="G586" i="3"/>
  <c r="B97" i="43"/>
  <c r="B75" i="43"/>
  <c r="J12" i="35"/>
  <c r="AB33" i="40"/>
  <c r="AC31" i="33"/>
  <c r="AZ539" i="3"/>
  <c r="AZ529" i="3"/>
  <c r="AZ537" i="3"/>
  <c r="AZ518" i="3"/>
  <c r="AZ546" i="3"/>
  <c r="AB45" i="33"/>
  <c r="AA29" i="35"/>
  <c r="AB17" i="34"/>
  <c r="BL587" i="3"/>
  <c r="AZ587" i="3" s="1"/>
  <c r="AZ443" i="3"/>
  <c r="BA551" i="3"/>
  <c r="AZ551" i="3" s="1"/>
  <c r="BA550" i="3"/>
  <c r="BL548" i="3"/>
  <c r="AZ548" i="3" s="1"/>
  <c r="G398" i="3"/>
  <c r="G399" i="3"/>
  <c r="BL400" i="3"/>
  <c r="AZ400" i="3" s="1"/>
  <c r="BL408" i="3"/>
  <c r="BL411" i="3"/>
  <c r="BL413" i="3"/>
  <c r="G415" i="3"/>
  <c r="G416" i="3"/>
  <c r="BL417" i="3"/>
  <c r="BL418" i="3"/>
  <c r="BL420" i="3"/>
  <c r="G422" i="3"/>
  <c r="G423" i="3"/>
  <c r="BL424" i="3"/>
  <c r="AZ424" i="3" s="1"/>
  <c r="G426" i="3"/>
  <c r="G427" i="3"/>
  <c r="BL428" i="3"/>
  <c r="BL429" i="3"/>
  <c r="BL432" i="3"/>
  <c r="BL435" i="3"/>
  <c r="BL436" i="3"/>
  <c r="BA439" i="3"/>
  <c r="AZ439" i="3" s="1"/>
  <c r="BA440" i="3"/>
  <c r="AZ440" i="3" s="1"/>
  <c r="BA442" i="3"/>
  <c r="BA445" i="3"/>
  <c r="BA447" i="3"/>
  <c r="AZ447" i="3" s="1"/>
  <c r="BA449" i="3"/>
  <c r="BL453" i="3"/>
  <c r="BL454" i="3"/>
  <c r="G458" i="3"/>
  <c r="BL459" i="3"/>
  <c r="G461" i="3"/>
  <c r="G462" i="3"/>
  <c r="BA462" i="3"/>
  <c r="AZ462" i="3" s="1"/>
  <c r="BA464" i="3"/>
  <c r="AZ464" i="3" s="1"/>
  <c r="BL469" i="3"/>
  <c r="BL470" i="3"/>
  <c r="BA486" i="3"/>
  <c r="BL488" i="3"/>
  <c r="G380" i="3"/>
  <c r="G384" i="3"/>
  <c r="BL585" i="3"/>
  <c r="AZ585" i="3" s="1"/>
  <c r="AC31" i="35"/>
  <c r="H24" i="36"/>
  <c r="H38" i="40"/>
  <c r="G558" i="3"/>
  <c r="BL398" i="3"/>
  <c r="BL403" i="3"/>
  <c r="AZ403" i="3" s="1"/>
  <c r="BA408" i="3"/>
  <c r="BA409" i="3"/>
  <c r="AZ409" i="3" s="1"/>
  <c r="BA411" i="3"/>
  <c r="BL414" i="3"/>
  <c r="BL415" i="3"/>
  <c r="BA417" i="3"/>
  <c r="BL421" i="3"/>
  <c r="BL422" i="3"/>
  <c r="AZ422" i="3" s="1"/>
  <c r="BL425" i="3"/>
  <c r="BL426" i="3"/>
  <c r="BA428" i="3"/>
  <c r="BA429" i="3"/>
  <c r="BA430" i="3"/>
  <c r="BA432" i="3"/>
  <c r="BA434" i="3"/>
  <c r="BA436" i="3"/>
  <c r="BA438" i="3"/>
  <c r="G442" i="3"/>
  <c r="BA446" i="3"/>
  <c r="BA450" i="3"/>
  <c r="BA453" i="3"/>
  <c r="BA455" i="3"/>
  <c r="AZ455" i="3" s="1"/>
  <c r="BL457" i="3"/>
  <c r="BL460" i="3"/>
  <c r="BL461" i="3"/>
  <c r="G466" i="3"/>
  <c r="BL466" i="3"/>
  <c r="AZ466" i="3" s="1"/>
  <c r="G468" i="3"/>
  <c r="BA473" i="3"/>
  <c r="AZ473" i="3" s="1"/>
  <c r="BL479" i="3"/>
  <c r="G480" i="3"/>
  <c r="BL480" i="3"/>
  <c r="AZ480" i="3" s="1"/>
  <c r="G482" i="3"/>
  <c r="BA483" i="3"/>
  <c r="BL483" i="3"/>
  <c r="BL487" i="3"/>
  <c r="AZ487" i="3" s="1"/>
  <c r="BL308" i="3"/>
  <c r="AZ308" i="3" s="1"/>
  <c r="H39" i="40"/>
  <c r="BL550" i="3"/>
  <c r="BL15" i="3"/>
  <c r="AZ15" i="3" s="1"/>
  <c r="BA398" i="3"/>
  <c r="BA399" i="3"/>
  <c r="AZ399" i="3" s="1"/>
  <c r="BL401" i="3"/>
  <c r="AZ401" i="3" s="1"/>
  <c r="BL404" i="3"/>
  <c r="AZ404" i="3" s="1"/>
  <c r="BL405" i="3"/>
  <c r="AZ405" i="3" s="1"/>
  <c r="BL407" i="3"/>
  <c r="AZ407" i="3" s="1"/>
  <c r="BA412" i="3"/>
  <c r="AZ412" i="3" s="1"/>
  <c r="BA414" i="3"/>
  <c r="AZ414" i="3" s="1"/>
  <c r="BA415" i="3"/>
  <c r="AZ415" i="3" s="1"/>
  <c r="BA416" i="3"/>
  <c r="AZ416" i="3" s="1"/>
  <c r="BA418" i="3"/>
  <c r="BA421" i="3"/>
  <c r="BA423" i="3"/>
  <c r="AZ423" i="3" s="1"/>
  <c r="BA425" i="3"/>
  <c r="BA426" i="3"/>
  <c r="BA427" i="3"/>
  <c r="BA433" i="3"/>
  <c r="AZ433" i="3" s="1"/>
  <c r="BA435" i="3"/>
  <c r="BL437" i="3"/>
  <c r="AZ437" i="3" s="1"/>
  <c r="G439" i="3"/>
  <c r="BL441" i="3"/>
  <c r="AZ441" i="3" s="1"/>
  <c r="BL442" i="3"/>
  <c r="AZ442" i="3" s="1"/>
  <c r="BL444" i="3"/>
  <c r="AZ444" i="3" s="1"/>
  <c r="G446" i="3"/>
  <c r="BL448" i="3"/>
  <c r="AZ448" i="3" s="1"/>
  <c r="G450" i="3"/>
  <c r="BA454" i="3"/>
  <c r="BA457" i="3"/>
  <c r="BA459" i="3"/>
  <c r="BA460" i="3"/>
  <c r="BA461" i="3"/>
  <c r="BA470" i="3"/>
  <c r="AZ470" i="3" s="1"/>
  <c r="BL476" i="3"/>
  <c r="AZ476" i="3" s="1"/>
  <c r="G382" i="3"/>
  <c r="AZ419" i="3"/>
  <c r="BA283" i="3"/>
  <c r="AZ283" i="3" s="1"/>
  <c r="BA465" i="3"/>
  <c r="AZ465" i="3" s="1"/>
  <c r="BA467" i="3"/>
  <c r="BA468" i="3"/>
  <c r="BL471" i="3"/>
  <c r="BL475" i="3"/>
  <c r="BA477" i="3"/>
  <c r="AZ477" i="3" s="1"/>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BL397" i="3"/>
  <c r="BA210" i="3"/>
  <c r="BL210" i="3"/>
  <c r="BL212" i="3"/>
  <c r="G214" i="3"/>
  <c r="BL214" i="3"/>
  <c r="AZ214" i="3" s="1"/>
  <c r="BL225" i="3"/>
  <c r="BL226" i="3"/>
  <c r="BA239" i="3"/>
  <c r="BL239" i="3"/>
  <c r="BA241" i="3"/>
  <c r="BL241" i="3"/>
  <c r="BA244" i="3"/>
  <c r="BL244" i="3"/>
  <c r="BA246" i="3"/>
  <c r="BA252" i="3"/>
  <c r="AZ252" i="3" s="1"/>
  <c r="BA254" i="3"/>
  <c r="AZ254" i="3" s="1"/>
  <c r="BA256" i="3"/>
  <c r="BL256" i="3"/>
  <c r="BA258" i="3"/>
  <c r="BL264" i="3"/>
  <c r="BL266" i="3"/>
  <c r="BA268" i="3"/>
  <c r="BL273" i="3"/>
  <c r="AZ273" i="3" s="1"/>
  <c r="G274" i="3"/>
  <c r="BA277" i="3"/>
  <c r="BL277" i="3"/>
  <c r="BA282" i="3"/>
  <c r="BL282" i="3"/>
  <c r="BA284" i="3"/>
  <c r="AZ284" i="3" s="1"/>
  <c r="BL290" i="3"/>
  <c r="BL291" i="3"/>
  <c r="AZ291" i="3" s="1"/>
  <c r="BL293" i="3"/>
  <c r="BL294" i="3"/>
  <c r="BA297" i="3"/>
  <c r="BL297" i="3"/>
  <c r="G116"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BL232" i="3"/>
  <c r="BL234" i="3"/>
  <c r="BA236" i="3"/>
  <c r="BA238" i="3"/>
  <c r="BA243" i="3"/>
  <c r="BL248" i="3"/>
  <c r="AZ248" i="3" s="1"/>
  <c r="G250" i="3"/>
  <c r="BL250" i="3"/>
  <c r="AZ250" i="3" s="1"/>
  <c r="G252" i="3"/>
  <c r="G254" i="3"/>
  <c r="BA259" i="3"/>
  <c r="BL261" i="3"/>
  <c r="BA263" i="3"/>
  <c r="BA267" i="3"/>
  <c r="AZ267" i="3" s="1"/>
  <c r="BA269" i="3"/>
  <c r="AZ269" i="3" s="1"/>
  <c r="BA271" i="3"/>
  <c r="BL271" i="3"/>
  <c r="BA274" i="3"/>
  <c r="BL274" i="3"/>
  <c r="BA276" i="3"/>
  <c r="BA279" i="3"/>
  <c r="BA281" i="3"/>
  <c r="G286" i="3"/>
  <c r="BL286" i="3"/>
  <c r="AZ286" i="3" s="1"/>
  <c r="G289" i="3"/>
  <c r="G290" i="3"/>
  <c r="BA296" i="3"/>
  <c r="BA301" i="3"/>
  <c r="BA134" i="3"/>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AZ231" i="3" s="1"/>
  <c r="BL233" i="3"/>
  <c r="AZ233" i="3" s="1"/>
  <c r="BL235" i="3"/>
  <c r="AZ235" i="3" s="1"/>
  <c r="BL236" i="3"/>
  <c r="BL238" i="3"/>
  <c r="BL243" i="3"/>
  <c r="BA247" i="3"/>
  <c r="BL247" i="3"/>
  <c r="BA249" i="3"/>
  <c r="BL249" i="3"/>
  <c r="BA251" i="3"/>
  <c r="BL251" i="3"/>
  <c r="BA253" i="3"/>
  <c r="BL260" i="3"/>
  <c r="BL263" i="3"/>
  <c r="BL270" i="3"/>
  <c r="AZ270" i="3" s="1"/>
  <c r="BA272" i="3"/>
  <c r="BL275" i="3"/>
  <c r="AZ275" i="3" s="1"/>
  <c r="G282" i="3"/>
  <c r="BL285" i="3"/>
  <c r="BL287" i="3"/>
  <c r="BL301" i="3"/>
  <c r="BL302" i="3"/>
  <c r="BA114" i="3"/>
  <c r="G126" i="3"/>
  <c r="G136"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BA174" i="3"/>
  <c r="BL179" i="3"/>
  <c r="AZ179" i="3" s="1"/>
  <c r="G180" i="3"/>
  <c r="BA181" i="3"/>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G54" i="3"/>
  <c r="G55" i="3"/>
  <c r="BL56" i="3"/>
  <c r="BA58" i="3"/>
  <c r="AZ58" i="3" s="1"/>
  <c r="BL59" i="3"/>
  <c r="BL60" i="3"/>
  <c r="BA61" i="3"/>
  <c r="BA68" i="3"/>
  <c r="G76" i="3"/>
  <c r="BL77" i="3"/>
  <c r="AZ77" i="3" s="1"/>
  <c r="BL81" i="3"/>
  <c r="BA82" i="3"/>
  <c r="AZ82" i="3" s="1"/>
  <c r="BL83" i="3"/>
  <c r="G88" i="3"/>
  <c r="BA90" i="3"/>
  <c r="BA94" i="3"/>
  <c r="BL99" i="3"/>
  <c r="G101" i="3"/>
  <c r="BA101" i="3"/>
  <c r="BA105" i="3"/>
  <c r="F40" i="68"/>
  <c r="C21" i="68"/>
  <c r="C47" i="71"/>
  <c r="D47" i="71" s="1"/>
  <c r="D46" i="71"/>
  <c r="V24" i="71"/>
  <c r="E23" i="71"/>
  <c r="E22" i="71" s="1"/>
  <c r="E21" i="71" s="1"/>
  <c r="E20" i="71" s="1"/>
  <c r="E19" i="71" s="1"/>
  <c r="E18" i="71" s="1"/>
  <c r="E17" i="71" s="1"/>
  <c r="E16" i="71" s="1"/>
  <c r="AC29" i="39"/>
  <c r="W29" i="39"/>
  <c r="C55" i="71"/>
  <c r="D54" i="71"/>
  <c r="N67" i="71"/>
  <c r="B66" i="71"/>
  <c r="F66" i="71"/>
  <c r="Q67" i="71"/>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BA25" i="3"/>
  <c r="BA26" i="3"/>
  <c r="BL28" i="3"/>
  <c r="BA29" i="3"/>
  <c r="AZ29" i="3" s="1"/>
  <c r="BA36" i="3"/>
  <c r="BL38" i="3"/>
  <c r="BA39" i="3"/>
  <c r="AZ39" i="3" s="1"/>
  <c r="BL47" i="3"/>
  <c r="AZ47" i="3" s="1"/>
  <c r="G49" i="3"/>
  <c r="G50" i="3"/>
  <c r="G52" i="3"/>
  <c r="BA52" i="3"/>
  <c r="AZ52" i="3" s="1"/>
  <c r="BA53" i="3"/>
  <c r="AZ53" i="3" s="1"/>
  <c r="BA54" i="3"/>
  <c r="BL57" i="3"/>
  <c r="AZ57" i="3" s="1"/>
  <c r="G59" i="3"/>
  <c r="G62" i="3"/>
  <c r="BL62" i="3"/>
  <c r="AZ62" i="3" s="1"/>
  <c r="BL63" i="3"/>
  <c r="AZ63" i="3" s="1"/>
  <c r="G65" i="3"/>
  <c r="BL65" i="3"/>
  <c r="AZ65" i="3" s="1"/>
  <c r="BL66" i="3"/>
  <c r="AZ66" i="3" s="1"/>
  <c r="BL67" i="3"/>
  <c r="AZ67" i="3" s="1"/>
  <c r="G69" i="3"/>
  <c r="G70" i="3"/>
  <c r="BL70" i="3"/>
  <c r="AZ70" i="3" s="1"/>
  <c r="BL71" i="3"/>
  <c r="AZ71" i="3" s="1"/>
  <c r="BA78" i="3"/>
  <c r="BA80" i="3"/>
  <c r="G84" i="3"/>
  <c r="BL84" i="3"/>
  <c r="AZ84" i="3" s="1"/>
  <c r="BA89" i="3"/>
  <c r="BL92" i="3"/>
  <c r="BA103" i="3"/>
  <c r="AZ103" i="3" s="1"/>
  <c r="BA290" i="3"/>
  <c r="G297" i="3"/>
  <c r="BL299" i="3"/>
  <c r="G300"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AZ207" i="3" s="1"/>
  <c r="BL18" i="3"/>
  <c r="BL19" i="3"/>
  <c r="BA20" i="3"/>
  <c r="AZ20" i="3" s="1"/>
  <c r="BL25" i="3"/>
  <c r="BL27" i="3"/>
  <c r="BA28" i="3"/>
  <c r="BA31" i="3"/>
  <c r="BA32" i="3"/>
  <c r="BA38" i="3"/>
  <c r="BA41" i="3"/>
  <c r="BA42" i="3"/>
  <c r="BL48" i="3"/>
  <c r="AZ48" i="3" s="1"/>
  <c r="BL54" i="3"/>
  <c r="BL55" i="3"/>
  <c r="AZ55" i="3" s="1"/>
  <c r="BA59" i="3"/>
  <c r="BL61" i="3"/>
  <c r="BA64" i="3"/>
  <c r="AZ64" i="3" s="1"/>
  <c r="BL68" i="3"/>
  <c r="BA69" i="3"/>
  <c r="AZ69" i="3" s="1"/>
  <c r="BA72" i="3"/>
  <c r="AZ72" i="3" s="1"/>
  <c r="BA73" i="3"/>
  <c r="BL90" i="3"/>
  <c r="C44" i="71"/>
  <c r="D43" i="71"/>
  <c r="D51" i="71"/>
  <c r="G72" i="3"/>
  <c r="BL73" i="3"/>
  <c r="BA74" i="3"/>
  <c r="BA75" i="3"/>
  <c r="AZ75" i="3" s="1"/>
  <c r="G81" i="3"/>
  <c r="G85" i="3"/>
  <c r="BL85" i="3"/>
  <c r="BA86" i="3"/>
  <c r="AZ86" i="3" s="1"/>
  <c r="BA87" i="3"/>
  <c r="BA91" i="3"/>
  <c r="AZ91" i="3" s="1"/>
  <c r="G96" i="3"/>
  <c r="BL97" i="3"/>
  <c r="AZ97" i="3" s="1"/>
  <c r="BL101" i="3"/>
  <c r="BL102" i="3"/>
  <c r="G104" i="3"/>
  <c r="G105" i="3"/>
  <c r="BL106" i="3"/>
  <c r="BA108" i="3"/>
  <c r="BA110" i="3"/>
  <c r="AZ110" i="3" s="1"/>
  <c r="F3" i="35"/>
  <c r="S21" i="33"/>
  <c r="S21" i="37"/>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L108" i="3"/>
  <c r="G110" i="3"/>
  <c r="BL111"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94" i="3"/>
  <c r="BA100" i="3"/>
  <c r="AZ100" i="3" s="1"/>
  <c r="BA102" i="3"/>
  <c r="BL105" i="3"/>
  <c r="BL107" i="3"/>
  <c r="BA111" i="3"/>
  <c r="K13" i="1"/>
  <c r="M13" i="1" s="1"/>
  <c r="O13" i="1" s="1"/>
  <c r="P13" i="1" s="1"/>
  <c r="S18" i="36"/>
  <c r="AB28" i="71"/>
  <c r="AB33" i="71"/>
  <c r="AA30" i="71"/>
  <c r="E35" i="71"/>
  <c r="E36" i="71" s="1"/>
  <c r="U36" i="71" s="1"/>
  <c r="AB31" i="71"/>
  <c r="AA36" i="71"/>
  <c r="B47" i="71"/>
  <c r="B48" i="71" s="1"/>
  <c r="S48" i="71" s="1"/>
  <c r="F9" i="1"/>
  <c r="G9" i="1" s="1"/>
  <c r="F10" i="1"/>
  <c r="G10" i="1" s="1"/>
  <c r="F8" i="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5" i="3"/>
  <c r="AZ449" i="3"/>
  <c r="AZ452" i="3"/>
  <c r="AZ456" i="3"/>
  <c r="AZ467" i="3"/>
  <c r="AZ468" i="3"/>
  <c r="W35" i="39"/>
  <c r="F27" i="34"/>
  <c r="C21" i="39"/>
  <c r="U9" i="36"/>
  <c r="U14" i="37"/>
  <c r="H12" i="21"/>
  <c r="G526" i="3"/>
  <c r="AZ420"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8" i="3"/>
  <c r="BA479" i="3"/>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BA266" i="3"/>
  <c r="AZ266" i="3" s="1"/>
  <c r="G272" i="3"/>
  <c r="G275" i="3"/>
  <c r="BL276" i="3"/>
  <c r="AZ276" i="3" s="1"/>
  <c r="BL279" i="3"/>
  <c r="AZ279" i="3" s="1"/>
  <c r="BL281" i="3"/>
  <c r="AZ281" i="3" s="1"/>
  <c r="BA285" i="3"/>
  <c r="AZ285" i="3" s="1"/>
  <c r="BA287" i="3"/>
  <c r="AZ134"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30" i="3"/>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90" i="3"/>
  <c r="AZ92" i="3"/>
  <c r="BL78" i="3"/>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E14" i="6"/>
  <c r="E63" i="39" s="1"/>
  <c r="I4" i="6"/>
  <c r="G3" i="43" s="1"/>
  <c r="H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D33" i="43" s="1"/>
  <c r="D1" i="43" s="1"/>
  <c r="E12" i="6"/>
  <c r="E57" i="40" s="1"/>
  <c r="E15" i="6"/>
  <c r="E64" i="39" s="1"/>
  <c r="E11" i="6"/>
  <c r="E60" i="39" s="1"/>
  <c r="E10" i="6"/>
  <c r="E13" i="6"/>
  <c r="P11" i="1"/>
  <c r="D9" i="11"/>
  <c r="C9" i="11" s="1"/>
  <c r="D19" i="12"/>
  <c r="C19" i="12" s="1"/>
  <c r="O9" i="1"/>
  <c r="P9" i="1" s="1"/>
  <c r="O12" i="1"/>
  <c r="P12"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Q71" i="67"/>
  <c r="F71" i="67"/>
  <c r="B13" i="70"/>
  <c r="F64" i="67"/>
  <c r="D9" i="69"/>
  <c r="D9" i="68"/>
  <c r="M23" i="15"/>
  <c r="F36" i="15"/>
  <c r="D5" i="73"/>
  <c r="F40" i="67"/>
  <c r="F43" i="15"/>
  <c r="F8" i="67"/>
  <c r="F26" i="67"/>
  <c r="M26" i="15"/>
  <c r="M24" i="67"/>
  <c r="M26" i="67"/>
  <c r="J15" i="15"/>
  <c r="M22" i="15"/>
  <c r="F42" i="15"/>
  <c r="M28" i="15"/>
  <c r="M23" i="67"/>
  <c r="M29" i="15"/>
  <c r="F38" i="67"/>
  <c r="D4" i="73"/>
  <c r="F6" i="67"/>
  <c r="F37" i="15"/>
  <c r="F38" i="15"/>
  <c r="C76" i="15"/>
  <c r="M9" i="15"/>
  <c r="F42" i="67"/>
  <c r="F16" i="15"/>
  <c r="F9" i="15"/>
  <c r="F40" i="15"/>
  <c r="F7" i="67"/>
  <c r="L48" i="67"/>
  <c r="F8" i="15"/>
  <c r="F6" i="15"/>
  <c r="F13" i="15"/>
  <c r="L47" i="15"/>
  <c r="L48" i="15"/>
  <c r="M6" i="67"/>
  <c r="M6" i="15"/>
  <c r="F26" i="15"/>
  <c r="F16" i="67"/>
  <c r="D7" i="73"/>
  <c r="L47" i="67"/>
  <c r="F9" i="67"/>
  <c r="F7" i="15"/>
  <c r="M9" i="67"/>
  <c r="F37" i="67"/>
  <c r="D3" i="73"/>
  <c r="M8" i="15"/>
  <c r="F13" i="67"/>
  <c r="AC12" i="40" l="1"/>
  <c r="W12" i="40"/>
  <c r="AB39" i="37"/>
  <c r="U39" i="37"/>
  <c r="AA33" i="36"/>
  <c r="S33" i="36"/>
  <c r="W14" i="33"/>
  <c r="AC14" i="33"/>
  <c r="AA14" i="40"/>
  <c r="S14" i="40"/>
  <c r="AB37" i="39"/>
  <c r="U37" i="39"/>
  <c r="AC39" i="37"/>
  <c r="W39" i="37"/>
  <c r="AB33" i="36"/>
  <c r="U33" i="36"/>
  <c r="W37" i="39"/>
  <c r="AC37" i="39"/>
  <c r="AC32" i="40"/>
  <c r="W32" i="40"/>
  <c r="H123" i="39"/>
  <c r="I123" i="39" s="1"/>
  <c r="J123" i="39" s="1"/>
  <c r="K123" i="39" s="1"/>
  <c r="L123" i="39" s="1"/>
  <c r="M123" i="39" s="1"/>
  <c r="F41" i="39"/>
  <c r="J41" i="39"/>
  <c r="W26" i="33"/>
  <c r="AC26" i="33"/>
  <c r="AC27" i="34"/>
  <c r="W27" i="34"/>
  <c r="F30" i="6"/>
  <c r="AZ165" i="3"/>
  <c r="AB44" i="33"/>
  <c r="U44" i="33"/>
  <c r="U31" i="40"/>
  <c r="AB31" i="40"/>
  <c r="AZ89" i="3"/>
  <c r="AZ296" i="3"/>
  <c r="AZ253" i="3"/>
  <c r="AZ479" i="3"/>
  <c r="U13" i="40"/>
  <c r="AB13" i="40"/>
  <c r="C24" i="12"/>
  <c r="C77" i="85"/>
  <c r="C74" i="85" s="1"/>
  <c r="AA44" i="21"/>
  <c r="S44" i="21"/>
  <c r="W28" i="34"/>
  <c r="AC28" i="34"/>
  <c r="AB28" i="34"/>
  <c r="U28" i="34"/>
  <c r="U29" i="21"/>
  <c r="AB29" i="21"/>
  <c r="AA13" i="34"/>
  <c r="S13" i="34"/>
  <c r="B20" i="31"/>
  <c r="B21" i="31" s="1"/>
  <c r="AZ78" i="3"/>
  <c r="AZ287" i="3"/>
  <c r="AZ264" i="3"/>
  <c r="AZ290" i="3"/>
  <c r="AA27" i="33"/>
  <c r="S27" i="33"/>
  <c r="U47" i="34"/>
  <c r="AB47" i="34"/>
  <c r="M7" i="15"/>
  <c r="F50" i="15"/>
  <c r="F66" i="15"/>
  <c r="N59" i="15"/>
  <c r="AZ54" i="3"/>
  <c r="AZ519" i="3"/>
  <c r="W17" i="39"/>
  <c r="AC17" i="39"/>
  <c r="W46" i="34"/>
  <c r="AC46" i="34"/>
  <c r="AC9" i="36"/>
  <c r="W9" i="36"/>
  <c r="F71" i="15"/>
  <c r="F65" i="15"/>
  <c r="C27" i="15"/>
  <c r="K52" i="43"/>
  <c r="M52" i="43"/>
  <c r="N52" i="43" s="1"/>
  <c r="K56" i="43"/>
  <c r="J56" i="43" s="1"/>
  <c r="M56" i="43"/>
  <c r="AZ41" i="3"/>
  <c r="AZ28" i="3"/>
  <c r="AZ185" i="3"/>
  <c r="AZ221" i="3"/>
  <c r="AZ430" i="3"/>
  <c r="AZ533" i="3"/>
  <c r="G30" i="6"/>
  <c r="G31" i="6" s="1"/>
  <c r="AZ497" i="3"/>
  <c r="AZ530" i="3"/>
  <c r="AZ564" i="3"/>
  <c r="B19" i="71"/>
  <c r="B18" i="71" s="1"/>
  <c r="B17" i="71" s="1"/>
  <c r="B16" i="71" s="1"/>
  <c r="S20" i="71"/>
  <c r="AB34" i="36"/>
  <c r="U34" i="36"/>
  <c r="M51" i="43"/>
  <c r="K51" i="43"/>
  <c r="J51" i="43" s="1"/>
  <c r="AZ202" i="3"/>
  <c r="AZ113" i="3"/>
  <c r="AZ102" i="3"/>
  <c r="AZ74" i="3"/>
  <c r="AZ182" i="3"/>
  <c r="AZ230" i="3"/>
  <c r="AZ294" i="3"/>
  <c r="AZ427" i="3"/>
  <c r="AZ429" i="3"/>
  <c r="AZ469" i="3"/>
  <c r="AC13" i="33"/>
  <c r="W13" i="33"/>
  <c r="AA33" i="40"/>
  <c r="S33" i="40"/>
  <c r="M57" i="43"/>
  <c r="N57" i="43" s="1"/>
  <c r="K57" i="43"/>
  <c r="J57" i="43" s="1"/>
  <c r="D57" i="43" s="1"/>
  <c r="M53" i="43"/>
  <c r="N53" i="43" s="1"/>
  <c r="K53" i="43"/>
  <c r="M55" i="43"/>
  <c r="N55" i="43" s="1"/>
  <c r="K55" i="43"/>
  <c r="M58" i="43"/>
  <c r="K58" i="43"/>
  <c r="J58" i="43" s="1"/>
  <c r="AZ418" i="3"/>
  <c r="AZ540" i="3"/>
  <c r="AZ549" i="3"/>
  <c r="AZ536" i="3"/>
  <c r="AZ580" i="3"/>
  <c r="S31" i="33"/>
  <c r="AA31" i="33"/>
  <c r="W33" i="40"/>
  <c r="AC33" i="40"/>
  <c r="U45" i="39"/>
  <c r="AB45" i="39"/>
  <c r="M50" i="43"/>
  <c r="K50" i="43"/>
  <c r="J50" i="43" s="1"/>
  <c r="S25" i="36"/>
  <c r="AA25" i="36"/>
  <c r="W12" i="37"/>
  <c r="AC12" i="37"/>
  <c r="E28" i="6"/>
  <c r="K14" i="1" s="1"/>
  <c r="M35" i="1" s="1"/>
  <c r="F65" i="67"/>
  <c r="N59" i="67"/>
  <c r="L59" i="67"/>
  <c r="Q61" i="67" s="1"/>
  <c r="C27" i="67"/>
  <c r="F68" i="67"/>
  <c r="AA37" i="39"/>
  <c r="S37" i="39"/>
  <c r="AZ569" i="3"/>
  <c r="W14" i="21"/>
  <c r="AC14" i="21"/>
  <c r="W12" i="34"/>
  <c r="AC12" i="34"/>
  <c r="S36" i="39"/>
  <c r="AA36" i="39"/>
  <c r="S45" i="34"/>
  <c r="AA45" i="34"/>
  <c r="AC46" i="33"/>
  <c r="W46" i="33"/>
  <c r="AA27" i="21"/>
  <c r="S27" i="21"/>
  <c r="AZ527" i="3"/>
  <c r="AB25" i="35"/>
  <c r="U25" i="35"/>
  <c r="W30" i="33"/>
  <c r="AC30" i="33"/>
  <c r="AZ561" i="3"/>
  <c r="AZ88" i="3"/>
  <c r="AZ257" i="3"/>
  <c r="AZ121" i="3"/>
  <c r="AZ245" i="3"/>
  <c r="S14" i="21"/>
  <c r="AA14" i="21"/>
  <c r="AZ505" i="3"/>
  <c r="AB29" i="34"/>
  <c r="U29" i="34"/>
  <c r="AC13" i="35"/>
  <c r="W13" i="35"/>
  <c r="W45" i="34"/>
  <c r="AC45" i="34"/>
  <c r="S12" i="33"/>
  <c r="AA12" i="33"/>
  <c r="AB27" i="21"/>
  <c r="U27" i="21"/>
  <c r="AZ534" i="3"/>
  <c r="AZ542" i="3"/>
  <c r="S30" i="33"/>
  <c r="AA30" i="33"/>
  <c r="AZ27" i="3"/>
  <c r="AZ271" i="3"/>
  <c r="AZ461" i="3"/>
  <c r="AZ454" i="3"/>
  <c r="AZ428" i="3"/>
  <c r="AZ411" i="3"/>
  <c r="AC38" i="40"/>
  <c r="W38" i="40"/>
  <c r="U45" i="34"/>
  <c r="AB45" i="34"/>
  <c r="AZ494" i="3"/>
  <c r="AZ522" i="3"/>
  <c r="AB36" i="39"/>
  <c r="U36" i="39"/>
  <c r="AB46" i="33"/>
  <c r="U46" i="33"/>
  <c r="W12" i="33"/>
  <c r="AC12" i="33"/>
  <c r="W27" i="21"/>
  <c r="AC27" i="21"/>
  <c r="S29" i="34"/>
  <c r="AA29" i="34"/>
  <c r="AZ300" i="3"/>
  <c r="AZ21" i="3"/>
  <c r="AZ51" i="3"/>
  <c r="AZ181" i="3"/>
  <c r="AZ173" i="3"/>
  <c r="AZ272" i="3"/>
  <c r="AZ259" i="3"/>
  <c r="AZ353" i="3"/>
  <c r="AZ244" i="3"/>
  <c r="AZ239" i="3"/>
  <c r="AZ413" i="3"/>
  <c r="F119" i="39"/>
  <c r="G119" i="39" s="1"/>
  <c r="H119" i="39" s="1"/>
  <c r="I119" i="39" s="1"/>
  <c r="J119" i="39" s="1"/>
  <c r="K119" i="39" s="1"/>
  <c r="L119" i="39" s="1"/>
  <c r="M119" i="39" s="1"/>
  <c r="J39" i="39"/>
  <c r="AZ500" i="3"/>
  <c r="U11" i="39"/>
  <c r="AB11" i="39"/>
  <c r="AA14" i="39"/>
  <c r="S14" i="39"/>
  <c r="AZ515" i="3"/>
  <c r="AB12" i="34"/>
  <c r="U12" i="34"/>
  <c r="AZ573" i="3"/>
  <c r="AZ552" i="3"/>
  <c r="U13" i="35"/>
  <c r="AB13" i="35"/>
  <c r="AB30" i="33"/>
  <c r="U30" i="33"/>
  <c r="AZ501" i="3"/>
  <c r="AZ538" i="3"/>
  <c r="AC29" i="34"/>
  <c r="W29" i="34"/>
  <c r="AB39" i="39"/>
  <c r="W12" i="39"/>
  <c r="AC12" i="39"/>
  <c r="S12" i="39"/>
  <c r="AA12" i="39"/>
  <c r="AZ111" i="3"/>
  <c r="AZ130" i="3"/>
  <c r="AZ251" i="3"/>
  <c r="AZ247" i="3"/>
  <c r="AZ229" i="3"/>
  <c r="AZ332" i="3"/>
  <c r="AZ282" i="3"/>
  <c r="AZ397" i="3"/>
  <c r="AZ460" i="3"/>
  <c r="AZ435" i="3"/>
  <c r="AZ425" i="3"/>
  <c r="AZ432" i="3"/>
  <c r="AZ417" i="3"/>
  <c r="AZ201" i="3"/>
  <c r="D75" i="71"/>
  <c r="C74" i="71"/>
  <c r="D74" i="71" s="1"/>
  <c r="AZ133" i="3"/>
  <c r="AZ265" i="3"/>
  <c r="AA25" i="37"/>
  <c r="S25" i="37"/>
  <c r="AC23" i="35"/>
  <c r="W23" i="35"/>
  <c r="AB46" i="21"/>
  <c r="U46" i="21"/>
  <c r="AB28" i="33"/>
  <c r="U28" i="33"/>
  <c r="AA11" i="36"/>
  <c r="S11" i="36"/>
  <c r="S32" i="34"/>
  <c r="AA32" i="34"/>
  <c r="U27" i="37"/>
  <c r="AB27" i="37"/>
  <c r="AA9" i="21"/>
  <c r="S9" i="21"/>
  <c r="AZ459" i="3"/>
  <c r="AZ398" i="3"/>
  <c r="AZ458" i="3"/>
  <c r="AC25" i="37"/>
  <c r="W25" i="37"/>
  <c r="AA12" i="36"/>
  <c r="S12" i="36"/>
  <c r="AC9" i="34"/>
  <c r="W9" i="34"/>
  <c r="W30" i="21"/>
  <c r="AC30" i="21"/>
  <c r="AC44" i="39"/>
  <c r="W44" i="39"/>
  <c r="AA46" i="21"/>
  <c r="S46" i="21"/>
  <c r="AA32" i="36"/>
  <c r="S32" i="36"/>
  <c r="AC9" i="33"/>
  <c r="W9" i="33"/>
  <c r="S35" i="35"/>
  <c r="AA35" i="35"/>
  <c r="U14" i="34"/>
  <c r="AB14" i="34"/>
  <c r="U40" i="37"/>
  <c r="AB40" i="37"/>
  <c r="AZ38" i="3"/>
  <c r="AZ238" i="3"/>
  <c r="D23" i="71"/>
  <c r="C22" i="71"/>
  <c r="C60" i="71"/>
  <c r="D59" i="71"/>
  <c r="AZ402" i="3"/>
  <c r="AC31" i="39"/>
  <c r="W31" i="39"/>
  <c r="U25" i="37"/>
  <c r="AB25" i="37"/>
  <c r="W12" i="36"/>
  <c r="AC12" i="36"/>
  <c r="S30" i="21"/>
  <c r="AA30" i="21"/>
  <c r="AA44" i="39"/>
  <c r="S44" i="39"/>
  <c r="U12" i="35"/>
  <c r="AB12" i="35"/>
  <c r="U32" i="34"/>
  <c r="AB32" i="34"/>
  <c r="W14" i="34"/>
  <c r="AC14" i="34"/>
  <c r="S29" i="33"/>
  <c r="AA29" i="33"/>
  <c r="AA40" i="37"/>
  <c r="S40" i="37"/>
  <c r="J7" i="36"/>
  <c r="AZ550" i="3"/>
  <c r="C31" i="71"/>
  <c r="AZ406" i="3"/>
  <c r="AB31" i="39"/>
  <c r="U31" i="39"/>
  <c r="U23" i="35"/>
  <c r="AB23" i="35"/>
  <c r="AA45" i="21"/>
  <c r="S45" i="21"/>
  <c r="AC25" i="39"/>
  <c r="W25" i="39"/>
  <c r="AB44" i="39"/>
  <c r="U44" i="39"/>
  <c r="AB32" i="36"/>
  <c r="U32" i="36"/>
  <c r="W28" i="33"/>
  <c r="AC28" i="33"/>
  <c r="AB9" i="33"/>
  <c r="U9" i="33"/>
  <c r="W32" i="34"/>
  <c r="AC32" i="34"/>
  <c r="AA45" i="33"/>
  <c r="S45" i="33"/>
  <c r="W27" i="37"/>
  <c r="AC27" i="37"/>
  <c r="AA27" i="39"/>
  <c r="S27" i="39"/>
  <c r="U27" i="39"/>
  <c r="AB27" i="39"/>
  <c r="W27" i="39"/>
  <c r="AC27" i="39"/>
  <c r="O34" i="1"/>
  <c r="C48" i="69"/>
  <c r="C30" i="69"/>
  <c r="E59" i="40"/>
  <c r="J57" i="67"/>
  <c r="J55" i="67" s="1"/>
  <c r="J58" i="67" s="1"/>
  <c r="Q50" i="67" s="1"/>
  <c r="L58" i="67"/>
  <c r="Q73" i="67" s="1"/>
  <c r="L56" i="67"/>
  <c r="J53" i="67"/>
  <c r="F1" i="67" s="1"/>
  <c r="I54" i="67"/>
  <c r="G8" i="1"/>
  <c r="G16" i="1" s="1"/>
  <c r="F10" i="39" s="1"/>
  <c r="S10" i="39" s="1"/>
  <c r="P6" i="1"/>
  <c r="C13" i="12" s="1"/>
  <c r="G26" i="43"/>
  <c r="H16" i="1"/>
  <c r="J26" i="43"/>
  <c r="N94" i="46"/>
  <c r="Q16" i="1"/>
  <c r="F27" i="11" s="1"/>
  <c r="N370" i="46"/>
  <c r="F26" i="43"/>
  <c r="E26" i="43"/>
  <c r="F51" i="67"/>
  <c r="C6" i="67"/>
  <c r="C32" i="67" s="1"/>
  <c r="F66" i="67"/>
  <c r="J57" i="15"/>
  <c r="J55" i="15" s="1"/>
  <c r="J58" i="15" s="1"/>
  <c r="Q50" i="15" s="1"/>
  <c r="I54" i="15"/>
  <c r="L58" i="15"/>
  <c r="Q60" i="15" s="1"/>
  <c r="Q71" i="15"/>
  <c r="F64" i="15"/>
  <c r="F68" i="15"/>
  <c r="C6" i="15"/>
  <c r="C32" i="15" s="1"/>
  <c r="F31" i="15"/>
  <c r="F31" i="67"/>
  <c r="F50" i="67"/>
  <c r="M7" i="67"/>
  <c r="J6" i="67" s="1"/>
  <c r="J18" i="67" s="1"/>
  <c r="F51" i="15"/>
  <c r="C40" i="71"/>
  <c r="D39" i="71"/>
  <c r="AZ108" i="3"/>
  <c r="AZ150" i="3"/>
  <c r="N65" i="71"/>
  <c r="N66" i="71"/>
  <c r="AZ101" i="3"/>
  <c r="AZ61" i="3"/>
  <c r="AZ302" i="3"/>
  <c r="AZ263" i="3"/>
  <c r="AZ243" i="3"/>
  <c r="AZ368" i="3"/>
  <c r="AZ277" i="3"/>
  <c r="AZ256" i="3"/>
  <c r="AZ210" i="3"/>
  <c r="AB24" i="36"/>
  <c r="U24" i="36"/>
  <c r="C70" i="71"/>
  <c r="D70" i="71" s="1"/>
  <c r="D71" i="71"/>
  <c r="C36" i="71"/>
  <c r="D35" i="71"/>
  <c r="D44" i="71"/>
  <c r="T44" i="71"/>
  <c r="AZ59" i="3"/>
  <c r="AZ31" i="3"/>
  <c r="AZ301" i="3"/>
  <c r="AZ488" i="3"/>
  <c r="U39" i="40"/>
  <c r="AB39" i="40"/>
  <c r="AZ483" i="3"/>
  <c r="AC23" i="36"/>
  <c r="W23" i="36"/>
  <c r="J6" i="15"/>
  <c r="J18" i="15" s="1"/>
  <c r="G5" i="3"/>
  <c r="B3" i="3" s="1"/>
  <c r="E399" i="3" s="1"/>
  <c r="T28" i="71"/>
  <c r="D28" i="71"/>
  <c r="U28" i="71" s="1"/>
  <c r="C27" i="71"/>
  <c r="D79" i="71"/>
  <c r="C78" i="71"/>
  <c r="D78" i="71" s="1"/>
  <c r="AZ19" i="3"/>
  <c r="W12" i="35"/>
  <c r="AC12" i="35"/>
  <c r="AB23" i="36"/>
  <c r="U23" i="36"/>
  <c r="D83" i="71"/>
  <c r="C82" i="71"/>
  <c r="D82" i="71" s="1"/>
  <c r="O65" i="71"/>
  <c r="D66" i="71"/>
  <c r="O66" i="71"/>
  <c r="T52" i="71"/>
  <c r="D52" i="71"/>
  <c r="AZ118" i="3"/>
  <c r="AZ25" i="3"/>
  <c r="C56" i="71"/>
  <c r="D55" i="71"/>
  <c r="AZ105" i="3"/>
  <c r="AZ94" i="3"/>
  <c r="AZ137" i="3"/>
  <c r="AZ249" i="3"/>
  <c r="AZ218" i="3"/>
  <c r="AZ274" i="3"/>
  <c r="AZ223" i="3"/>
  <c r="AZ297" i="3"/>
  <c r="AZ241" i="3"/>
  <c r="AZ457" i="3"/>
  <c r="AZ421" i="3"/>
  <c r="AZ453" i="3"/>
  <c r="AZ408" i="3"/>
  <c r="AB38" i="40"/>
  <c r="U38" i="40"/>
  <c r="J7" i="37"/>
  <c r="W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59" i="67"/>
  <c r="H7" i="37"/>
  <c r="AB7" i="37" s="1"/>
  <c r="T42" i="37" s="1"/>
  <c r="G42" i="37" s="1"/>
  <c r="H7" i="33"/>
  <c r="J7" i="33"/>
  <c r="D65" i="40"/>
  <c r="E63" i="40"/>
  <c r="F48" i="35"/>
  <c r="AA7" i="36"/>
  <c r="R36" i="36" s="1"/>
  <c r="F7" i="33"/>
  <c r="E58" i="21"/>
  <c r="AC7" i="36"/>
  <c r="V36" i="36" s="1"/>
  <c r="I36" i="36" s="1"/>
  <c r="W7" i="36"/>
  <c r="F7" i="37"/>
  <c r="M17" i="67"/>
  <c r="M17" i="15"/>
  <c r="F59" i="15"/>
  <c r="P28" i="43"/>
  <c r="B66" i="40" s="1"/>
  <c r="P25" i="43"/>
  <c r="P29" i="43"/>
  <c r="P27" i="43"/>
  <c r="M11" i="67"/>
  <c r="J10" i="67" s="1"/>
  <c r="F11" i="15"/>
  <c r="M11" i="15"/>
  <c r="J10" i="15" s="1"/>
  <c r="F11" i="67"/>
  <c r="AE11" i="1"/>
  <c r="AE9" i="1"/>
  <c r="AE7" i="1"/>
  <c r="AE12" i="1"/>
  <c r="AE10" i="1"/>
  <c r="G1" i="73"/>
  <c r="C16" i="67"/>
  <c r="C16" i="15"/>
  <c r="W41" i="39" l="1"/>
  <c r="AC41" i="39"/>
  <c r="S41" i="39"/>
  <c r="AA41" i="39"/>
  <c r="C49" i="15"/>
  <c r="AC7" i="37"/>
  <c r="N58" i="43"/>
  <c r="D58" i="43"/>
  <c r="J52" i="43"/>
  <c r="D52" i="43"/>
  <c r="O35" i="1"/>
  <c r="O36" i="1" s="1"/>
  <c r="M36" i="1"/>
  <c r="J55" i="43"/>
  <c r="D55" i="43"/>
  <c r="N56" i="43"/>
  <c r="D56" i="43"/>
  <c r="AZ5" i="3"/>
  <c r="N51" i="43"/>
  <c r="D51" i="43"/>
  <c r="N50" i="43"/>
  <c r="D50" i="43"/>
  <c r="J53" i="43"/>
  <c r="D53" i="43"/>
  <c r="M14" i="1"/>
  <c r="M16" i="1" s="1"/>
  <c r="Q74" i="67"/>
  <c r="K16" i="1"/>
  <c r="AC39" i="39"/>
  <c r="W39" i="39"/>
  <c r="B70" i="39"/>
  <c r="U7" i="36"/>
  <c r="T60" i="71"/>
  <c r="D60" i="71"/>
  <c r="C21" i="71"/>
  <c r="D22" i="71"/>
  <c r="F67" i="39"/>
  <c r="D31" i="71"/>
  <c r="C32" i="71"/>
  <c r="F27" i="69"/>
  <c r="F45" i="69" s="1"/>
  <c r="Q18" i="1"/>
  <c r="Q60" i="67"/>
  <c r="F28" i="12"/>
  <c r="Q52" i="67"/>
  <c r="E296" i="3"/>
  <c r="E215" i="3"/>
  <c r="E273" i="3"/>
  <c r="E214" i="3"/>
  <c r="E301" i="3"/>
  <c r="E131" i="3"/>
  <c r="X6" i="3"/>
  <c r="E263" i="3"/>
  <c r="E431" i="3"/>
  <c r="AO6" i="3"/>
  <c r="E560" i="3"/>
  <c r="E445" i="3"/>
  <c r="E526" i="3"/>
  <c r="E368" i="3"/>
  <c r="AK6" i="3"/>
  <c r="E570" i="3"/>
  <c r="E489" i="3"/>
  <c r="E577" i="3"/>
  <c r="E198" i="3"/>
  <c r="E419" i="3"/>
  <c r="AQ6" i="3"/>
  <c r="E58" i="3"/>
  <c r="E436" i="3"/>
  <c r="E195" i="3"/>
  <c r="E224" i="3"/>
  <c r="E14" i="3"/>
  <c r="E71" i="3"/>
  <c r="E328" i="3"/>
  <c r="E237" i="3"/>
  <c r="AA6" i="3"/>
  <c r="E481" i="3"/>
  <c r="E203" i="3"/>
  <c r="E164" i="3"/>
  <c r="E121" i="3"/>
  <c r="E553" i="3"/>
  <c r="E151" i="3"/>
  <c r="E130" i="3"/>
  <c r="E290" i="3"/>
  <c r="E336" i="3"/>
  <c r="E45" i="3"/>
  <c r="E457" i="3"/>
  <c r="E150" i="3"/>
  <c r="E271" i="3"/>
  <c r="E505" i="3"/>
  <c r="E186" i="3"/>
  <c r="E343" i="3"/>
  <c r="E337" i="3"/>
  <c r="E561" i="3"/>
  <c r="E185" i="3"/>
  <c r="E503" i="3"/>
  <c r="E350" i="3"/>
  <c r="E77" i="3"/>
  <c r="E228" i="3"/>
  <c r="E472" i="3"/>
  <c r="E454" i="3"/>
  <c r="E315" i="3"/>
  <c r="E89" i="3"/>
  <c r="E400" i="3"/>
  <c r="E28" i="3"/>
  <c r="E377" i="3"/>
  <c r="E322" i="3"/>
  <c r="E247" i="3"/>
  <c r="M6" i="3"/>
  <c r="E69" i="3"/>
  <c r="E535" i="3"/>
  <c r="E423" i="3"/>
  <c r="E200" i="3"/>
  <c r="E275" i="3"/>
  <c r="E118" i="3"/>
  <c r="E369" i="3"/>
  <c r="E139" i="3"/>
  <c r="E22" i="3"/>
  <c r="E346" i="3"/>
  <c r="E62" i="3"/>
  <c r="E416" i="3"/>
  <c r="E341" i="3"/>
  <c r="E504" i="3"/>
  <c r="W6" i="3"/>
  <c r="E145" i="3"/>
  <c r="E317" i="3"/>
  <c r="E97" i="3"/>
  <c r="E302" i="3"/>
  <c r="E434" i="3"/>
  <c r="E424" i="3"/>
  <c r="E394" i="3"/>
  <c r="P6" i="3"/>
  <c r="E166" i="3"/>
  <c r="N6" i="3"/>
  <c r="V6" i="3"/>
  <c r="E415" i="3"/>
  <c r="E61" i="3"/>
  <c r="E253" i="3"/>
  <c r="E193" i="3"/>
  <c r="E571" i="3"/>
  <c r="E318" i="3"/>
  <c r="E107" i="3"/>
  <c r="AS6" i="3"/>
  <c r="E384" i="3"/>
  <c r="E508" i="3"/>
  <c r="E143" i="3"/>
  <c r="E439" i="3"/>
  <c r="E261" i="3"/>
  <c r="E180" i="3"/>
  <c r="E495" i="3"/>
  <c r="E568" i="3"/>
  <c r="E277" i="3"/>
  <c r="E465" i="3"/>
  <c r="E106" i="3"/>
  <c r="E362" i="3"/>
  <c r="E327" i="3"/>
  <c r="E345" i="3"/>
  <c r="E70" i="3"/>
  <c r="E109" i="3"/>
  <c r="AJ6" i="3"/>
  <c r="E201" i="3"/>
  <c r="E387" i="3"/>
  <c r="E278" i="3"/>
  <c r="E161" i="3"/>
  <c r="E385" i="3"/>
  <c r="E148" i="3"/>
  <c r="E242" i="3"/>
  <c r="E487" i="3"/>
  <c r="E78" i="3"/>
  <c r="E60" i="3"/>
  <c r="E176" i="3"/>
  <c r="E446" i="3"/>
  <c r="E374" i="3"/>
  <c r="E307" i="3"/>
  <c r="E471" i="3"/>
  <c r="U6" i="3"/>
  <c r="AM6" i="3"/>
  <c r="E523" i="3"/>
  <c r="E221" i="3"/>
  <c r="E120" i="3"/>
  <c r="AE6" i="3"/>
  <c r="E32" i="3"/>
  <c r="E558" i="3"/>
  <c r="E334" i="3"/>
  <c r="E396" i="3"/>
  <c r="E407" i="3"/>
  <c r="E395" i="3"/>
  <c r="E578" i="3"/>
  <c r="E85" i="3"/>
  <c r="E519" i="3"/>
  <c r="E433" i="3"/>
  <c r="E31" i="3"/>
  <c r="E515" i="3"/>
  <c r="E27" i="3"/>
  <c r="E44" i="3"/>
  <c r="E388" i="3"/>
  <c r="E533" i="3"/>
  <c r="E380" i="3"/>
  <c r="E528" i="3"/>
  <c r="E134" i="3"/>
  <c r="E124" i="3"/>
  <c r="E181" i="3"/>
  <c r="K6" i="3"/>
  <c r="E587" i="3"/>
  <c r="E146" i="3"/>
  <c r="E227" i="3"/>
  <c r="Z6" i="3"/>
  <c r="E557" i="3"/>
  <c r="E211" i="3"/>
  <c r="E217" i="3"/>
  <c r="E509" i="3"/>
  <c r="E514" i="3"/>
  <c r="E335" i="3"/>
  <c r="E563" i="3"/>
  <c r="E191" i="3"/>
  <c r="E246" i="3"/>
  <c r="E119" i="3"/>
  <c r="E219" i="3"/>
  <c r="E94" i="3"/>
  <c r="E248" i="3"/>
  <c r="E378" i="3"/>
  <c r="E510" i="3"/>
  <c r="E564" i="3"/>
  <c r="E234" i="3"/>
  <c r="E460" i="3"/>
  <c r="E464" i="3"/>
  <c r="E179" i="3"/>
  <c r="E157" i="3"/>
  <c r="E357" i="3"/>
  <c r="E547" i="3"/>
  <c r="E426" i="3"/>
  <c r="E298" i="3"/>
  <c r="E353" i="3"/>
  <c r="E177" i="3"/>
  <c r="E73" i="3"/>
  <c r="E252" i="3"/>
  <c r="E581" i="3"/>
  <c r="E125" i="3"/>
  <c r="E229" i="3"/>
  <c r="E294" i="3"/>
  <c r="E117" i="3"/>
  <c r="E518" i="3"/>
  <c r="E314" i="3"/>
  <c r="E527" i="3"/>
  <c r="E111" i="3"/>
  <c r="E567" i="3"/>
  <c r="E414" i="3"/>
  <c r="E162" i="3"/>
  <c r="E175" i="3"/>
  <c r="E410" i="3"/>
  <c r="AR6" i="3"/>
  <c r="E231" i="3"/>
  <c r="E361" i="3"/>
  <c r="AY6" i="3"/>
  <c r="AY253" i="3" s="1"/>
  <c r="E435" i="3"/>
  <c r="E241" i="3"/>
  <c r="E332" i="3"/>
  <c r="E405" i="3"/>
  <c r="E158" i="3"/>
  <c r="E543" i="3"/>
  <c r="E25" i="3"/>
  <c r="E79" i="3"/>
  <c r="E36" i="3"/>
  <c r="E524" i="3"/>
  <c r="E250" i="3"/>
  <c r="E138" i="3"/>
  <c r="E297" i="3"/>
  <c r="E462" i="3"/>
  <c r="E87" i="3"/>
  <c r="E82" i="3"/>
  <c r="E474" i="3"/>
  <c r="E54" i="3"/>
  <c r="E93" i="3"/>
  <c r="E548" i="3"/>
  <c r="E92" i="3"/>
  <c r="E53" i="3"/>
  <c r="E359" i="3"/>
  <c r="E506" i="3"/>
  <c r="E304" i="3"/>
  <c r="E303" i="3"/>
  <c r="E238" i="3"/>
  <c r="E330" i="3"/>
  <c r="E496" i="3"/>
  <c r="E580" i="3"/>
  <c r="AG6" i="3"/>
  <c r="E88" i="3"/>
  <c r="E30" i="3"/>
  <c r="E239" i="3"/>
  <c r="E551" i="3"/>
  <c r="E230" i="3"/>
  <c r="E260" i="3"/>
  <c r="E382" i="3"/>
  <c r="E583" i="3"/>
  <c r="E511" i="3"/>
  <c r="E458" i="3"/>
  <c r="E450" i="3"/>
  <c r="E279" i="3"/>
  <c r="E269" i="3"/>
  <c r="E478" i="3"/>
  <c r="E476" i="3"/>
  <c r="E331" i="3"/>
  <c r="E530"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566" i="3"/>
  <c r="E168" i="3"/>
  <c r="E367" i="3"/>
  <c r="E501" i="3"/>
  <c r="E338" i="3"/>
  <c r="E17" i="3"/>
  <c r="E425" i="3"/>
  <c r="E129" i="3"/>
  <c r="E452" i="3"/>
  <c r="E326" i="3"/>
  <c r="E422" i="3"/>
  <c r="E276" i="3"/>
  <c r="E38" i="3"/>
  <c r="E289" i="3"/>
  <c r="E222" i="3"/>
  <c r="E284" i="3"/>
  <c r="E584" i="3"/>
  <c r="E66" i="3"/>
  <c r="E154" i="3"/>
  <c r="E136" i="3"/>
  <c r="E438" i="3"/>
  <c r="E207" i="3"/>
  <c r="E126" i="3"/>
  <c r="E285" i="3"/>
  <c r="E402" i="3"/>
  <c r="E23" i="3"/>
  <c r="E287" i="3"/>
  <c r="E104" i="3"/>
  <c r="E188" i="3"/>
  <c r="J6" i="3"/>
  <c r="E305" i="3"/>
  <c r="E441" i="3"/>
  <c r="E210" i="3"/>
  <c r="E447" i="3"/>
  <c r="E477" i="3"/>
  <c r="E585" i="3"/>
  <c r="E549" i="3"/>
  <c r="E351" i="3"/>
  <c r="E72" i="3"/>
  <c r="E562" i="3"/>
  <c r="E573" i="3"/>
  <c r="E99" i="3"/>
  <c r="E453" i="3"/>
  <c r="E293" i="3"/>
  <c r="E245" i="3"/>
  <c r="E550" i="3"/>
  <c r="E114" i="3"/>
  <c r="E320" i="3"/>
  <c r="E559" i="3"/>
  <c r="E516" i="3"/>
  <c r="E366" i="3"/>
  <c r="E316" i="3"/>
  <c r="E444" i="3"/>
  <c r="E448" i="3"/>
  <c r="E236" i="3"/>
  <c r="E256" i="3"/>
  <c r="E429" i="3"/>
  <c r="E437" i="3"/>
  <c r="E128" i="3"/>
  <c r="E280" i="3"/>
  <c r="E159" i="3"/>
  <c r="E565" i="3"/>
  <c r="E321" i="3"/>
  <c r="S6" i="3"/>
  <c r="O6" i="3"/>
  <c r="E319" i="3"/>
  <c r="E291" i="3"/>
  <c r="E403" i="3"/>
  <c r="E411" i="3"/>
  <c r="E196" i="3"/>
  <c r="E208" i="3"/>
  <c r="E537" i="3"/>
  <c r="E313" i="3"/>
  <c r="E461" i="3"/>
  <c r="E187" i="3"/>
  <c r="AD6" i="3"/>
  <c r="E39" i="3"/>
  <c r="E266" i="3"/>
  <c r="E323" i="3"/>
  <c r="E500" i="3"/>
  <c r="E521" i="3"/>
  <c r="E165" i="3"/>
  <c r="E340" i="3"/>
  <c r="E299" i="3"/>
  <c r="E540" i="3"/>
  <c r="E108" i="3"/>
  <c r="E440" i="3"/>
  <c r="E116" i="3"/>
  <c r="E220" i="3"/>
  <c r="E469" i="3"/>
  <c r="E522" i="3"/>
  <c r="E63" i="3"/>
  <c r="E539" i="3"/>
  <c r="E199" i="3"/>
  <c r="E554" i="3"/>
  <c r="E95" i="3"/>
  <c r="E389" i="3"/>
  <c r="E64" i="3"/>
  <c r="E310" i="3"/>
  <c r="E233" i="3"/>
  <c r="E309" i="3"/>
  <c r="AL6" i="3"/>
  <c r="E235" i="3"/>
  <c r="E102" i="3"/>
  <c r="E173" i="3"/>
  <c r="E408" i="3"/>
  <c r="E420" i="3"/>
  <c r="E428" i="3"/>
  <c r="E49"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381" i="3"/>
  <c r="E300" i="3"/>
  <c r="E409" i="3"/>
  <c r="E192" i="3"/>
  <c r="I3" i="6"/>
  <c r="E48" i="3"/>
  <c r="E110" i="3"/>
  <c r="E312" i="3"/>
  <c r="E24" i="3"/>
  <c r="E348" i="3"/>
  <c r="E552" i="3"/>
  <c r="E365" i="3"/>
  <c r="E20" i="3"/>
  <c r="E123" i="3"/>
  <c r="E392" i="3"/>
  <c r="E194" i="3"/>
  <c r="E15" i="3"/>
  <c r="L6" i="3"/>
  <c r="E226" i="3"/>
  <c r="E463" i="3"/>
  <c r="AH6" i="3"/>
  <c r="E507" i="3"/>
  <c r="E393" i="3"/>
  <c r="E16" i="3"/>
  <c r="E370" i="3"/>
  <c r="E243" i="3"/>
  <c r="E497" i="3"/>
  <c r="E534" i="3"/>
  <c r="E251" i="3"/>
  <c r="E18" i="3"/>
  <c r="E21" i="3"/>
  <c r="E144" i="3"/>
  <c r="E267" i="3"/>
  <c r="E76" i="3"/>
  <c r="E56" i="3"/>
  <c r="E541" i="3"/>
  <c r="E529" i="3"/>
  <c r="E352" i="3"/>
  <c r="E127" i="3"/>
  <c r="E413" i="3"/>
  <c r="E459" i="3"/>
  <c r="E163" i="3"/>
  <c r="E542" i="3"/>
  <c r="E375" i="3"/>
  <c r="E149" i="3"/>
  <c r="E354" i="3"/>
  <c r="E520" i="3"/>
  <c r="E244" i="3"/>
  <c r="E386" i="3"/>
  <c r="E90" i="3"/>
  <c r="E141" i="3"/>
  <c r="E265" i="3"/>
  <c r="E364" i="3"/>
  <c r="E112" i="3"/>
  <c r="E325" i="3"/>
  <c r="E170" i="3"/>
  <c r="E473" i="3"/>
  <c r="E372" i="3"/>
  <c r="E178" i="3"/>
  <c r="E401" i="3"/>
  <c r="E376" i="3"/>
  <c r="E427" i="3"/>
  <c r="E105" i="3"/>
  <c r="E329" i="3"/>
  <c r="E342" i="3"/>
  <c r="E115" i="3"/>
  <c r="E360" i="3"/>
  <c r="E140" i="3"/>
  <c r="E34" i="3"/>
  <c r="E75" i="3"/>
  <c r="E264" i="3"/>
  <c r="E67" i="3"/>
  <c r="E103" i="3"/>
  <c r="E363" i="3"/>
  <c r="E417" i="3"/>
  <c r="R6" i="3"/>
  <c r="D26" i="43"/>
  <c r="C25" i="43" s="1"/>
  <c r="E3" i="6"/>
  <c r="AA10" i="39"/>
  <c r="F10" i="40"/>
  <c r="S10" i="40" s="1"/>
  <c r="H10" i="40"/>
  <c r="AB10" i="40" s="1"/>
  <c r="J10" i="39"/>
  <c r="W10" i="39" s="1"/>
  <c r="H10" i="39"/>
  <c r="U10" i="39" s="1"/>
  <c r="J10" i="40"/>
  <c r="AC10" i="40" s="1"/>
  <c r="C49" i="67"/>
  <c r="Q73" i="15"/>
  <c r="J5" i="67"/>
  <c r="J24" i="67" s="1"/>
  <c r="J5" i="15"/>
  <c r="J24" i="15" s="1"/>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6" i="71"/>
  <c r="D26" i="71" s="1"/>
  <c r="D27" i="71"/>
  <c r="E449" i="3"/>
  <c r="E442" i="3"/>
  <c r="E575" i="3"/>
  <c r="E536" i="3"/>
  <c r="D36" i="71"/>
  <c r="T36" i="71"/>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56" i="71"/>
  <c r="T5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AY87" i="3"/>
  <c r="AY254" i="3"/>
  <c r="AY426" i="3"/>
  <c r="AY298" i="3"/>
  <c r="AY330" i="3"/>
  <c r="AY396" i="3"/>
  <c r="AY408" i="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10" i="15"/>
  <c r="C5" i="15" s="1"/>
  <c r="C38" i="15" s="1"/>
  <c r="F27" i="68"/>
  <c r="M27" i="67"/>
  <c r="M27" i="15"/>
  <c r="C48" i="15" l="1"/>
  <c r="C66" i="15" s="1"/>
  <c r="M18" i="85"/>
  <c r="B118" i="85" s="1"/>
  <c r="L18" i="85"/>
  <c r="E50" i="43"/>
  <c r="B48" i="43" s="1"/>
  <c r="C28" i="43" s="1"/>
  <c r="T3" i="43" s="1"/>
  <c r="V3" i="43" s="1"/>
  <c r="N36" i="1"/>
  <c r="B14" i="74"/>
  <c r="C88" i="9"/>
  <c r="C89" i="9" s="1"/>
  <c r="C87" i="9" s="1"/>
  <c r="F45" i="68"/>
  <c r="C47" i="68"/>
  <c r="D45" i="68" s="1"/>
  <c r="AY477" i="3"/>
  <c r="AY545" i="3"/>
  <c r="AY375" i="3"/>
  <c r="AY575" i="3"/>
  <c r="AY148" i="3"/>
  <c r="AY227" i="3"/>
  <c r="AY554" i="3"/>
  <c r="AY566" i="3"/>
  <c r="AY62" i="3"/>
  <c r="AY432" i="3"/>
  <c r="AY563" i="3"/>
  <c r="AY490" i="3"/>
  <c r="AY449" i="3"/>
  <c r="AY488" i="3"/>
  <c r="AY107" i="3"/>
  <c r="AY320" i="3"/>
  <c r="AY13" i="3"/>
  <c r="AY352" i="3"/>
  <c r="AY570" i="3"/>
  <c r="AY467" i="3"/>
  <c r="AY303" i="3"/>
  <c r="T32" i="71"/>
  <c r="D32" i="71"/>
  <c r="D21" i="71"/>
  <c r="C20" i="71"/>
  <c r="D14" i="12"/>
  <c r="D17" i="12" s="1"/>
  <c r="C17" i="12" s="1"/>
  <c r="B4" i="77"/>
  <c r="AB10" i="39"/>
  <c r="C47" i="69"/>
  <c r="D45" i="69" s="1"/>
  <c r="C29" i="69"/>
  <c r="D27" i="69" s="1"/>
  <c r="AC10" i="39"/>
  <c r="D3" i="37"/>
  <c r="AY240" i="3"/>
  <c r="AY359" i="3"/>
  <c r="AY538" i="3"/>
  <c r="AY153" i="3"/>
  <c r="AY136" i="3"/>
  <c r="AY233" i="3"/>
  <c r="AY32" i="3"/>
  <c r="AY437" i="3"/>
  <c r="AY380" i="3"/>
  <c r="AY557" i="3"/>
  <c r="AY447" i="3"/>
  <c r="AY28" i="3"/>
  <c r="AY431" i="3"/>
  <c r="D19" i="11"/>
  <c r="C19" i="11" s="1"/>
  <c r="C20" i="11" s="1"/>
  <c r="AY164" i="3"/>
  <c r="AY301" i="3"/>
  <c r="AY434" i="3"/>
  <c r="AY567" i="3"/>
  <c r="AY39" i="3"/>
  <c r="AY203" i="3"/>
  <c r="AY492" i="3"/>
  <c r="AY511" i="3"/>
  <c r="AY285" i="3"/>
  <c r="AY65" i="3"/>
  <c r="AY82" i="3"/>
  <c r="AY501" i="3"/>
  <c r="AY228" i="3"/>
  <c r="D37" i="11"/>
  <c r="AA10" i="40"/>
  <c r="W10" i="40"/>
  <c r="D3" i="33"/>
  <c r="D3" i="34"/>
  <c r="E6" i="6"/>
  <c r="D10" i="11" s="1"/>
  <c r="C10" i="11" s="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354" i="3"/>
  <c r="AY38" i="3"/>
  <c r="AY469" i="3"/>
  <c r="AY156" i="3"/>
  <c r="AY565" i="3"/>
  <c r="AY468" i="3"/>
  <c r="AY251" i="3"/>
  <c r="AY582" i="3"/>
  <c r="AY341" i="3"/>
  <c r="AY291" i="3"/>
  <c r="AY379" i="3"/>
  <c r="AY577" i="3"/>
  <c r="AY393" i="3"/>
  <c r="AY157" i="3"/>
  <c r="AY244" i="3"/>
  <c r="AY546" i="3"/>
  <c r="AY349" i="3"/>
  <c r="AY214" i="3"/>
  <c r="AY108" i="3"/>
  <c r="AY409"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66" i="3"/>
  <c r="AY115" i="3"/>
  <c r="AY276" i="3"/>
  <c r="AY225" i="3"/>
  <c r="AY50" i="3"/>
  <c r="AY261" i="3"/>
  <c r="AY473" i="3"/>
  <c r="AY26" i="3"/>
  <c r="AY372" i="3"/>
  <c r="AY420" i="3"/>
  <c r="AY533" i="3"/>
  <c r="AY61" i="3"/>
  <c r="AY190" i="3"/>
  <c r="AY133" i="3"/>
  <c r="AY247" i="3"/>
  <c r="AY397" i="3"/>
  <c r="AY109" i="3"/>
  <c r="AY166" i="3"/>
  <c r="AY242" i="3"/>
  <c r="AY348" i="3"/>
  <c r="AY462" i="3"/>
  <c r="AY427" i="3"/>
  <c r="AY561" i="3"/>
  <c r="AY495" i="3"/>
  <c r="AY98" i="3"/>
  <c r="AY237" i="3"/>
  <c r="AY425" i="3"/>
  <c r="AY390" i="3"/>
  <c r="AY535" i="3"/>
  <c r="AY89" i="3"/>
  <c r="AY25" i="3"/>
  <c r="AY117" i="3"/>
  <c r="AY222" i="3"/>
  <c r="BI6" i="3"/>
  <c r="AY130" i="3"/>
  <c r="AY356" i="3"/>
  <c r="AY464" i="3"/>
  <c r="AY516" i="3"/>
  <c r="AY508" i="3"/>
  <c r="AY523" i="3"/>
  <c r="AY132" i="3"/>
  <c r="AY350" i="3"/>
  <c r="AY43" i="3"/>
  <c r="AY326" i="3"/>
  <c r="AY573" i="3"/>
  <c r="AY69" i="3"/>
  <c r="AY162" i="3"/>
  <c r="AY286" i="3"/>
  <c r="AY384" i="3"/>
  <c r="AY72" i="3"/>
  <c r="AY275" i="3"/>
  <c r="AY309" i="3"/>
  <c r="AY406"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34" i="3"/>
  <c r="AY95" i="3"/>
  <c r="AY111" i="3"/>
  <c r="AY382" i="3"/>
  <c r="AY196" i="3"/>
  <c r="AY204" i="3"/>
  <c r="AY470" i="3"/>
  <c r="AY180" i="3"/>
  <c r="AY358" i="3"/>
  <c r="AY433" i="3"/>
  <c r="AY541" i="3"/>
  <c r="AY45" i="3"/>
  <c r="AY201" i="3"/>
  <c r="AY118" i="3"/>
  <c r="AY231" i="3"/>
  <c r="AY381" i="3"/>
  <c r="AY104" i="3"/>
  <c r="AY177" i="3"/>
  <c r="AY210" i="3"/>
  <c r="AY332" i="3"/>
  <c r="AY446" i="3"/>
  <c r="AY581" i="3"/>
  <c r="AY534" i="3"/>
  <c r="AY510" i="3"/>
  <c r="AY171" i="3"/>
  <c r="AY387" i="3"/>
  <c r="AY526" i="3"/>
  <c r="AY311" i="3"/>
  <c r="AY562" i="3"/>
  <c r="AY85" i="3"/>
  <c r="AY178" i="3"/>
  <c r="AY302" i="3"/>
  <c r="AY211" i="3"/>
  <c r="AY57" i="3"/>
  <c r="AY279" i="3"/>
  <c r="AY325" i="3"/>
  <c r="AY422" i="3"/>
  <c r="BN6" i="3"/>
  <c r="AY532" i="3"/>
  <c r="AY81" i="3"/>
  <c r="AY31" i="3"/>
  <c r="AY489" i="3"/>
  <c r="AY229" i="3"/>
  <c r="AY478" i="3"/>
  <c r="AY540" i="3"/>
  <c r="AY52" i="3"/>
  <c r="AY173" i="3"/>
  <c r="AY255" i="3"/>
  <c r="AY368" i="3"/>
  <c r="AY29" i="3"/>
  <c r="AY258"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AY176" i="3"/>
  <c r="AY188" i="3"/>
  <c r="AY297" i="3"/>
  <c r="AY335" i="3"/>
  <c r="AY289" i="3"/>
  <c r="AY209" i="3"/>
  <c r="AY441" i="3"/>
  <c r="AY260" i="3"/>
  <c r="AY310" i="3"/>
  <c r="AY549" i="3"/>
  <c r="AY97" i="3"/>
  <c r="AY44" i="3"/>
  <c r="AY154" i="3"/>
  <c r="AY283" i="3"/>
  <c r="AY230" i="3"/>
  <c r="AY360" i="3"/>
  <c r="AY56" i="3"/>
  <c r="AY295" i="3"/>
  <c r="AY353" i="3"/>
  <c r="AY475" i="3"/>
  <c r="AY414" i="3"/>
  <c r="BQ6" i="3"/>
  <c r="BF6" i="3"/>
  <c r="AY16" i="3"/>
  <c r="AY90" i="3"/>
  <c r="AY334" i="3"/>
  <c r="AY269" i="3"/>
  <c r="AY481" i="3"/>
  <c r="AY574" i="3"/>
  <c r="AY68" i="3"/>
  <c r="AY146" i="3"/>
  <c r="AY271" i="3"/>
  <c r="AY365" i="3"/>
  <c r="AY40" i="3"/>
  <c r="AY243" i="3"/>
  <c r="AY308" i="3"/>
  <c r="AY435" i="3"/>
  <c r="AY527" i="3"/>
  <c r="AY496" i="3"/>
  <c r="AY49" i="3"/>
  <c r="AY292" i="3"/>
  <c r="AY412" i="3"/>
  <c r="AY212" i="3"/>
  <c r="AY436" i="3"/>
  <c r="AY105" i="3"/>
  <c r="AY20" i="3"/>
  <c r="AY141" i="3"/>
  <c r="AY238" i="3"/>
  <c r="AY507" i="3"/>
  <c r="AY181" i="3"/>
  <c r="AY370" i="3"/>
  <c r="AY480"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U10" i="40"/>
  <c r="C17" i="4"/>
  <c r="B4" i="52" s="1"/>
  <c r="B43" i="72" s="1"/>
  <c r="M18" i="9"/>
  <c r="B118" i="9" s="1"/>
  <c r="B1" i="74" s="1"/>
  <c r="C88" i="85" s="1"/>
  <c r="C89" i="85" s="1"/>
  <c r="C87" i="85" s="1"/>
  <c r="D3" i="2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224" i="3"/>
  <c r="AY91" i="3"/>
  <c r="AY362" i="3"/>
  <c r="AY46" i="3"/>
  <c r="AY14" i="3"/>
  <c r="AY312" i="3"/>
  <c r="AY137" i="3"/>
  <c r="AY543" i="3"/>
  <c r="AY121" i="3"/>
  <c r="AY198" i="3"/>
  <c r="AY497" i="3"/>
  <c r="AY559" i="3"/>
  <c r="AY186" i="3"/>
  <c r="AY36" i="3"/>
  <c r="AY444" i="3"/>
  <c r="BM6" i="3"/>
  <c r="AY290" i="3"/>
  <c r="AY294" i="3"/>
  <c r="BK6" i="3"/>
  <c r="AY363" i="3"/>
  <c r="AY152" i="3"/>
  <c r="L18" i="9"/>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29" i="3"/>
  <c r="AY277" i="3"/>
  <c r="AY560" i="3"/>
  <c r="AY232" i="3"/>
  <c r="AY99" i="3"/>
  <c r="AY407" i="3"/>
  <c r="AY329" i="3"/>
  <c r="AY194" i="3"/>
  <c r="AY572" i="3"/>
  <c r="BB6" i="3"/>
  <c r="AY100" i="3"/>
  <c r="AY220" i="3"/>
  <c r="AY403" i="3"/>
  <c r="BS6" i="3"/>
  <c r="AY555" i="3"/>
  <c r="AY163" i="3"/>
  <c r="AY398" i="3"/>
  <c r="AY24" i="3"/>
  <c r="AY138" i="3"/>
  <c r="AY465" i="3"/>
  <c r="AY74" i="3"/>
  <c r="AY144" i="3"/>
  <c r="AC6" i="3"/>
  <c r="H6" i="3"/>
  <c r="C48" i="67"/>
  <c r="C66" i="67" s="1"/>
  <c r="F25" i="12"/>
  <c r="F22" i="68"/>
  <c r="F24" i="15"/>
  <c r="C24" i="15" s="1"/>
  <c r="F22" i="69"/>
  <c r="F41" i="69" s="1"/>
  <c r="F22" i="11"/>
  <c r="F24" i="67"/>
  <c r="C24" i="67" s="1"/>
  <c r="D116" i="43"/>
  <c r="E49" i="34"/>
  <c r="O36" i="43"/>
  <c r="Q36" i="43"/>
  <c r="N36" i="43"/>
  <c r="M36" i="43"/>
  <c r="P36" i="43"/>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B21" i="1" s="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69"/>
  <c r="C17" i="15"/>
  <c r="C14" i="67"/>
  <c r="C17" i="67"/>
  <c r="C60" i="15" l="1"/>
  <c r="C14" i="74"/>
  <c r="M19" i="85"/>
  <c r="C118" i="85" s="1"/>
  <c r="L19" i="85"/>
  <c r="T6" i="43"/>
  <c r="V6" i="43" s="1"/>
  <c r="C37" i="43"/>
  <c r="C40" i="43"/>
  <c r="C39" i="43"/>
  <c r="E39" i="43" s="1"/>
  <c r="T5" i="43"/>
  <c r="V5" i="43" s="1"/>
  <c r="T16" i="43"/>
  <c r="V16" i="43" s="1"/>
  <c r="T2" i="43"/>
  <c r="V2" i="43" s="1"/>
  <c r="T9" i="43"/>
  <c r="V9" i="43" s="1"/>
  <c r="C38" i="43"/>
  <c r="T13" i="43"/>
  <c r="V13" i="43" s="1"/>
  <c r="T10" i="43"/>
  <c r="V10" i="43" s="1"/>
  <c r="T12" i="43"/>
  <c r="V12" i="43" s="1"/>
  <c r="C33" i="43"/>
  <c r="C41" i="43"/>
  <c r="T14" i="43"/>
  <c r="V14" i="43" s="1"/>
  <c r="T15" i="43"/>
  <c r="V15" i="43" s="1"/>
  <c r="T4" i="43"/>
  <c r="V4" i="43" s="1"/>
  <c r="T11" i="43"/>
  <c r="V11" i="43" s="1"/>
  <c r="T8" i="43"/>
  <c r="V8" i="43" s="1"/>
  <c r="C42" i="43"/>
  <c r="T7" i="43"/>
  <c r="V7" i="43" s="1"/>
  <c r="H26" i="6"/>
  <c r="D8" i="6"/>
  <c r="D11" i="6"/>
  <c r="D24" i="6"/>
  <c r="D25" i="6"/>
  <c r="C18" i="4"/>
  <c r="C4" i="52" s="1"/>
  <c r="B45" i="72" s="1"/>
  <c r="D10" i="6"/>
  <c r="H22" i="6"/>
  <c r="C19" i="71"/>
  <c r="T20" i="71"/>
  <c r="D20" i="71"/>
  <c r="U20" i="71" s="1"/>
  <c r="D10" i="69"/>
  <c r="C10" i="69" s="1"/>
  <c r="C8" i="69" s="1"/>
  <c r="C5" i="69" s="1"/>
  <c r="D20" i="12"/>
  <c r="C20" i="12" s="1"/>
  <c r="D15" i="6"/>
  <c r="B5" i="77"/>
  <c r="D14" i="77" s="1"/>
  <c r="C44" i="68"/>
  <c r="D41" i="68" s="1"/>
  <c r="B24" i="1"/>
  <c r="B23" i="1"/>
  <c r="C25" i="11" s="1"/>
  <c r="C29" i="11"/>
  <c r="D27" i="11" s="1"/>
  <c r="C29" i="68"/>
  <c r="D27" i="68" s="1"/>
  <c r="C28" i="11"/>
  <c r="C27" i="11" s="1"/>
  <c r="F41" i="68"/>
  <c r="C26" i="69"/>
  <c r="D22" i="69" s="1"/>
  <c r="D21" i="6"/>
  <c r="E61" i="40"/>
  <c r="D12" i="6"/>
  <c r="D19" i="6"/>
  <c r="H25" i="6"/>
  <c r="D9" i="6"/>
  <c r="D26" i="6"/>
  <c r="D28" i="6"/>
  <c r="D5" i="6"/>
  <c r="H24" i="6"/>
  <c r="D29" i="6"/>
  <c r="D6" i="6"/>
  <c r="M19" i="9"/>
  <c r="C118" i="9" s="1"/>
  <c r="B2" i="74" s="1"/>
  <c r="D7" i="74" s="1"/>
  <c r="D22" i="6"/>
  <c r="D13" i="6"/>
  <c r="D23" i="6"/>
  <c r="H21" i="6"/>
  <c r="L19" i="9"/>
  <c r="D14" i="6"/>
  <c r="D20" i="6"/>
  <c r="E6" i="3"/>
  <c r="C60" i="67"/>
  <c r="C44" i="69"/>
  <c r="D41" i="69" s="1"/>
  <c r="C44" i="11"/>
  <c r="D41" i="11" s="1"/>
  <c r="C24" i="11"/>
  <c r="C18" i="67"/>
  <c r="C15" i="67"/>
  <c r="H23" i="6"/>
  <c r="H20" i="6"/>
  <c r="C38" i="69"/>
  <c r="C35" i="69"/>
  <c r="E12" i="70"/>
  <c r="S16" i="1"/>
  <c r="E9" i="70"/>
  <c r="AR9" i="1"/>
  <c r="AQ9" i="1"/>
  <c r="T9" i="1"/>
  <c r="AQ11" i="1"/>
  <c r="AR11" i="1"/>
  <c r="T11" i="1"/>
  <c r="AR12" i="1"/>
  <c r="T12" i="1"/>
  <c r="AQ12" i="1"/>
  <c r="AQ10" i="1"/>
  <c r="T10" i="1"/>
  <c r="AR10" i="1"/>
  <c r="AR7" i="1"/>
  <c r="AQ7" i="1"/>
  <c r="T7" i="1"/>
  <c r="M27" i="6"/>
  <c r="I19" i="6"/>
  <c r="C15" i="12"/>
  <c r="C12" i="12"/>
  <c r="A10" i="51"/>
  <c r="B9" i="72" s="1"/>
  <c r="H69" i="39"/>
  <c r="I67" i="39"/>
  <c r="G65" i="40"/>
  <c r="H63" i="40"/>
  <c r="C43" i="37"/>
  <c r="C42" i="37"/>
  <c r="I48" i="35"/>
  <c r="C48" i="33"/>
  <c r="C49" i="33"/>
  <c r="H58" i="21"/>
  <c r="E47" i="37"/>
  <c r="F47" i="37" s="1"/>
  <c r="E46" i="37"/>
  <c r="F46" i="37" s="1"/>
  <c r="I47" i="37"/>
  <c r="J47" i="37" s="1"/>
  <c r="E53" i="33"/>
  <c r="F53" i="33" s="1"/>
  <c r="E52" i="33"/>
  <c r="F52" i="33" s="1"/>
  <c r="C33" i="15"/>
  <c r="C33" i="67"/>
  <c r="J19" i="67"/>
  <c r="D10" i="68"/>
  <c r="C14" i="15"/>
  <c r="G39" i="43" l="1"/>
  <c r="I39" i="43" s="1"/>
  <c r="E40" i="43"/>
  <c r="G40" i="43"/>
  <c r="I40" i="43" s="1"/>
  <c r="G37" i="43"/>
  <c r="I37" i="43" s="1"/>
  <c r="E37" i="43"/>
  <c r="E41" i="43"/>
  <c r="G41" i="43"/>
  <c r="I41" i="43" s="1"/>
  <c r="C34" i="43"/>
  <c r="E34" i="43" s="1"/>
  <c r="E33" i="43"/>
  <c r="G38" i="43"/>
  <c r="I38" i="43" s="1"/>
  <c r="E38" i="43"/>
  <c r="A7" i="51"/>
  <c r="B7" i="72" s="1"/>
  <c r="R25" i="6"/>
  <c r="R12" i="1" s="1"/>
  <c r="E42" i="43"/>
  <c r="G42" i="43"/>
  <c r="I42" i="43" s="1"/>
  <c r="D19" i="68"/>
  <c r="R26" i="6"/>
  <c r="R22" i="6"/>
  <c r="R9" i="1" s="1"/>
  <c r="R24" i="6"/>
  <c r="R11" i="1" s="1"/>
  <c r="C10" i="68"/>
  <c r="B29" i="1" s="1"/>
  <c r="C8" i="68" s="1"/>
  <c r="D16" i="6"/>
  <c r="D19" i="69"/>
  <c r="C19" i="69" s="1"/>
  <c r="C24" i="69" s="1"/>
  <c r="R21" i="6"/>
  <c r="R8" i="1" s="1"/>
  <c r="C18" i="71"/>
  <c r="D19" i="71"/>
  <c r="E2" i="70"/>
  <c r="D27" i="6"/>
  <c r="F11" i="12"/>
  <c r="J53" i="15"/>
  <c r="C23" i="11"/>
  <c r="C22" i="11" s="1"/>
  <c r="F50" i="68"/>
  <c r="F34" i="11"/>
  <c r="C34" i="11" s="1"/>
  <c r="C26" i="12"/>
  <c r="D25" i="12" s="1"/>
  <c r="C26" i="11"/>
  <c r="D22" i="11" s="1"/>
  <c r="C26" i="68"/>
  <c r="D22" i="68" s="1"/>
  <c r="F50" i="69"/>
  <c r="M59" i="15"/>
  <c r="L59" i="15" s="1"/>
  <c r="M59" i="67"/>
  <c r="C29" i="12"/>
  <c r="D28" i="12" s="1"/>
  <c r="F50" i="11"/>
  <c r="D30" i="6"/>
  <c r="R23" i="6"/>
  <c r="R10" i="1" s="1"/>
  <c r="R20" i="6"/>
  <c r="R7" i="1" s="1"/>
  <c r="C19" i="67"/>
  <c r="C20" i="67" s="1"/>
  <c r="C26" i="67" s="1"/>
  <c r="T16" i="1"/>
  <c r="C18" i="15"/>
  <c r="C15" i="15"/>
  <c r="H19" i="6"/>
  <c r="S19" i="6"/>
  <c r="S27" i="6" s="1"/>
  <c r="I27" i="6"/>
  <c r="C19" i="68"/>
  <c r="D37" i="68"/>
  <c r="C23" i="69"/>
  <c r="I69" i="39"/>
  <c r="J67" i="39"/>
  <c r="I63" i="40"/>
  <c r="H65" i="40"/>
  <c r="I58" i="21"/>
  <c r="J58" i="21" s="1"/>
  <c r="K58" i="21" s="1"/>
  <c r="L58" i="21" s="1"/>
  <c r="M58" i="21" s="1"/>
  <c r="N58" i="21" s="1"/>
  <c r="O58" i="21" s="1"/>
  <c r="H7" i="21" s="1"/>
  <c r="J48" i="35"/>
  <c r="F34" i="68"/>
  <c r="C30" i="43" l="1"/>
  <c r="C31" i="43"/>
  <c r="B2" i="43"/>
  <c r="C18" i="12"/>
  <c r="D31" i="6"/>
  <c r="I6" i="6" s="1"/>
  <c r="D37" i="69"/>
  <c r="C37" i="69" s="1"/>
  <c r="C33" i="69" s="1"/>
  <c r="C39" i="69" s="1"/>
  <c r="C43" i="69" s="1"/>
  <c r="C17" i="71"/>
  <c r="D18" i="71"/>
  <c r="C37" i="11"/>
  <c r="C14" i="12"/>
  <c r="C16" i="12" s="1"/>
  <c r="L56" i="15"/>
  <c r="F1" i="15"/>
  <c r="Q52" i="15"/>
  <c r="Q61" i="15"/>
  <c r="Q74" i="15"/>
  <c r="C37" i="68"/>
  <c r="C31" i="11"/>
  <c r="C36" i="11"/>
  <c r="F7" i="21"/>
  <c r="S7" i="21" s="1"/>
  <c r="J7" i="21"/>
  <c r="AC7" i="21" s="1"/>
  <c r="V48" i="21" s="1"/>
  <c r="I48" i="21" s="1"/>
  <c r="C23" i="67"/>
  <c r="C29" i="67" s="1"/>
  <c r="J59" i="67" s="1"/>
  <c r="J60" i="67" s="1"/>
  <c r="Q48" i="67" s="1"/>
  <c r="C19" i="15"/>
  <c r="C20" i="15" s="1"/>
  <c r="C26" i="15" s="1"/>
  <c r="C38" i="11"/>
  <c r="C35" i="11"/>
  <c r="H27" i="6"/>
  <c r="R19" i="6"/>
  <c r="C20" i="69"/>
  <c r="C28" i="69" s="1"/>
  <c r="C27" i="69" s="1"/>
  <c r="C24" i="68"/>
  <c r="J69" i="39"/>
  <c r="K67" i="39"/>
  <c r="U7" i="21"/>
  <c r="AB7" i="21"/>
  <c r="T48" i="21" s="1"/>
  <c r="G48" i="21" s="1"/>
  <c r="J63" i="40"/>
  <c r="I65" i="40"/>
  <c r="K48" i="35"/>
  <c r="L48" i="35" s="1"/>
  <c r="M48" i="35" s="1"/>
  <c r="N48" i="35" s="1"/>
  <c r="O48" i="35" s="1"/>
  <c r="H7" i="35" s="1"/>
  <c r="AE8" i="1"/>
  <c r="C34" i="68"/>
  <c r="C36" i="68"/>
  <c r="F41" i="67"/>
  <c r="AE6" i="1"/>
  <c r="E6" i="76"/>
  <c r="B6" i="76"/>
  <c r="E2" i="76" l="1"/>
  <c r="B2" i="76"/>
  <c r="B3" i="43"/>
  <c r="C6" i="68"/>
  <c r="C21" i="12"/>
  <c r="C22" i="12" s="1"/>
  <c r="I5" i="6"/>
  <c r="C42" i="69"/>
  <c r="C41" i="69" s="1"/>
  <c r="C16" i="71"/>
  <c r="M23" i="43" s="1"/>
  <c r="D17" i="71"/>
  <c r="F69" i="67"/>
  <c r="C38" i="68"/>
  <c r="C35" i="68"/>
  <c r="W7" i="21"/>
  <c r="AA7" i="21"/>
  <c r="R48" i="21" s="1"/>
  <c r="R49" i="21" s="1"/>
  <c r="J7" i="35"/>
  <c r="W7" i="35" s="1"/>
  <c r="Q49" i="67"/>
  <c r="J14" i="67"/>
  <c r="J13" i="67" s="1"/>
  <c r="J23" i="67" s="1"/>
  <c r="C36" i="67"/>
  <c r="C57" i="67"/>
  <c r="C64" i="67" s="1"/>
  <c r="C13" i="67"/>
  <c r="Q70" i="67" s="1"/>
  <c r="C33" i="11"/>
  <c r="C39" i="11" s="1"/>
  <c r="C61" i="67"/>
  <c r="C23" i="15"/>
  <c r="C29" i="15" s="1"/>
  <c r="D13" i="77" s="1"/>
  <c r="D12" i="77" s="1"/>
  <c r="D11" i="77" s="1"/>
  <c r="R27" i="6"/>
  <c r="R6" i="1"/>
  <c r="C46" i="69"/>
  <c r="C45" i="69" s="1"/>
  <c r="C25" i="69"/>
  <c r="C22" i="69" s="1"/>
  <c r="C31" i="69" s="1"/>
  <c r="L67" i="39"/>
  <c r="K69" i="39"/>
  <c r="J65" i="40"/>
  <c r="K63" i="40"/>
  <c r="I52" i="21"/>
  <c r="J52" i="21" s="1"/>
  <c r="U7" i="35"/>
  <c r="AB7" i="35"/>
  <c r="T38" i="35" s="1"/>
  <c r="G38" i="35" s="1"/>
  <c r="E48" i="21"/>
  <c r="G52" i="21"/>
  <c r="H52" i="21" s="1"/>
  <c r="G53" i="21"/>
  <c r="H53" i="21" s="1"/>
  <c r="F7" i="35"/>
  <c r="M21" i="15"/>
  <c r="F35" i="15"/>
  <c r="F35" i="67"/>
  <c r="F41" i="15"/>
  <c r="M21" i="67"/>
  <c r="B3" i="76" l="1"/>
  <c r="F69" i="15"/>
  <c r="C15" i="71"/>
  <c r="D16" i="71"/>
  <c r="U16" i="71" s="1"/>
  <c r="T16" i="71"/>
  <c r="E11" i="77"/>
  <c r="E7" i="77" s="1"/>
  <c r="C27" i="77" s="1"/>
  <c r="D7" i="77"/>
  <c r="C26" i="77" s="1"/>
  <c r="C32" i="77" s="1"/>
  <c r="C38" i="77" s="1"/>
  <c r="C39" i="77" s="1"/>
  <c r="C33" i="68"/>
  <c r="C91" i="85"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92" i="85" l="1"/>
  <c r="C94" i="85"/>
  <c r="C39" i="68"/>
  <c r="C43" i="68" s="1"/>
  <c r="C91" i="9"/>
  <c r="C14" i="71"/>
  <c r="D15" i="71"/>
  <c r="D27" i="77"/>
  <c r="D26" i="77" s="1"/>
  <c r="D32" i="77" s="1"/>
  <c r="D38" i="77" s="1"/>
  <c r="D39" i="77" s="1"/>
  <c r="E27" i="77"/>
  <c r="E26" i="77" s="1"/>
  <c r="E32" i="77" s="1"/>
  <c r="E38" i="77" s="1"/>
  <c r="E39" i="77" s="1"/>
  <c r="C42" i="68"/>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1" i="68" l="1"/>
  <c r="C94" i="9"/>
  <c r="C92" i="9"/>
  <c r="C46" i="68"/>
  <c r="C45" i="68" s="1"/>
  <c r="D14" i="71"/>
  <c r="C13" i="71"/>
  <c r="C40" i="77"/>
  <c r="C41" i="7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49" i="68" l="1"/>
  <c r="C51" i="68" s="1"/>
  <c r="D13" i="71"/>
  <c r="C12" i="71"/>
  <c r="B2" i="77"/>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D2" i="34"/>
  <c r="L51" i="15"/>
  <c r="T12" i="71" l="1"/>
  <c r="D12" i="71"/>
  <c r="U12" i="71" s="1"/>
  <c r="C11" i="71"/>
  <c r="B3" i="77"/>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10" i="1"/>
  <c r="AO11" i="1"/>
  <c r="AO9" i="1"/>
  <c r="AO7" i="1"/>
  <c r="C10" i="71" l="1"/>
  <c r="D11" i="71"/>
  <c r="R48" i="39"/>
  <c r="C48" i="39" s="1"/>
  <c r="L46" i="15"/>
  <c r="B2" i="15" s="1"/>
  <c r="C8" i="12" s="1"/>
  <c r="C4" i="12" s="1"/>
  <c r="Q66" i="15"/>
  <c r="Q75" i="15" s="1"/>
  <c r="Q62" i="15"/>
  <c r="B9" i="70"/>
  <c r="B11" i="70"/>
  <c r="B7" i="70"/>
  <c r="B10" i="70"/>
  <c r="B12"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8" i="1"/>
  <c r="AO6" i="1"/>
  <c r="C31" i="12" l="1"/>
  <c r="C23" i="12"/>
  <c r="B6" i="70"/>
  <c r="C47" i="39"/>
  <c r="C9" i="71"/>
  <c r="D10" i="71"/>
  <c r="B8" i="70"/>
  <c r="B3" i="15"/>
  <c r="C6" i="12"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B2" i="70"/>
  <c r="B3" i="70" s="1"/>
  <c r="C8" i="71"/>
  <c r="D9" i="71"/>
  <c r="F65" i="39"/>
  <c r="C42" i="40"/>
  <c r="C43" i="40"/>
  <c r="E47" i="40"/>
  <c r="F47" i="40" s="1"/>
  <c r="E46" i="40"/>
  <c r="F46" i="40" s="1"/>
  <c r="I47" i="40"/>
  <c r="J47" i="40" s="1"/>
  <c r="C32" i="12" l="1"/>
  <c r="B2" i="12" s="1"/>
  <c r="C7" i="71"/>
  <c r="D8" i="71"/>
  <c r="B2" i="39"/>
  <c r="B3" i="39"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19" i="85"/>
  <c r="D102" i="85" l="1"/>
  <c r="D21" i="85"/>
  <c r="D21" i="9"/>
  <c r="D102" i="9"/>
  <c r="B3" i="12"/>
  <c r="D7" i="71"/>
  <c r="C6" i="71"/>
  <c r="C7" i="68"/>
  <c r="C5" i="68" s="1"/>
  <c r="D20" i="9"/>
  <c r="D20" i="85"/>
  <c r="D103" i="85" l="1"/>
  <c r="D103" i="9"/>
  <c r="C5" i="71"/>
  <c r="D5" i="71" s="1"/>
  <c r="M24" i="43" s="1"/>
  <c r="D6" i="71"/>
  <c r="C23" i="68"/>
  <c r="C20" i="68"/>
  <c r="C28" i="68" l="1"/>
  <c r="C27" i="68" s="1"/>
  <c r="C25" i="68"/>
  <c r="C22" i="68" s="1"/>
  <c r="C31" i="68" l="1"/>
  <c r="C52" i="68" s="1"/>
  <c r="C57" i="68" s="1"/>
  <c r="C56" i="68" s="1"/>
  <c r="B2" i="68" l="1"/>
  <c r="C19" i="85"/>
  <c r="C19" i="9"/>
  <c r="C102" i="85" l="1"/>
  <c r="C21" i="85"/>
  <c r="D22" i="85"/>
  <c r="G19" i="85"/>
  <c r="C102" i="9"/>
  <c r="D22" i="9"/>
  <c r="G19" i="9"/>
  <c r="G21" i="9" s="1"/>
  <c r="C21" i="9"/>
  <c r="B3" i="68"/>
  <c r="C20" i="85"/>
  <c r="D35" i="9"/>
  <c r="C20" i="9"/>
  <c r="D34" i="85"/>
  <c r="D35" i="85"/>
  <c r="D34" i="9"/>
  <c r="C103" i="85" l="1"/>
  <c r="G20" i="85"/>
  <c r="G21" i="85"/>
  <c r="C32" i="85"/>
  <c r="C103" i="9"/>
  <c r="G20" i="9"/>
  <c r="C32" i="9" s="1"/>
  <c r="H118" i="85" l="1"/>
  <c r="C35" i="85"/>
  <c r="F118" i="85" s="1"/>
  <c r="C35" i="9"/>
  <c r="C34" i="9" s="1"/>
  <c r="D118" i="9" s="1"/>
  <c r="D4" i="52" s="1"/>
  <c r="B47" i="72" s="1"/>
  <c r="H118" i="9"/>
  <c r="C104" i="9" s="1"/>
  <c r="C34" i="85" l="1"/>
  <c r="D118" i="85" s="1"/>
  <c r="D119" i="85" s="1"/>
  <c r="F119" i="85"/>
  <c r="G118" i="85"/>
  <c r="I118" i="85"/>
  <c r="H119" i="85"/>
  <c r="H101" i="85"/>
  <c r="C104" i="85"/>
  <c r="H101" i="9"/>
  <c r="D5" i="53" s="1"/>
  <c r="F118" i="9"/>
  <c r="F119" i="9" s="1"/>
  <c r="F5" i="52" s="1"/>
  <c r="B53" i="72" s="1"/>
  <c r="H119" i="9"/>
  <c r="H5" i="52" s="1"/>
  <c r="D119" i="9"/>
  <c r="D5" i="52" s="1"/>
  <c r="B49" i="72" s="1"/>
  <c r="H4" i="52"/>
  <c r="I118" i="9"/>
  <c r="H107" i="85" l="1"/>
  <c r="E118" i="85"/>
  <c r="C105" i="85"/>
  <c r="H102" i="85"/>
  <c r="M48" i="9"/>
  <c r="D45" i="9"/>
  <c r="F4" i="52"/>
  <c r="B51" i="72" s="1"/>
  <c r="H107" i="9"/>
  <c r="G14" i="74" s="1"/>
  <c r="D14" i="74"/>
  <c r="G118" i="9"/>
  <c r="G4" i="52" s="1"/>
  <c r="B52" i="72" s="1"/>
  <c r="D6" i="53"/>
  <c r="B22" i="72" s="1"/>
  <c r="B20" i="72"/>
  <c r="I4" i="52"/>
  <c r="H102" i="9"/>
  <c r="C105" i="9"/>
  <c r="C93" i="9" l="1"/>
  <c r="C86" i="9" s="1"/>
  <c r="D56" i="9"/>
  <c r="D122" i="85"/>
  <c r="D123" i="85" s="1"/>
  <c r="H108" i="85"/>
  <c r="C72" i="9"/>
  <c r="D53" i="9"/>
  <c r="D48" i="9" s="1"/>
  <c r="M52" i="9" s="1"/>
  <c r="D55" i="9"/>
  <c r="M53" i="9" s="1"/>
  <c r="D52" i="9"/>
  <c r="C85" i="9"/>
  <c r="C64" i="9"/>
  <c r="C63" i="9" s="1"/>
  <c r="C67" i="9" s="1"/>
  <c r="D59" i="9" s="1"/>
  <c r="M55" i="9" s="1"/>
  <c r="C78" i="9"/>
  <c r="C73" i="9" s="1"/>
  <c r="F14" i="74"/>
  <c r="E14" i="74"/>
  <c r="M49" i="9"/>
  <c r="D122" i="9"/>
  <c r="D13" i="53"/>
  <c r="E118" i="9"/>
  <c r="E4" i="52" s="1"/>
  <c r="B48" i="72" s="1"/>
  <c r="D7" i="53"/>
  <c r="B21" i="72" s="1"/>
  <c r="H108" i="9"/>
  <c r="C95" i="9" l="1"/>
  <c r="C96" i="9" s="1"/>
  <c r="E96" i="9" s="1"/>
  <c r="E97" i="9" s="1"/>
  <c r="C79" i="9"/>
  <c r="C80" i="9" s="1"/>
  <c r="E80" i="9" s="1"/>
  <c r="E81" i="9" s="1"/>
  <c r="C68" i="9"/>
  <c r="D54" i="9" s="1"/>
  <c r="L63" i="9"/>
  <c r="M63" i="9" s="1"/>
  <c r="L67" i="9"/>
  <c r="M67" i="9" s="1"/>
  <c r="L66" i="9"/>
  <c r="M66" i="9" s="1"/>
  <c r="L65" i="9"/>
  <c r="M65" i="9" s="1"/>
  <c r="L64" i="9"/>
  <c r="M64" i="9" s="1"/>
  <c r="L68" i="9"/>
  <c r="M68" i="9" s="1"/>
  <c r="B30" i="72"/>
  <c r="D14" i="53"/>
  <c r="B32" i="72" s="1"/>
  <c r="D8" i="52"/>
  <c r="D123" i="9"/>
  <c r="D9" i="52" s="1"/>
  <c r="D15" i="53"/>
  <c r="B31" i="72" s="1"/>
  <c r="C97" i="9" l="1"/>
  <c r="D58" i="9" s="1"/>
  <c r="M54" i="9" s="1"/>
  <c r="N57" i="9" s="1"/>
  <c r="N58" i="9" s="1"/>
  <c r="M69" i="9"/>
  <c r="N69" i="9" s="1"/>
  <c r="C81" i="9"/>
  <c r="P57" i="9" l="1"/>
  <c r="N59" i="9"/>
  <c r="I14" i="74" s="1"/>
  <c r="N60" i="9" l="1"/>
  <c r="N61" i="9"/>
  <c r="J14" i="74"/>
  <c r="E17" i="74"/>
  <c r="F17" i="74"/>
  <c r="E16" i="74" l="1"/>
  <c r="F16" i="74"/>
  <c r="B6" i="74" l="1"/>
  <c r="D45" i="85" l="1"/>
  <c r="D56" i="85" s="1"/>
  <c r="D6" i="74"/>
  <c r="C6" i="74"/>
  <c r="E15" i="74"/>
  <c r="F15" i="74"/>
  <c r="B5" i="74"/>
  <c r="C5" i="74" l="1"/>
  <c r="D5" i="74"/>
  <c r="M48" i="85"/>
  <c r="D55" i="85"/>
  <c r="M53" i="85" s="1"/>
  <c r="C64" i="85"/>
  <c r="C63" i="85" s="1"/>
  <c r="C67" i="85" s="1"/>
  <c r="C68" i="85" s="1"/>
  <c r="D54" i="85" s="1"/>
  <c r="M49" i="85"/>
  <c r="C93" i="85"/>
  <c r="C86" i="85" s="1"/>
  <c r="D52" i="85"/>
  <c r="C85" i="85"/>
  <c r="C72" i="85"/>
  <c r="D53" i="85"/>
  <c r="D48" i="85" s="1"/>
  <c r="M52" i="85" s="1"/>
  <c r="C78" i="85"/>
  <c r="C73" i="85" s="1"/>
  <c r="C79" i="85" l="1"/>
  <c r="L63" i="85"/>
  <c r="M63" i="85" s="1"/>
  <c r="L64" i="85"/>
  <c r="M64" i="85" s="1"/>
  <c r="L67" i="85"/>
  <c r="M67" i="85" s="1"/>
  <c r="L68" i="85"/>
  <c r="M68" i="85" s="1"/>
  <c r="L66" i="85"/>
  <c r="M66" i="85" s="1"/>
  <c r="L65" i="85"/>
  <c r="M65" i="85" s="1"/>
  <c r="C95" i="85"/>
  <c r="M69" i="85" l="1"/>
  <c r="N69" i="85" s="1"/>
  <c r="C96" i="85"/>
  <c r="E96" i="85" s="1"/>
  <c r="E97" i="85" s="1"/>
  <c r="C97" i="85"/>
  <c r="D58" i="85" s="1"/>
  <c r="M54" i="85" s="1"/>
  <c r="N57" i="85" s="1"/>
  <c r="C80" i="85"/>
  <c r="E80" i="85" s="1"/>
  <c r="E81" i="85" s="1"/>
  <c r="J13" i="74"/>
  <c r="P57" i="85" l="1"/>
  <c r="N58" i="85"/>
  <c r="N59" i="85"/>
  <c r="C81" i="85"/>
  <c r="N61" i="85" l="1"/>
  <c r="E8" i="74"/>
  <c r="F8" i="74" s="1"/>
  <c r="B8" i="74"/>
  <c r="N60" i="85"/>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<sst xmlns="http://schemas.openxmlformats.org/spreadsheetml/2006/main" count="9546" uniqueCount="3980">
  <si>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</si>
  <si>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</si>
  <si>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</si>
  <si>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</si>
  <si>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</si>
  <si>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</si>
  <si>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</si>
  <si>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</si>
  <si>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</si>
  <si>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</si>
  <si>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</si>
  <si>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</si>
  <si>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</si>
  <si>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</si>
  <si>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</si>
  <si>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</si>
  <si>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</si>
  <si>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</si>
  <si>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</si>
  <si>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</si>
  <si>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</si>
  <si>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</si>
  <si>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</si>
  <si>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</si>
  <si>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</si>
  <si>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</si>
  <si>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</si>
  <si>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</si>
  <si>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</si>
  <si>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</si>
  <si>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</si>
  <si>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</si>
  <si>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</si>
  <si>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</si>
  <si>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</si>
  <si>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</si>
  <si>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</si>
  <si>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</si>
  <si>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</si>
  <si>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</si>
  <si>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</si>
  <si>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</si>
  <si>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</si>
  <si>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</si>
  <si>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</si>
  <si>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</si>
  <si>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</si>
  <si>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</si>
  <si>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</si>
  <si>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</si>
  <si>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</si>
  <si>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</si>
  <si>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</si>
  <si>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</si>
  <si>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</si>
  <si>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</si>
  <si>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</si>
  <si>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</si>
  <si>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</si>
  <si>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</si>
  <si>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</si>
  <si>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</si>
  <si>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</si>
  <si>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</si>
  <si>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</si>
  <si>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</si>
  <si>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</si>
  <si>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</si>
  <si>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</si>
  <si>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</si>
  <si>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</si>
  <si>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</si>
  <si>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</si>
  <si>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</si>
  <si>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</si>
  <si>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</si>
  <si>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</si>
  <si>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</si>
  <si>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</si>
  <si>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</si>
  <si>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</si>
  <si>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</si>
  <si>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</si>
  <si>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</si>
  <si>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</si>
  <si>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</si>
  <si>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</si>
  <si>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</si>
  <si>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</si>
  <si>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</si>
  <si>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</si>
  <si>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</si>
  <si>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</si>
  <si>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</si>
  <si>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</si>
  <si>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</si>
  <si>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</si>
  <si>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</si>
  <si>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</si>
  <si>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</si>
  <si>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</si>
  <si>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</si>
  <si>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</si>
  <si>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</si>
  <si>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</si>
  <si>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</si>
  <si>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</si>
  <si>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</si>
  <si>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</si>
  <si>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</si>
  <si>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</si>
  <si>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</si>
  <si>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</si>
  <si>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</si>
  <si>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</si>
  <si>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</si>
  <si>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</si>
  <si>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</si>
  <si>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</si>
  <si>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</si>
  <si>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</si>
  <si>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</si>
  <si>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</si>
  <si>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</si>
  <si>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</si>
  <si>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</si>
  <si>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</si>
  <si>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</si>
  <si>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</si>
  <si>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</si>
  <si>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</si>
  <si>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</si>
  <si>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</si>
  <si>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</si>
  <si>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</si>
  <si>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</si>
  <si>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</si>
  <si>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</si>
  <si>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</si>
  <si>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</si>
  <si>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</si>
  <si>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</si>
  <si>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</si>
  <si>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</si>
  <si>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</si>
  <si>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</si>
  <si>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</si>
  <si>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</si>
  <si>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</si>
  <si>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</si>
  <si>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</si>
  <si>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</si>
  <si>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</si>
  <si>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</si>
  <si>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</si>
  <si>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</si>
  <si>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</si>
  <si>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</si>
  <si>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</si>
  <si>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</si>
  <si>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</si>
  <si>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</si>
  <si>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</si>
  <si>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</si>
  <si>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</si>
  <si>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</si>
  <si>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</si>
  <si>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</si>
  <si>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</si>
  <si>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</si>
  <si>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</si>
  <si>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</si>
  <si>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</si>
  <si>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</si>
  <si>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</si>
  <si>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</si>
  <si>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</si>
  <si>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</si>
  <si>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</si>
  <si>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</si>
  <si>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</si>
  <si>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</si>
  <si>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</si>
  <si>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</si>
  <si>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</si>
  <si>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</si>
  <si>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</si>
  <si>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</si>
  <si>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</si>
  <si>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</si>
  <si>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</si>
  <si>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</si>
  <si>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</si>
  <si>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</si>
  <si>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</si>
  <si>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</si>
  <si>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</si>
  <si>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</si>
  <si>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</si>
  <si>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</si>
  <si>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</si>
  <si>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</si>
  <si>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</si>
  <si>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</si>
  <si>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</si>
  <si>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</si>
  <si>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</si>
  <si>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</si>
  <si>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</si>
  <si>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</si>
  <si>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</si>
  <si>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</si>
  <si>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</si>
  <si>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</si>
  <si>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</si>
  <si>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</si>
  <si>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</si>
  <si>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</si>
  <si>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</si>
  <si>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</si>
  <si>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</si>
  <si>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</si>
  <si>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</si>
  <si>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</si>
  <si>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</si>
  <si>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</si>
  <si>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</si>
  <si>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</si>
  <si>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</si>
  <si>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</si>
  <si>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</si>
  <si>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</si>
  <si>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</si>
  <si>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</si>
  <si>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</si>
  <si>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</si>
  <si>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</si>
  <si>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</si>
  <si>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</si>
  <si>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</si>
  <si>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</si>
  <si>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</si>
  <si>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</si>
  <si>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</si>
  <si>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</si>
  <si>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</si>
  <si>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</si>
  <si>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</si>
  <si>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</si>
  <si>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</si>
  <si>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</si>
  <si>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</si>
  <si>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</si>
  <si>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</si>
  <si>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</si>
  <si>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</si>
  <si>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</si>
  <si>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</si>
  <si>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</si>
  <si>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</si>
  <si>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</si>
  <si>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</si>
  <si>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</si>
  <si>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</si>
  <si>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</si>
  <si>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</si>
  <si>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</si>
  <si>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</si>
  <si>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</si>
  <si>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</si>
  <si>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</si>
  <si>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</si>
  <si>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</si>
  <si>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</si>
  <si>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</si>
  <si>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</si>
  <si>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</si>
  <si>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</si>
  <si>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</si>
  <si>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</si>
  <si>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</si>
  <si>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</si>
  <si>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</si>
  <si>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</si>
  <si>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</si>
  <si>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</si>
  <si>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</si>
  <si>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</si>
  <si>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</si>
  <si>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</si>
  <si>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</si>
  <si>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</si>
  <si>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</si>
  <si>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</si>
  <si>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</si>
  <si>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</si>
  <si>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</si>
  <si>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</si>
  <si>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</si>
  <si>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</si>
  <si>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</si>
  <si>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</si>
  <si>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</si>
  <si>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</si>
  <si>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</si>
  <si>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</si>
  <si>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</si>
  <si>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</si>
  <si>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</si>
  <si>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</si>
  <si>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</si>
  <si>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</si>
  <si>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</si>
  <si>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</si>
  <si>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</si>
  <si>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</si>
  <si>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</si>
  <si>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</si>
  <si>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</si>
  <si>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</si>
  <si>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</si>
  <si>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</si>
  <si>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</si>
  <si>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</si>
  <si>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</si>
  <si>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</si>
  <si>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</si>
  <si>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</si>
  <si>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</si>
  <si>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</si>
  <si>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</si>
  <si>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</si>
  <si>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</si>
  <si>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</si>
  <si>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</si>
  <si>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</si>
  <si>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</si>
  <si>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</si>
  <si>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</si>
  <si>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</si>
  <si>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</si>
  <si>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</si>
  <si>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</si>
  <si>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</si>
  <si>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</si>
  <si>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</si>
  <si>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</si>
  <si>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</si>
  <si>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</si>
  <si>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</si>
  <si>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</si>
  <si>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</si>
  <si>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</si>
  <si>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</si>
  <si>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</si>
  <si>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</si>
  <si>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</si>
  <si>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</si>
  <si>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</si>
  <si>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</si>
  <si>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</si>
  <si>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</si>
  <si>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</si>
  <si>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</si>
  <si>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</si>
  <si>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</si>
  <si>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</si>
  <si>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</si>
  <si>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</si>
  <si>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</si>
  <si>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</si>
  <si>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</si>
  <si>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</si>
  <si>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</si>
  <si>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</si>
  <si>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</si>
  <si>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</si>
  <si>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</si>
  <si>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</si>
  <si>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</si>
  <si>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</si>
  <si>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</si>
  <si>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</si>
  <si>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</si>
  <si>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</si>
  <si>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</si>
  <si>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</si>
  <si>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</si>
  <si>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</si>
  <si>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</si>
  <si>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</si>
  <si>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</si>
  <si>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</si>
  <si>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</si>
  <si>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</si>
  <si>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</si>
  <si>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</si>
  <si>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</si>
  <si>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</si>
  <si>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</si>
  <si>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</si>
  <si>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</si>
  <si>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</si>
  <si>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</si>
  <si>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</si>
  <si>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</si>
  <si>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</si>
  <si>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</si>
  <si>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</si>
  <si>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</si>
  <si>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</si>
  <si>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</si>
  <si>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</si>
  <si>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</si>
  <si>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</si>
  <si>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</si>
  <si>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</si>
  <si>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</si>
  <si>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</si>
  <si>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</si>
  <si>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</si>
  <si>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</si>
  <si>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</si>
  <si>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</si>
  <si>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</si>
  <si>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</si>
  <si>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</si>
  <si>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</si>
  <si>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</si>
  <si>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</si>
  <si>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</si>
  <si>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</si>
  <si>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</si>
  <si>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</si>
  <si>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</si>
  <si>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</si>
  <si>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</si>
  <si>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</si>
  <si>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</si>
  <si>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</si>
  <si>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</si>
  <si>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</si>
  <si>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</si>
  <si>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</si>
  <si>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</si>
  <si>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</si>
  <si>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</si>
  <si>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</si>
  <si>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</si>
  <si>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</si>
  <si>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</si>
  <si>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</si>
  <si>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</si>
  <si>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</si>
  <si>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</si>
  <si>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</si>
  <si>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</si>
  <si>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</si>
  <si>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</si>
  <si>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</si>
  <si>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</si>
  <si>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</si>
  <si>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</si>
  <si>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</si>
  <si>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</si>
  <si>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</si>
  <si>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</si>
  <si>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</si>
  <si>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</si>
  <si>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</si>
  <si>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</si>
  <si>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</si>
  <si>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</si>
  <si>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</si>
  <si>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</si>
  <si>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</si>
  <si>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</si>
  <si>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</si>
  <si>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</si>
  <si>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</si>
  <si>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</si>
  <si>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</si>
  <si>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</si>
  <si>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</si>
  <si>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</si>
  <si>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</si>
  <si>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</si>
  <si>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</si>
  <si>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</si>
  <si>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</si>
  <si>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</si>
  <si>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</si>
  <si>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</si>
  <si>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</si>
  <si>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</si>
  <si>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</si>
  <si>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</si>
  <si>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</si>
  <si>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</si>
  <si>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</si>
  <si>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</si>
  <si>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</si>
  <si>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</si>
  <si>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</si>
  <si>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</si>
  <si>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</si>
  <si>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</si>
  <si>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</si>
  <si>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</si>
  <si>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</si>
  <si>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</si>
  <si>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</si>
  <si>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</si>
  <si>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</si>
  <si>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</si>
  <si>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</si>
  <si>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</si>
  <si>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</si>
  <si>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</si>
  <si>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</si>
  <si>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</si>
  <si>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</si>
  <si>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</si>
  <si>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</si>
  <si>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</si>
  <si>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</si>
  <si>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</si>
  <si>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</si>
  <si>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</si>
  <si>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</si>
  <si>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</si>
  <si>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</si>
  <si>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</si>
  <si>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</si>
  <si>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</si>
  <si>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</si>
  <si>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</si>
  <si>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</si>
  <si>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</si>
  <si>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</si>
  <si>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</si>
  <si>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</si>
  <si>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</si>
  <si>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</si>
  <si>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</si>
  <si>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</si>
  <si>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</si>
  <si>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</si>
  <si>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</si>
  <si>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</si>
  <si>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</si>
  <si>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</si>
  <si>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</si>
  <si>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</si>
  <si>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</si>
  <si>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</si>
  <si>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</si>
  <si>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</si>
  <si>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</si>
  <si>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</si>
  <si>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</si>
  <si>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</si>
  <si>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</si>
  <si>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</si>
  <si>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</si>
  <si>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</si>
  <si>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</si>
  <si>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</si>
  <si>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</si>
  <si>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</si>
  <si>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</si>
  <si>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</si>
  <si>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</si>
  <si>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</si>
  <si>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</si>
  <si>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</si>
  <si>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</si>
  <si>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</si>
  <si>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</si>
  <si>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</si>
  <si>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</si>
  <si>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</si>
  <si>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</si>
  <si>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</si>
  <si>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</si>
  <si>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</si>
  <si>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</si>
  <si>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</si>
  <si>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</si>
  <si>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</si>
  <si>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</si>
  <si>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</si>
  <si>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</si>
  <si>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</si>
  <si>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</si>
  <si>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</si>
  <si>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</si>
  <si>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</si>
  <si>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</si>
  <si>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</si>
  <si>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</si>
  <si>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</si>
  <si>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</si>
  <si>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</si>
  <si>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</si>
  <si>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</si>
  <si>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</si>
  <si>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</si>
  <si>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</si>
  <si>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</si>
  <si>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</si>
  <si>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</si>
  <si>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</si>
  <si>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</si>
  <si>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</si>
  <si>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</si>
  <si>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</si>
  <si>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</si>
  <si>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</si>
  <si>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</si>
  <si>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</si>
  <si>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</si>
  <si>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</si>
  <si>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</si>
  <si>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</si>
  <si>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</si>
  <si>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</si>
  <si>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</si>
  <si>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</si>
  <si>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</si>
  <si>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</si>
  <si>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</si>
  <si>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</si>
  <si>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</si>
  <si>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</si>
  <si>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</si>
  <si>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</si>
  <si>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</si>
  <si>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</si>
  <si>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</si>
  <si>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</si>
  <si>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</si>
  <si>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</si>
  <si>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</si>
  <si>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</si>
  <si>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</si>
  <si>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</si>
  <si>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</si>
  <si>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</si>
  <si>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</si>
  <si>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</si>
  <si>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</si>
  <si>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</si>
  <si>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</si>
  <si>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</si>
  <si>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</si>
  <si>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</si>
  <si>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</si>
  <si>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</si>
  <si>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</si>
  <si>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</si>
  <si>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</si>
  <si>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</si>
  <si>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</si>
  <si>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</si>
  <si>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</si>
  <si>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</si>
  <si>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</si>
  <si>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</si>
  <si>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</si>
  <si>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</si>
  <si>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</si>
  <si>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</si>
  <si>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</si>
  <si>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</si>
  <si>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</si>
  <si>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</si>
  <si>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</si>
  <si>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</si>
  <si>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</si>
  <si>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</si>
  <si>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</si>
  <si>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</si>
  <si>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</si>
  <si>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</si>
  <si>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</si>
  <si>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</si>
  <si>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</si>
  <si>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</si>
  <si>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</si>
  <si>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</si>
  <si>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</si>
  <si>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</si>
  <si>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</si>
  <si>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</si>
  <si>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</si>
  <si>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</si>
  <si>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</si>
  <si>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</si>
  <si>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</si>
  <si>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</si>
  <si>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</si>
  <si>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</si>
  <si>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</si>
  <si>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</si>
  <si>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</si>
  <si>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</si>
  <si>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</si>
  <si>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</si>
  <si>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</si>
  <si>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</si>
  <si>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</si>
  <si>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</si>
  <si>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</si>
  <si>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</si>
  <si>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</si>
  <si>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</si>
  <si>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</si>
  <si>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</si>
  <si>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</si>
  <si>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</si>
  <si>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</si>
  <si>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</si>
  <si>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</si>
  <si>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</si>
  <si>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</si>
  <si>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</si>
  <si>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</si>
  <si>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</si>
  <si>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</si>
  <si>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</si>
  <si>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</si>
  <si>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</si>
  <si>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</si>
  <si>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</si>
  <si>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</si>
  <si>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</si>
  <si>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</si>
  <si>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</si>
  <si>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</si>
  <si>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</si>
  <si>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</si>
  <si>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</si>
  <si>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</si>
  <si>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</si>
  <si>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</si>
  <si>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</si>
  <si>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</si>
  <si>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</si>
  <si>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</si>
  <si>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</si>
  <si>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</si>
  <si>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</si>
  <si>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</si>
  <si>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</si>
  <si>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</si>
  <si>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</si>
  <si>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</si>
  <si>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</si>
  <si>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</si>
  <si>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</si>
  <si>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</si>
  <si>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</si>
  <si>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</si>
  <si>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</si>
  <si>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</si>
  <si>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</si>
  <si>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</si>
  <si>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</si>
  <si>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</si>
  <si>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</si>
  <si>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</si>
  <si>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</si>
  <si>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</si>
  <si>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</si>
  <si>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</si>
  <si>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</si>
  <si>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</si>
  <si>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</si>
  <si>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</si>
  <si>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</si>
  <si>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</si>
  <si>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</si>
  <si>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</si>
  <si>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</si>
  <si>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</si>
  <si>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</si>
  <si>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</si>
  <si>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</si>
  <si>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</si>
  <si>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</si>
  <si>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</si>
  <si>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</si>
  <si>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</si>
  <si>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</si>
  <si>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</si>
  <si>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</si>
  <si>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</si>
  <si>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</si>
  <si>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</si>
  <si>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</si>
  <si>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</si>
  <si>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</si>
  <si>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</si>
  <si>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</si>
  <si>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</si>
  <si>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</si>
  <si>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</si>
  <si>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</si>
  <si>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</si>
  <si>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</si>
  <si>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</si>
  <si>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</si>
  <si>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</si>
  <si>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</si>
  <si>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</si>
  <si>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</si>
  <si>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</si>
  <si>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</si>
  <si>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</si>
  <si>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</si>
  <si>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</si>
  <si>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</si>
  <si>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</si>
  <si>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</si>
  <si>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</si>
  <si>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</si>
  <si>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</si>
  <si>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</si>
  <si>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</si>
  <si>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</si>
  <si>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</si>
  <si>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</si>
  <si>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</si>
  <si>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</si>
  <si>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</si>
  <si>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</si>
  <si>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</si>
  <si>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</si>
  <si>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</si>
  <si>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</si>
  <si>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</si>
  <si>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</si>
  <si>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</si>
  <si>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</si>
  <si>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</si>
  <si>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</si>
  <si>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</si>
  <si>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</si>
  <si>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</si>
  <si>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</si>
  <si>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</si>
  <si>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</si>
  <si>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</si>
  <si>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</si>
  <si>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</si>
  <si>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</si>
  <si>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</si>
  <si>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</si>
  <si>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</si>
  <si>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</si>
  <si>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</si>
  <si>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</si>
  <si>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</si>
  <si>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</si>
  <si>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</si>
  <si>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</si>
  <si>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</si>
  <si>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</si>
  <si>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</si>
  <si>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</si>
  <si>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</si>
  <si>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</si>
  <si>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</si>
  <si>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</si>
  <si>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</si>
  <si>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</si>
  <si>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</si>
  <si>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</si>
  <si>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</si>
  <si>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</si>
  <si>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</si>
  <si>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</si>
  <si>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</si>
  <si>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</si>
  <si>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</si>
  <si>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</si>
  <si>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</si>
  <si>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</si>
  <si>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</si>
  <si>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</si>
  <si>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</si>
  <si>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</si>
  <si>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</si>
  <si>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</si>
  <si>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</si>
  <si>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</si>
  <si>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</si>
  <si>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</si>
  <si>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</si>
  <si>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</si>
  <si>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</si>
  <si>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</si>
  <si>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</si>
  <si>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</si>
  <si>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</si>
  <si>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</si>
  <si>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</si>
  <si>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</si>
  <si>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</si>
  <si>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</si>
  <si>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</si>
  <si>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</si>
  <si>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</si>
  <si>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</si>
  <si>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</si>
  <si>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</si>
  <si>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</si>
  <si>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</si>
  <si>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</si>
  <si>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</si>
  <si>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</si>
  <si>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</si>
  <si>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</si>
  <si>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</si>
  <si>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</si>
  <si>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</si>
  <si>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</si>
  <si>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</si>
  <si>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</si>
  <si>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</si>
  <si>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</si>
  <si>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</si>
  <si>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</si>
  <si>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</si>
  <si>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</si>
  <si>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</si>
  <si>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</si>
  <si>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</si>
  <si>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</si>
  <si>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</si>
  <si>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</si>
  <si>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</si>
  <si>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</si>
  <si>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</si>
  <si>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</si>
  <si>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</si>
  <si>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</si>
  <si>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</si>
  <si>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</si>
  <si>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</si>
  <si>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</si>
  <si>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</si>
  <si>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</si>
  <si>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</si>
  <si>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</si>
  <si>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</si>
  <si>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</si>
  <si>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</si>
  <si>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</si>
  <si>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</si>
  <si>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</si>
  <si>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</si>
  <si>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</si>
  <si>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</si>
  <si>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</si>
  <si>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</si>
  <si>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</si>
  <si>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</si>
  <si>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</si>
  <si>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</si>
  <si>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</si>
  <si>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</si>
  <si>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</si>
  <si>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</si>
  <si>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</si>
  <si>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</si>
  <si>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</si>
  <si>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</si>
  <si>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</si>
  <si>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</si>
  <si>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</si>
  <si>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</si>
  <si>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</si>
  <si>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</si>
  <si>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</si>
  <si>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</si>
  <si>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</si>
  <si>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</si>
  <si>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</si>
  <si>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</si>
  <si>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</si>
  <si>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</si>
  <si>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</si>
  <si>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</si>
  <si>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</si>
  <si>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</si>
  <si>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</si>
  <si>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</si>
  <si>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</si>
  <si>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</si>
  <si>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</si>
  <si>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</si>
  <si>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</si>
  <si>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</si>
  <si>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</si>
  <si>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</si>
  <si>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</si>
  <si>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</si>
  <si>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</si>
  <si>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</si>
  <si>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</si>
  <si>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</si>
  <si>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</si>
  <si>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</si>
  <si>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</si>
  <si>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</si>
  <si>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</si>
  <si>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</si>
  <si>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</si>
  <si>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</si>
  <si>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</si>
  <si>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</si>
  <si>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</si>
  <si>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</si>
  <si>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</si>
  <si>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</si>
  <si>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</si>
  <si>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</si>
  <si>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</si>
  <si>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</si>
  <si>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</si>
  <si>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</si>
  <si>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</si>
  <si>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</si>
  <si>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</si>
  <si>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</si>
  <si>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</si>
  <si>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</si>
  <si>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</si>
  <si>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</si>
  <si>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</si>
  <si>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</si>
  <si>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</si>
  <si>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</si>
  <si>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</si>
  <si>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</si>
  <si>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</si>
  <si>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</si>
  <si>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</si>
  <si>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</si>
  <si>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</si>
  <si>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</si>
  <si>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</si>
  <si>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</si>
  <si>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</si>
  <si>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</si>
  <si>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</si>
  <si>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</si>
  <si>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</si>
  <si>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</si>
  <si>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</si>
  <si>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</si>
  <si>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</si>
  <si>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</si>
  <si>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</si>
  <si>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</si>
  <si>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</si>
  <si>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</si>
  <si>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</si>
  <si>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</si>
  <si>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</si>
  <si>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</si>
  <si>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</si>
  <si>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</si>
  <si>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</si>
  <si>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</si>
  <si>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</si>
  <si>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</si>
  <si>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</si>
  <si>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</si>
  <si>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</si>
  <si>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</si>
  <si>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</si>
  <si>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</si>
  <si>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</si>
  <si>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</si>
  <si>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</si>
  <si>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</si>
  <si>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</si>
  <si>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</si>
  <si>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</si>
  <si>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</si>
  <si>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</si>
  <si>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</si>
  <si>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</si>
  <si>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</si>
  <si>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</si>
  <si>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</si>
  <si>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</si>
  <si>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</si>
  <si>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</si>
  <si>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</si>
  <si>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</si>
  <si>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</si>
  <si>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</si>
  <si>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</si>
  <si>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</si>
  <si>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</si>
  <si>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</si>
  <si>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</si>
  <si>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</si>
  <si>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</si>
  <si>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</si>
  <si>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</si>
  <si>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</si>
  <si>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</si>
  <si>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</si>
  <si>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</si>
  <si>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</si>
  <si>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</si>
  <si>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</si>
  <si>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</si>
  <si>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</si>
  <si>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</si>
  <si>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</si>
  <si>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</si>
  <si>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</si>
  <si>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</si>
  <si>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</si>
  <si>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</si>
  <si>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</si>
  <si>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</si>
  <si>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</si>
  <si>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</si>
  <si>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</si>
  <si>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</si>
  <si>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</si>
  <si>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</si>
  <si>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</si>
  <si>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</si>
  <si>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</si>
  <si>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</si>
  <si>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</si>
  <si>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</si>
  <si>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</si>
  <si>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</si>
  <si>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</si>
  <si>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</si>
  <si>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</si>
  <si>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</si>
  <si>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</si>
  <si>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</si>
  <si>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</si>
  <si>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</si>
  <si>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</si>
  <si>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</si>
  <si>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</si>
  <si>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</si>
  <si>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</si>
  <si>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</si>
  <si>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</si>
  <si>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</si>
  <si>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</si>
  <si>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</si>
  <si>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</si>
  <si>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</si>
  <si>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</si>
  <si>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</si>
  <si>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</si>
  <si>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</si>
  <si>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</si>
  <si>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</si>
  <si>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</si>
  <si>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</si>
  <si>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</si>
  <si>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</si>
  <si>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</si>
  <si>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</si>
  <si>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</si>
  <si>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</si>
  <si>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</si>
  <si>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</si>
  <si>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</si>
  <si>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</si>
  <si>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</si>
  <si>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</si>
  <si>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</si>
  <si>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</si>
  <si>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</si>
  <si>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</si>
  <si>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</si>
  <si>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</si>
  <si>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</si>
  <si>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</si>
  <si>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</si>
  <si>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</si>
  <si>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</si>
  <si>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</si>
  <si>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</si>
  <si>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</si>
  <si>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</si>
  <si>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</si>
  <si>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</si>
  <si>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</si>
  <si>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</si>
  <si>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</si>
  <si>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</si>
  <si>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</si>
  <si>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</si>
  <si>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</si>
  <si>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</si>
  <si>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</si>
  <si>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</si>
  <si>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</si>
  <si>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</si>
  <si>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</si>
  <si>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</si>
  <si>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</si>
  <si>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</si>
  <si>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</si>
  <si>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</si>
  <si>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</si>
  <si>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</si>
  <si>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</si>
  <si>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</si>
  <si>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</si>
  <si>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</si>
  <si>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</si>
  <si>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</si>
  <si>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</si>
  <si>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</si>
  <si>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</si>
  <si>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</si>
  <si>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</si>
  <si>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</si>
  <si>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</si>
  <si>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</si>
  <si>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</si>
  <si>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</si>
  <si>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</si>
  <si>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</si>
  <si>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</si>
  <si>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</si>
  <si>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</si>
  <si>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</si>
  <si>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</si>
  <si>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</si>
  <si>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</si>
  <si>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</si>
  <si>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</si>
  <si>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</si>
  <si>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</si>
  <si>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</si>
  <si>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</si>
  <si>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</si>
  <si>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</si>
  <si>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</si>
  <si>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</si>
  <si>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</si>
  <si>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</si>
  <si>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</si>
  <si>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</si>
  <si>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</si>
  <si>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</si>
  <si>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</si>
  <si>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</si>
  <si>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</si>
  <si>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</si>
  <si>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</si>
  <si>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</si>
  <si>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</si>
  <si>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</si>
  <si>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</si>
  <si>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</si>
  <si>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</si>
  <si>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</si>
  <si>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</si>
  <si>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</si>
  <si>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</si>
  <si>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</si>
  <si>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</si>
  <si>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</si>
  <si>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</si>
  <si>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</si>
  <si>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</si>
  <si>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</si>
  <si>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</si>
  <si>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</si>
  <si>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</si>
  <si>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</si>
  <si>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</si>
  <si>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</si>
  <si>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</si>
  <si>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</si>
  <si>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</si>
  <si>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</si>
  <si>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</si>
  <si>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</si>
  <si>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</si>
  <si>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</si>
  <si>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</si>
  <si>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</si>
  <si>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</si>
  <si>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</si>
  <si>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</si>
  <si>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</si>
  <si>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</si>
  <si>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</si>
  <si>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</si>
  <si>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</si>
  <si>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</si>
  <si>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</si>
  <si>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</si>
  <si>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</si>
  <si>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</si>
  <si>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</si>
  <si>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</si>
  <si>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</si>
  <si>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</si>
  <si>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</si>
  <si>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</si>
  <si>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</si>
  <si>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</si>
  <si>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</si>
  <si>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</si>
  <si>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</si>
  <si>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</si>
  <si>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</si>
  <si>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</si>
  <si>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</si>
  <si>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</si>
  <si>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</si>
  <si>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</si>
  <si>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</si>
  <si>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</si>
  <si>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</si>
  <si>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</si>
  <si>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</si>
  <si>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</si>
  <si>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</si>
  <si>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</si>
  <si>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</si>
  <si>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</si>
  <si>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</si>
  <si>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</si>
  <si>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</si>
  <si>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</si>
  <si>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</si>
  <si>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</si>
  <si>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</si>
  <si>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</si>
  <si>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</si>
  <si>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</si>
  <si>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</si>
  <si>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</si>
  <si>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</si>
  <si>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</si>
  <si>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</si>
  <si>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</si>
  <si>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</si>
  <si>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</si>
  <si>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</si>
  <si>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</si>
  <si>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</si>
  <si>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</si>
  <si>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</si>
  <si>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</si>
  <si>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</si>
  <si>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</si>
  <si>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</si>
  <si>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</si>
  <si>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</si>
  <si>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</si>
  <si>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</si>
  <si>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</si>
  <si>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</si>
  <si>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</si>
  <si>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</si>
  <si>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</si>
  <si>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</si>
  <si>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</si>
  <si>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</si>
  <si>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</si>
  <si>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</si>
  <si>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</si>
  <si>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</si>
  <si>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</si>
  <si>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</si>
  <si>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</si>
  <si>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</si>
  <si>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</si>
  <si>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</si>
  <si>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</si>
  <si>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</si>
  <si>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</si>
  <si>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</si>
  <si>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</si>
  <si>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</si>
  <si>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</si>
  <si>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</si>
  <si>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</si>
  <si>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</si>
  <si>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</si>
  <si>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</si>
  <si>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</si>
  <si>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</si>
  <si>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</si>
  <si>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</si>
  <si>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</si>
  <si>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</si>
  <si>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</si>
  <si>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</si>
  <si>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</si>
  <si>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</si>
  <si>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</si>
  <si>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</si>
  <si>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</si>
  <si>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</si>
  <si>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</si>
  <si>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</si>
  <si>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</si>
  <si>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</si>
  <si>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</si>
  <si>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</si>
  <si>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</si>
  <si>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</si>
  <si>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</si>
  <si>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</si>
  <si>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</si>
  <si>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</si>
  <si>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</si>
  <si>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</si>
  <si>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</si>
  <si>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</si>
  <si>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</si>
  <si>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</si>
  <si>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</si>
  <si>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</si>
  <si>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</si>
  <si>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</si>
  <si>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</si>
  <si>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</si>
  <si>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</si>
  <si>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</si>
  <si>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</si>
  <si>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</si>
  <si>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</si>
  <si>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</si>
  <si>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</si>
  <si>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</si>
  <si>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</si>
  <si>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</si>
  <si>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</si>
  <si>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</si>
  <si>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</si>
  <si>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</si>
  <si>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</si>
  <si>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</si>
  <si>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</si>
  <si>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</si>
  <si>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</si>
  <si>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</si>
  <si>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</si>
  <si>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</si>
  <si>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</si>
  <si>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</si>
  <si>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</si>
  <si>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</si>
  <si>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</si>
  <si>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</si>
  <si>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</si>
  <si>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</si>
  <si>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</si>
  <si>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</si>
  <si>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</si>
  <si>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</si>
  <si>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</si>
  <si>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</si>
  <si>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</si>
  <si>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</si>
  <si>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</si>
  <si>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</si>
  <si>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</si>
  <si>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</si>
  <si>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</si>
  <si>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</si>
  <si>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</si>
  <si>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</si>
  <si>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</si>
  <si>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</si>
  <si>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</si>
  <si>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</si>
  <si>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</si>
  <si>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</si>
  <si>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</si>
  <si>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</si>
  <si>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</si>
  <si>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</si>
  <si>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</si>
  <si>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</si>
  <si>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</si>
  <si>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</si>
  <si>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</si>
  <si>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</si>
  <si>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</si>
  <si>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</si>
  <si>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</si>
  <si>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</si>
  <si>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</si>
  <si>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</si>
  <si>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</si>
  <si>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</si>
  <si>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</si>
  <si>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</si>
  <si>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</si>
  <si>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</si>
  <si>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</si>
  <si>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</si>
  <si>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</si>
  <si>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</si>
  <si>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</si>
  <si>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</si>
  <si>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</si>
  <si>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</si>
  <si>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</si>
  <si>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</si>
  <si>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</si>
  <si>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</si>
  <si>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</si>
  <si>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</si>
  <si>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</si>
  <si>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</si>
  <si>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</si>
  <si>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</si>
  <si>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</si>
  <si>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</si>
  <si>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</si>
  <si>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</si>
  <si>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</si>
  <si>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</si>
  <si>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</si>
  <si>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</si>
  <si>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</si>
  <si>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</si>
  <si>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</si>
  <si>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</si>
  <si>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</si>
  <si>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</si>
  <si>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</si>
  <si>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</si>
  <si>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</si>
  <si>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</si>
  <si>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</si>
  <si>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</si>
  <si>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</si>
  <si>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</si>
  <si>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</si>
  <si>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</si>
  <si>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</si>
  <si>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</si>
  <si>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</si>
  <si>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</si>
  <si>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</si>
  <si>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</si>
  <si>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</si>
  <si>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</si>
  <si>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</si>
  <si>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</si>
  <si>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</si>
  <si>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</si>
  <si>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</si>
  <si>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</si>
  <si>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</si>
  <si>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</si>
  <si>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</si>
  <si>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</si>
  <si>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</si>
  <si>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</si>
  <si>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</si>
  <si>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</si>
  <si>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</si>
  <si>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</si>
  <si>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</si>
  <si>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</si>
  <si>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</si>
  <si>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</si>
  <si>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</si>
  <si>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</si>
  <si>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</si>
  <si>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</si>
  <si>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</si>
  <si>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</si>
  <si>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</si>
  <si>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</si>
  <si>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</si>
  <si>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</si>
  <si>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</si>
  <si>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</si>
  <si>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</si>
  <si>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</si>
  <si>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</si>
  <si>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</si>
  <si>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</si>
  <si>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</si>
  <si>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</si>
  <si>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</si>
  <si>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</si>
  <si>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</si>
  <si>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</si>
  <si>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</si>
  <si>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</si>
  <si>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</si>
  <si>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</si>
  <si>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</si>
  <si>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</si>
  <si>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</si>
  <si>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</si>
  <si>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</si>
  <si>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</si>
  <si>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</si>
  <si>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</si>
  <si>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</si>
  <si>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</si>
  <si>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</si>
  <si>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</si>
  <si>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</si>
  <si>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</si>
  <si>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</si>
  <si>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</si>
  <si>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</si>
  <si>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</si>
  <si>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</si>
  <si>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</si>
  <si>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</si>
  <si>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</si>
  <si>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</si>
  <si>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</si>
  <si>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</si>
  <si>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</si>
  <si>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</si>
  <si>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</si>
  <si>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</si>
  <si>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</si>
  <si>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</si>
  <si>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</si>
  <si>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</si>
  <si>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</si>
  <si>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</si>
  <si>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</si>
  <si>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</si>
  <si>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</si>
  <si>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</si>
  <si>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</si>
  <si>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</si>
  <si>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</si>
  <si>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</si>
  <si>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</si>
  <si>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</si>
  <si>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</si>
  <si>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</si>
  <si>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</si>
  <si>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</si>
  <si>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</si>
  <si>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</si>
  <si>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</si>
  <si>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</si>
  <si>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</si>
  <si>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</si>
  <si>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</si>
  <si>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</si>
  <si>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</si>
  <si>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</si>
  <si>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</si>
  <si>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</si>
  <si>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</si>
  <si>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</si>
  <si>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</si>
  <si>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</si>
  <si>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</si>
  <si>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</si>
  <si>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</si>
  <si>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</si>
  <si>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</si>
  <si>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</si>
  <si>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</si>
  <si>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</si>
  <si>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</si>
  <si>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</si>
  <si>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</si>
  <si>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</si>
  <si>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</si>
  <si>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</si>
  <si>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</si>
  <si>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</si>
  <si>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</si>
  <si>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</si>
  <si>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</si>
  <si>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</si>
  <si>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</si>
  <si>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</si>
  <si>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</si>
  <si>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</si>
  <si>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</si>
  <si>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</si>
  <si>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</si>
  <si>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</si>
  <si>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</si>
  <si>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</si>
  <si>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</si>
  <si>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</si>
  <si>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</si>
  <si>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</si>
  <si>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</si>
  <si>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</si>
  <si>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</si>
  <si>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</si>
  <si>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</si>
  <si>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</si>
  <si>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</si>
  <si>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</si>
  <si>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</si>
  <si>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</si>
  <si>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</si>
  <si>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</si>
  <si>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</si>
  <si>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</si>
  <si>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</si>
  <si>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</si>
  <si>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</si>
  <si>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</si>
  <si>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</si>
  <si>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</si>
  <si>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</si>
  <si>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</si>
  <si>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</si>
  <si>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</si>
  <si>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</si>
  <si>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</si>
  <si>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</si>
  <si>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</si>
  <si>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</si>
  <si>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</si>
  <si>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</si>
  <si>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</si>
  <si>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</si>
  <si>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</si>
  <si>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</si>
  <si>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</si>
  <si>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</si>
  <si>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</si>
  <si>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</si>
  <si>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</si>
  <si>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</si>
  <si>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</si>
  <si>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</si>
  <si>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</si>
  <si>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</si>
  <si>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</si>
  <si>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</si>
  <si>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</si>
  <si>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</si>
  <si>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</si>
  <si>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</si>
  <si>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</si>
  <si>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</si>
  <si>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</si>
  <si>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</si>
  <si>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</si>
  <si>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</si>
  <si>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</si>
  <si>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</si>
  <si>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</si>
  <si>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</si>
  <si>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</si>
  <si>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</si>
  <si>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</si>
  <si>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</si>
  <si>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</si>
  <si>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</si>
  <si>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</si>
  <si>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</si>
  <si>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</si>
  <si>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</si>
  <si>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</si>
  <si>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</si>
  <si>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</si>
  <si>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</si>
  <si>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</si>
  <si>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</si>
  <si>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</si>
  <si>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</si>
  <si>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</si>
  <si>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</si>
  <si>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</si>
  <si>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</si>
  <si>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</si>
  <si>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</si>
  <si>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</si>
  <si>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</si>
  <si>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</si>
  <si>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</si>
  <si>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</si>
  <si>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</si>
  <si>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</si>
  <si>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</si>
  <si>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</si>
  <si>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</si>
  <si>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</si>
  <si>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</si>
  <si>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</si>
  <si>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</si>
  <si>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</si>
  <si>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</si>
  <si>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</si>
  <si>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</si>
  <si>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</si>
  <si>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</si>
  <si>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</si>
  <si>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</si>
  <si>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</si>
  <si>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</si>
  <si>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</si>
  <si>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</si>
  <si>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</si>
  <si>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</si>
  <si>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</si>
  <si>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</si>
  <si>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</si>
  <si>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</si>
  <si>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</si>
  <si>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</si>
  <si>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</si>
  <si>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</si>
  <si>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</si>
  <si>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</si>
  <si>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</si>
  <si>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</si>
  <si>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</si>
  <si>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</si>
  <si>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</si>
  <si>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</si>
  <si>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</si>
  <si>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</si>
  <si>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</si>
  <si>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</si>
  <si>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</si>
  <si>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</si>
  <si>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</si>
  <si>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</si>
  <si>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</si>
  <si>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</si>
  <si>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</si>
  <si>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</si>
  <si>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</si>
  <si>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</si>
  <si>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</si>
  <si>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</si>
  <si>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</si>
  <si>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</si>
  <si>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</si>
  <si>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</si>
  <si>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</si>
  <si>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</si>
  <si>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</si>
  <si>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</si>
  <si>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</si>
  <si>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</si>
  <si>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</si>
  <si>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</si>
  <si>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</si>
  <si>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</si>
  <si>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</si>
  <si>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</si>
  <si>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</si>
  <si>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</si>
  <si>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</si>
  <si>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</si>
  <si>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</si>
  <si>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</si>
  <si>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</si>
  <si>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</si>
  <si>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</si>
  <si>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</si>
  <si>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</si>
  <si>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</si>
  <si>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</si>
  <si>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</si>
  <si>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</si>
  <si>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</si>
  <si>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</si>
  <si>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</si>
  <si>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</si>
  <si>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</si>
  <si>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</si>
  <si>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</si>
  <si>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</si>
  <si>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</si>
  <si>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</si>
  <si>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</si>
  <si>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</si>
  <si>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</si>
  <si>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</si>
  <si>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</si>
  <si>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</si>
  <si>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</si>
  <si>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</si>
  <si>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</si>
  <si>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</si>
  <si>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</si>
  <si>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</si>
  <si>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</si>
  <si>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</si>
  <si>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</si>
  <si>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</si>
  <si>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</si>
  <si>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</si>
  <si>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</si>
  <si>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</si>
  <si>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</si>
  <si>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</si>
  <si>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</si>
  <si>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</si>
  <si>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</si>
  <si>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</si>
  <si>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</si>
  <si>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</si>
  <si>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</si>
  <si>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</si>
  <si>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</si>
  <si>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</si>
  <si>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</si>
  <si>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</si>
  <si>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</si>
  <si>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</si>
  <si>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</si>
  <si>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</si>
  <si>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</si>
  <si>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</si>
  <si>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</si>
  <si>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</si>
  <si>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</si>
  <si>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</si>
  <si>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</si>
  <si>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</si>
  <si>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</si>
  <si>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</si>
  <si>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</si>
  <si>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</si>
  <si>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</si>
  <si>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</si>
  <si>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</si>
  <si>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</si>
  <si>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</si>
  <si>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</si>
  <si>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</si>
  <si>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</si>
  <si>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</si>
  <si>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</si>
  <si>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</si>
  <si>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</si>
  <si>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</si>
  <si>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</si>
  <si>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</si>
  <si>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</si>
  <si>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</si>
  <si>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</si>
  <si>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</si>
  <si>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</si>
  <si>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</si>
  <si>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</si>
  <si>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</si>
  <si>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</si>
  <si>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</si>
  <si>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</si>
  <si>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</si>
  <si>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</si>
  <si>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</si>
  <si>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</si>
  <si>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</si>
  <si>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</si>
  <si>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</si>
  <si>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</si>
  <si>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</si>
  <si>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</si>
  <si>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</si>
  <si>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</si>
  <si>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</si>
  <si>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</si>
  <si>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</si>
  <si>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</si>
  <si>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</si>
  <si>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</si>
  <si>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</si>
  <si>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</si>
  <si>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</si>
  <si>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</si>
  <si>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</si>
  <si>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</si>
  <si>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</si>
  <si>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</si>
  <si>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</si>
  <si>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</si>
  <si>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</si>
  <si>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</si>
  <si>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</si>
  <si>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</si>
  <si>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</si>
  <si>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</si>
  <si>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</si>
  <si>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</si>
  <si>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</si>
  <si>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</si>
  <si>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</si>
  <si>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</si>
  <si>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</si>
  <si>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</si>
  <si>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</si>
  <si>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</si>
  <si>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</si>
  <si>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</si>
  <si>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</si>
  <si>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</si>
  <si>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</si>
  <si>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</si>
  <si>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</si>
  <si>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</si>
  <si>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</si>
  <si>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</si>
  <si>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</si>
  <si>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</si>
  <si>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</si>
  <si>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</si>
  <si>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</si>
  <si>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</si>
  <si>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</si>
  <si>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</si>
  <si>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</si>
  <si>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</si>
  <si>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</si>
  <si>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</si>
  <si>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</si>
  <si>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</si>
  <si>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</si>
  <si>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</si>
  <si>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</si>
  <si>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</si>
  <si>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</si>
  <si>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</si>
  <si>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</si>
  <si>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</si>
  <si>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</si>
  <si>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</si>
  <si>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</si>
  <si>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</si>
  <si>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</si>
  <si>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</si>
  <si>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</si>
  <si>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</si>
  <si>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</si>
  <si>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</si>
  <si>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</si>
  <si>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</si>
  <si>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</si>
  <si>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</si>
  <si>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</si>
  <si>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</si>
  <si>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</si>
  <si>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</si>
  <si>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</si>
  <si>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</si>
  <si>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</si>
  <si>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</si>
  <si>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</si>
  <si>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</si>
  <si>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</si>
  <si>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</si>
  <si>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</si>
  <si>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</si>
  <si>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</si>
  <si>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</si>
  <si>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</si>
  <si>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</si>
  <si>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</si>
  <si>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</si>
  <si>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</si>
  <si>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</si>
  <si>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</si>
  <si>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</si>
  <si>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</si>
  <si>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</si>
  <si>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</si>
  <si>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</si>
  <si>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</si>
  <si>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</si>
  <si>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</si>
  <si>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</si>
  <si>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</si>
  <si>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</si>
  <si>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</si>
  <si>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</si>
  <si>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</si>
  <si>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</si>
  <si>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</si>
  <si>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</si>
  <si>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</si>
  <si>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</si>
  <si>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</si>
  <si>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</si>
  <si>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</si>
  <si>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</si>
  <si>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</si>
  <si>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</si>
  <si>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</si>
  <si>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</si>
  <si>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</si>
  <si>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</si>
  <si>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</si>
  <si>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</si>
  <si>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</si>
  <si>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</si>
  <si>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</si>
  <si>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</si>
  <si>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</si>
  <si>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</si>
  <si>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</si>
  <si>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</si>
  <si>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</si>
  <si>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</si>
  <si>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</si>
  <si>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</si>
  <si>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</si>
  <si>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</si>
  <si>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</si>
  <si>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</si>
  <si>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</si>
  <si>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</si>
  <si>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</si>
  <si>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</si>
  <si>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</si>
  <si>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</si>
  <si>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</si>
  <si>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</si>
  <si>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</si>
  <si>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</si>
  <si>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</si>
  <si>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</si>
  <si>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</si>
  <si>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</si>
  <si>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</si>
  <si>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</si>
  <si>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</si>
  <si>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</si>
  <si>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</si>
  <si>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</si>
  <si>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</si>
  <si>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</si>
  <si>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</si>
  <si>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</si>
  <si>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</si>
  <si>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</si>
  <si>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</si>
  <si>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</si>
  <si>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</si>
  <si>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</si>
  <si>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</si>
  <si>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</si>
  <si>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</si>
  <si>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</si>
  <si>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</si>
  <si>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</si>
  <si>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</si>
  <si>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</si>
  <si>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</si>
  <si>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</si>
  <si>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</si>
  <si>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</si>
  <si>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</si>
  <si>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</si>
  <si>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</si>
  <si>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</si>
  <si>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</si>
  <si>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</si>
  <si>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</si>
  <si>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</si>
  <si>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</si>
  <si>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</si>
  <si>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</si>
  <si>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</si>
  <si>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</si>
  <si>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</si>
  <si>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</si>
  <si>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</si>
  <si>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</si>
  <si>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</si>
  <si>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</si>
  <si>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</si>
  <si>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</si>
  <si>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</si>
  <si>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</si>
  <si>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</si>
  <si>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</si>
  <si>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</si>
  <si>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</si>
  <si>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</si>
  <si>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</si>
  <si>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</si>
  <si>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</si>
  <si>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</si>
  <si>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</si>
  <si>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</si>
  <si>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</si>
  <si>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</si>
  <si>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</si>
  <si>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</si>
  <si>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</si>
  <si>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</si>
  <si>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</si>
  <si>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</si>
  <si>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</si>
  <si>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</si>
  <si>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</si>
  <si>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</si>
  <si>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</si>
  <si>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</si>
  <si>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</si>
  <si>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</si>
  <si>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</si>
  <si>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</si>
  <si>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</si>
  <si>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</si>
  <si>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</si>
  <si>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</si>
  <si>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</si>
  <si>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</si>
  <si>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</si>
  <si>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</si>
  <si>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</si>
  <si>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</si>
  <si>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</si>
  <si>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</si>
  <si>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</si>
  <si>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</si>
  <si>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</si>
  <si>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</si>
  <si>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</si>
  <si>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</si>
  <si>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</si>
  <si>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</si>
  <si>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</si>
  <si>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</si>
  <si>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</si>
  <si>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</si>
  <si>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</si>
  <si>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</si>
  <si>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</si>
  <si>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</si>
  <si>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</si>
  <si>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</si>
  <si>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</si>
  <si>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</si>
  <si>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</si>
  <si>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</si>
  <si>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</si>
  <si>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</si>
  <si>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</si>
  <si>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</si>
  <si>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</si>
  <si>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</si>
  <si>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</si>
  <si>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</si>
  <si>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</si>
  <si>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</si>
  <si>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</si>
  <si>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</si>
  <si>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</si>
  <si>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</si>
  <si>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</si>
  <si>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</si>
  <si>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</si>
  <si>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</si>
  <si>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</si>
  <si>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</si>
  <si>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</si>
  <si>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</si>
  <si>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</si>
  <si>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</si>
  <si>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</si>
  <si>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</si>
  <si>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</si>
  <si>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</si>
  <si>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</si>
  <si>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</si>
  <si>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</si>
  <si>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</si>
  <si>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</si>
  <si>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</si>
  <si>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</si>
  <si>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</si>
  <si>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</si>
  <si>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</si>
  <si>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</si>
  <si>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</si>
  <si>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</si>
  <si>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</si>
  <si>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</si>
  <si>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</si>
  <si>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</si>
  <si>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</si>
  <si>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</si>
  <si>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</si>
  <si>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</si>
  <si>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</si>
  <si>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</si>
  <si>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</si>
  <si>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</si>
  <si>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</si>
  <si>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</si>
  <si>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</si>
  <si>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</si>
  <si>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</si>
  <si>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</si>
  <si>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</si>
  <si>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</si>
  <si>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</si>
  <si>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</si>
  <si>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</si>
  <si>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</si>
  <si>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</si>
  <si>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</si>
  <si>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</si>
  <si>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</si>
  <si>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</si>
  <si>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</si>
  <si>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</si>
  <si>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</si>
  <si>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</si>
  <si>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</si>
  <si>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</si>
  <si>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</si>
  <si>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</si>
  <si>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</si>
  <si>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</si>
  <si>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</si>
  <si>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</si>
  <si>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</si>
  <si>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</si>
  <si>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</si>
  <si>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</si>
  <si>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</si>
  <si>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</si>
  <si>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</si>
  <si>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</si>
  <si>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</si>
  <si>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</si>
  <si>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</si>
  <si>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</si>
  <si>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</si>
  <si>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</si>
  <si>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</si>
  <si>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</si>
  <si>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</si>
  <si>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</si>
  <si>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</si>
  <si>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</si>
  <si>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</si>
  <si>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</si>
  <si>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</si>
  <si>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</si>
  <si>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</si>
  <si>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</si>
  <si>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</si>
  <si>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</si>
  <si>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</si>
  <si>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</si>
  <si>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</si>
  <si>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</si>
  <si>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</si>
  <si>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</si>
  <si>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</si>
  <si>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</si>
  <si>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</si>
  <si>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</si>
  <si>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</si>
  <si>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</si>
  <si>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</si>
  <si>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</si>
  <si>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</si>
  <si>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</si>
  <si>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</si>
  <si>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</si>
  <si>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</si>
  <si>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</si>
  <si>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</si>
  <si>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</si>
  <si>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</si>
  <si>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</si>
  <si>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</si>
  <si>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</si>
  <si>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</si>
  <si>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</si>
  <si>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</si>
  <si>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</si>
  <si>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</si>
  <si>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</si>
  <si>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</si>
  <si>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</si>
  <si>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</si>
  <si>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</si>
  <si>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</si>
  <si>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</si>
  <si>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</si>
  <si>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</si>
  <si>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</si>
  <si>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</si>
  <si>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</si>
  <si>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</si>
  <si>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</si>
  <si>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</si>
  <si>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</si>
  <si>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</si>
  <si>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</si>
  <si>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</si>
  <si>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</si>
  <si>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</si>
  <si>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</si>
  <si>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</si>
  <si>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</si>
  <si>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</si>
  <si>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</si>
  <si>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</si>
  <si>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</si>
  <si>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</si>
  <si>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</si>
  <si>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</si>
  <si>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</si>
  <si>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</si>
  <si>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</si>
  <si>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</si>
  <si>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</si>
  <si>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</si>
  <si>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</si>
  <si>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</si>
  <si>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</si>
  <si>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</si>
  <si>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</si>
  <si>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</si>
  <si>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</si>
  <si>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</si>
  <si>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</si>
  <si>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</si>
  <si>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</si>
  <si>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</si>
  <si>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</si>
  <si>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</si>
  <si>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</si>
  <si>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</si>
  <si>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</si>
  <si>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</si>
  <si>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</si>
  <si>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</si>
  <si>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</si>
  <si>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</si>
  <si>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</si>
  <si>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</si>
  <si>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</si>
  <si>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</si>
  <si>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</si>
  <si>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</si>
  <si>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</si>
  <si>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</si>
  <si>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</si>
  <si>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</si>
  <si>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</si>
  <si>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</si>
  <si>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</si>
  <si>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</si>
  <si>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</si>
  <si>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</si>
  <si>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</si>
  <si>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</si>
  <si>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</si>
  <si>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</si>
  <si>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</si>
  <si>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</si>
  <si>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</si>
  <si>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</si>
  <si>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</si>
  <si>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</si>
  <si>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</si>
  <si>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</si>
  <si>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</si>
  <si>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</si>
  <si>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</si>
  <si>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</si>
  <si>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</si>
  <si>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</si>
  <si>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</si>
  <si>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</si>
  <si>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</si>
  <si>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</si>
  <si>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</si>
  <si>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</si>
  <si>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</si>
  <si>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</si>
  <si>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</si>
  <si>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</si>
  <si>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</si>
  <si>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</si>
  <si>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</si>
  <si>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</si>
  <si>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</si>
  <si>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</si>
  <si>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</si>
  <si>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</si>
  <si>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</si>
  <si>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</si>
  <si>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</si>
  <si>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</si>
  <si>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</si>
  <si>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</si>
  <si>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</si>
  <si>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</si>
  <si>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</si>
  <si>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</si>
  <si>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</si>
  <si>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</si>
  <si>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</si>
  <si>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</si>
  <si>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</si>
  <si>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</si>
  <si>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</si>
  <si>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</si>
  <si>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</si>
  <si>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</si>
  <si>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</si>
  <si>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</si>
  <si>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</si>
  <si>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</si>
  <si>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</si>
  <si>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</si>
  <si>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</si>
  <si>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</si>
  <si>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</si>
  <si>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</si>
  <si>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</si>
  <si>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</si>
  <si>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</si>
  <si>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</si>
  <si>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</si>
  <si>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</si>
  <si>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</si>
  <si>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</si>
  <si>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</si>
  <si>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</si>
  <si>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</si>
  <si>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</si>
  <si>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</si>
  <si>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</si>
  <si>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</si>
  <si>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</si>
  <si>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</si>
  <si>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</si>
  <si>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</si>
  <si>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</si>
  <si>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</si>
  <si>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</si>
  <si>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</si>
  <si>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</si>
  <si>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</si>
  <si>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</si>
  <si>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</si>
  <si>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</si>
  <si>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</si>
  <si>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</si>
  <si>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</si>
  <si>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</si>
  <si>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</si>
  <si>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</si>
  <si>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</si>
  <si>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</si>
  <si>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</si>
  <si>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</si>
  <si>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</si>
  <si>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</si>
  <si>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</si>
  <si>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</si>
  <si>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</si>
  <si>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</si>
  <si>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</si>
  <si>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</si>
  <si>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</si>
  <si>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</si>
  <si>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</si>
  <si>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</si>
  <si>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</si>
  <si>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</si>
  <si>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</si>
  <si>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</si>
  <si>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</si>
  <si>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</si>
  <si>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</si>
  <si>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</si>
  <si>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</si>
  <si>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</si>
  <si>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</si>
  <si>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</si>
  <si>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</si>
  <si>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</si>
  <si>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</si>
  <si>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</si>
  <si>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</si>
  <si>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</si>
  <si>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</si>
  <si>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</si>
  <si>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</si>
  <si>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</si>
  <si>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</si>
  <si>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</si>
  <si>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</si>
  <si>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</si>
  <si>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</si>
  <si>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</si>
  <si>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</si>
  <si>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</si>
  <si>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</si>
  <si>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</si>
  <si>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</si>
  <si>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</si>
  <si>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</si>
  <si>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</si>
  <si>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</si>
  <si>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</si>
  <si>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</si>
  <si>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</si>
  <si>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</si>
  <si>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</si>
  <si>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</si>
  <si>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</si>
  <si>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</si>
  <si>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</si>
  <si>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</si>
  <si>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</si>
  <si>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</si>
  <si>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</si>
  <si>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</si>
  <si>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</si>
  <si>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</si>
  <si>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</si>
  <si>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</si>
  <si>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</si>
  <si>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</si>
  <si>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</si>
  <si>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</si>
  <si>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</si>
  <si>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</si>
  <si>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</si>
  <si>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</si>
  <si>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</si>
  <si>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</si>
  <si>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</si>
  <si>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</si>
  <si>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</si>
  <si>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</si>
  <si>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</si>
  <si>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</si>
  <si>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</si>
  <si>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</si>
  <si>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</si>
  <si>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</si>
  <si>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</si>
  <si>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</si>
  <si>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</si>
  <si>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</si>
  <si>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</si>
  <si>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</si>
  <si>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</si>
  <si>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</si>
  <si>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</si>
  <si>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</si>
  <si>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</si>
  <si>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</si>
  <si>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</si>
  <si>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</si>
  <si>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</si>
  <si>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</si>
  <si>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</si>
  <si>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</si>
  <si>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</si>
  <si>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</si>
  <si>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</si>
  <si>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</si>
  <si>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</si>
  <si>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</si>
  <si>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</si>
  <si>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</si>
  <si>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</si>
  <si>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</si>
  <si>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</si>
  <si>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</si>
  <si>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</si>
  <si>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</si>
  <si>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</si>
  <si>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</si>
  <si>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</si>
  <si>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</si>
  <si>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</si>
  <si>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</si>
  <si>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</si>
  <si>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</si>
  <si>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</si>
  <si>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</si>
  <si>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</si>
  <si>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</si>
  <si>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</si>
  <si>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</si>
  <si>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</si>
  <si>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</si>
  <si>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</si>
  <si>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</si>
  <si>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</si>
  <si>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</si>
  <si>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</si>
  <si>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</si>
  <si>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</si>
  <si>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</si>
  <si>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</si>
  <si>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</si>
  <si>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</si>
  <si>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</si>
  <si>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</si>
  <si>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</si>
  <si>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</si>
  <si>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</si>
  <si>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</si>
  <si>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</si>
  <si>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</si>
  <si>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</si>
  <si>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</si>
  <si>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</si>
  <si>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</si>
  <si>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</si>
  <si>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</si>
  <si>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</si>
  <si>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</si>
  <si>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</si>
  <si>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</si>
  <si>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</si>
  <si>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</si>
  <si>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</si>
  <si>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</si>
  <si>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</si>
  <si>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</si>
  <si>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</si>
  <si>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</si>
  <si>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</si>
  <si>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</si>
  <si>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</si>
  <si>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</si>
  <si>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</si>
  <si>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</si>
  <si>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</si>
  <si>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</si>
  <si>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</si>
  <si>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</si>
  <si>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</si>
  <si>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</si>
  <si>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</si>
  <si>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</si>
  <si>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</si>
  <si>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</si>
  <si>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</si>
  <si>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</si>
  <si>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</si>
  <si>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</si>
  <si>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</si>
  <si>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</si>
  <si>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</si>
  <si>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</si>
  <si>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</si>
  <si>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</si>
  <si>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</si>
  <si>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</si>
  <si>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</si>
  <si>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</si>
  <si>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</si>
  <si>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</si>
  <si>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</si>
  <si>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</si>
  <si>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</si>
  <si>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</si>
  <si>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</si>
  <si>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</si>
  <si>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</si>
  <si>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</si>
  <si>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</si>
  <si>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</si>
  <si>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</si>
  <si>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</si>
  <si>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</si>
  <si>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</si>
  <si>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</si>
  <si>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</si>
  <si>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</si>
  <si>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</si>
  <si>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</si>
  <si>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</si>
  <si>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</si>
  <si>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</si>
  <si>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</si>
  <si>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</si>
  <si>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</si>
  <si>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</si>
  <si>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</si>
  <si>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</si>
  <si>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</si>
  <si>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</si>
  <si>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</si>
  <si>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</si>
  <si>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</si>
  <si>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</si>
  <si>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</si>
  <si>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</si>
  <si>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</si>
  <si>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</si>
  <si>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</si>
  <si>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</si>
  <si>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</si>
  <si>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</si>
  <si>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</si>
  <si>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</si>
  <si>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</si>
  <si>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</si>
  <si>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</si>
  <si>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</si>
  <si>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</si>
  <si>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</si>
  <si>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</si>
  <si>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</si>
  <si>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</si>
  <si>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</si>
  <si>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</si>
  <si>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</si>
  <si>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</si>
  <si>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</si>
  <si>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</si>
  <si>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</si>
  <si>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</si>
  <si>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</si>
  <si>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</si>
  <si>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</si>
  <si>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</si>
  <si>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</si>
  <si>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</si>
  <si>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</si>
  <si>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</si>
  <si>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</si>
  <si>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</si>
  <si>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</si>
  <si>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</si>
  <si>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</si>
  <si>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</si>
  <si>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</si>
  <si>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</si>
  <si>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</si>
  <si>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</si>
  <si>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</si>
  <si>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</si>
  <si>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</si>
  <si>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</si>
  <si>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</si>
  <si>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</si>
  <si>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</si>
  <si>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</si>
  <si>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</si>
  <si>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</si>
  <si>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</si>
  <si>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</si>
  <si>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</si>
  <si>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</si>
  <si>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</si>
  <si>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</si>
  <si>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</si>
  <si>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</si>
  <si>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</si>
  <si>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</si>
  <si>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</si>
  <si>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</si>
  <si>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</si>
  <si>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</si>
  <si>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</si>
  <si>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</si>
  <si>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</si>
  <si>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</si>
  <si>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</si>
  <si>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</si>
  <si>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</si>
  <si>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</si>
  <si>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</si>
  <si>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</si>
  <si>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</si>
  <si>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</si>
  <si>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</si>
  <si>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</si>
  <si>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</si>
  <si>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</si>
  <si>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</si>
  <si>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</si>
  <si>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</si>
  <si>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</si>
  <si>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</si>
  <si>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</si>
  <si>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</si>
  <si>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</si>
  <si>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</si>
  <si>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</si>
  <si>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</si>
  <si>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</si>
  <si>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</si>
  <si>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</si>
  <si>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</si>
  <si>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</si>
  <si>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</si>
  <si>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</si>
  <si>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</si>
  <si>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</si>
  <si>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</si>
  <si>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</si>
  <si>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</si>
  <si>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</si>
  <si>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</si>
  <si>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</si>
  <si>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</si>
  <si>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</si>
  <si>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</si>
  <si>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</si>
  <si>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</si>
  <si>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</si>
  <si>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</si>
  <si>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</si>
  <si>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</si>
  <si>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</si>
  <si>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</si>
  <si>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</si>
  <si>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</si>
  <si>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</si>
  <si>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</si>
  <si>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</si>
  <si>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</si>
  <si>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</si>
  <si>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</si>
  <si>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</si>
  <si>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</si>
  <si>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</si>
  <si>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</si>
  <si>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</si>
  <si>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</si>
  <si>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</si>
  <si>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</si>
  <si>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</si>
  <si>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</si>
  <si>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</si>
  <si>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</si>
  <si>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</si>
  <si>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</si>
  <si>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</si>
  <si>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</si>
  <si>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</si>
  <si>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</si>
  <si>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</si>
  <si>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</si>
  <si>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</si>
  <si>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</si>
  <si>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</si>
  <si>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</si>
  <si>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</si>
  <si>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</si>
  <si>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</si>
  <si>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</si>
  <si>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</si>
  <si>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</si>
  <si>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</si>
  <si>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</si>
  <si>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</si>
  <si>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</si>
  <si>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</si>
  <si>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</si>
  <si>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</si>
  <si>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</si>
  <si>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</si>
  <si>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</si>
  <si>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</si>
  <si>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</si>
  <si>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</si>
  <si>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</si>
  <si>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</si>
  <si>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</si>
  <si>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</si>
  <si>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</si>
  <si>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</si>
  <si>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</si>
  <si>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</si>
  <si>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</si>
  <si>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</si>
  <si>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</si>
  <si>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</si>
  <si>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</si>
  <si>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</si>
  <si>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</si>
  <si>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</si>
  <si>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</si>
  <si>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</si>
  <si>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</si>
  <si>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</si>
  <si>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</si>
  <si>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</si>
  <si>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</si>
  <si>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</si>
  <si>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</si>
  <si>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</si>
  <si>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</si>
  <si>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</si>
  <si>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</si>
  <si>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</si>
  <si>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</si>
  <si>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</si>
  <si>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</si>
  <si>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</si>
  <si>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</si>
  <si>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</si>
  <si>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</si>
  <si>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</si>
  <si>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</si>
  <si>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</si>
  <si>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</si>
  <si>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</si>
  <si>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</si>
  <si>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</si>
  <si>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</si>
  <si>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</si>
  <si>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</si>
  <si>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</si>
  <si>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</si>
  <si>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</si>
  <si>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</si>
  <si>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</si>
  <si>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</si>
  <si>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</si>
  <si>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</si>
  <si>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</si>
  <si>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</si>
  <si>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</si>
  <si>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</si>
  <si>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</si>
  <si>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</si>
  <si>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</si>
  <si>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</si>
  <si>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</si>
  <si>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</si>
  <si>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</si>
  <si>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</si>
  <si>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</si>
  <si>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</si>
  <si>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</si>
  <si>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</si>
  <si>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</si>
  <si>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</si>
  <si>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</si>
  <si>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</si>
  <si>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</si>
  <si>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</si>
  <si>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</si>
  <si>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</si>
  <si>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</si>
  <si>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</si>
  <si>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</si>
  <si>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</si>
  <si>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</si>
  <si>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</si>
  <si>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</si>
  <si>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</si>
  <si>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</si>
  <si>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</si>
  <si>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</si>
  <si>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</si>
  <si>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</si>
  <si>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</si>
  <si>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</si>
  <si>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</si>
  <si>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</si>
  <si>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</si>
  <si>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</si>
  <si>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</si>
  <si>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</si>
  <si>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</si>
  <si>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</si>
  <si>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</si>
  <si>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</si>
  <si>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</si>
  <si>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</si>
  <si>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</si>
  <si>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</si>
  <si>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</si>
  <si>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</si>
  <si>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</si>
  <si>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</si>
  <si>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</si>
  <si>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</si>
  <si>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</si>
  <si>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</si>
  <si>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</si>
  <si>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</si>
  <si>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</si>
  <si>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</si>
  <si>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</si>
  <si>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</si>
  <si>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</si>
  <si>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</si>
  <si>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</si>
  <si>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</si>
  <si>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</si>
  <si>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</si>
  <si>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</si>
  <si>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</si>
  <si>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</si>
  <si>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</si>
  <si>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</si>
  <si>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</si>
  <si>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</si>
  <si>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</si>
  <si>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</si>
  <si>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</si>
  <si>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</si>
  <si>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</si>
  <si>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</si>
  <si>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</si>
  <si>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</si>
  <si>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</si>
  <si>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</si>
  <si>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</si>
  <si>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</si>
  <si>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</si>
  <si>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</si>
  <si>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</si>
  <si>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</si>
  <si>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</si>
  <si>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</si>
  <si>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</si>
  <si>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</si>
  <si>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</si>
  <si>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</si>
  <si>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</si>
  <si>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</si>
  <si>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</si>
  <si>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</si>
  <si>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</si>
  <si>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</si>
  <si>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</si>
  <si>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</si>
  <si>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</si>
  <si>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</si>
  <si>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</si>
  <si>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</si>
  <si>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</si>
  <si>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</si>
  <si>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</si>
  <si>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</si>
  <si>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</si>
  <si>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</si>
  <si>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</si>
  <si>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</si>
  <si>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</si>
  <si>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</si>
  <si>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</si>
  <si>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</si>
  <si>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</si>
  <si>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</si>
  <si>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</si>
  <si>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</si>
  <si>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</si>
  <si>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</si>
  <si>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</si>
  <si>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</si>
  <si>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</si>
  <si>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</si>
  <si>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</si>
  <si>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</si>
  <si>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</si>
  <si>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</si>
  <si>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</si>
  <si>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</si>
  <si>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</si>
  <si>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</si>
  <si>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</si>
  <si>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</si>
  <si>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</si>
  <si>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</si>
  <si>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</si>
  <si>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</si>
  <si>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</si>
  <si>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</si>
  <si>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</si>
  <si>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</si>
  <si>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</si>
  <si>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</si>
  <si>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</si>
  <si>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</si>
  <si>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</si>
  <si>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</si>
  <si>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</si>
  <si>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</si>
  <si>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</si>
  <si>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</si>
  <si>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</si>
  <si>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</si>
  <si>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</si>
  <si>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</si>
  <si>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</si>
  <si>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</si>
  <si>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</si>
  <si>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</si>
  <si>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</si>
  <si>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</si>
  <si>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</si>
  <si>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</si>
  <si>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</si>
  <si>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</si>
  <si>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</si>
  <si>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</si>
  <si>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</si>
  <si>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</si>
  <si>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</si>
  <si>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</si>
  <si>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</si>
  <si>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</si>
  <si>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</si>
  <si>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</si>
  <si>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</si>
  <si>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</si>
  <si>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</si>
  <si>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</si>
  <si>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</si>
  <si>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</si>
  <si>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</si>
  <si>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</si>
  <si>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</si>
  <si>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</si>
  <si>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</si>
  <si>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</si>
  <si>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</si>
  <si>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</si>
  <si>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</si>
  <si>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</si>
  <si>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</si>
  <si>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</si>
  <si>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</si>
  <si>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</si>
  <si>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</si>
  <si>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</si>
  <si>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</si>
  <si>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</si>
  <si>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</si>
  <si>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</si>
  <si>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</si>
  <si>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</si>
  <si>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</si>
  <si>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</si>
  <si>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</si>
  <si>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</si>
  <si>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</si>
  <si>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</si>
  <si>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</si>
  <si>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</si>
  <si>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</si>
  <si>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</si>
  <si>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</si>
  <si>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</si>
  <si>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</si>
  <si>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</si>
  <si>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</si>
  <si>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</si>
  <si>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</si>
  <si>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</si>
  <si>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</si>
  <si>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</si>
  <si>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</si>
  <si>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</si>
  <si>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</si>
  <si>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</si>
  <si>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</si>
  <si>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</si>
  <si>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</si>
  <si>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</si>
  <si>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</si>
  <si>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</si>
  <si>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</si>
  <si>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</si>
  <si>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</si>
  <si>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</si>
  <si>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</si>
  <si>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</si>
  <si>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</si>
  <si>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</si>
  <si>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</si>
  <si>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</si>
  <si>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</si>
  <si>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</si>
  <si>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</si>
  <si>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</si>
  <si>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</si>
  <si>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</si>
  <si>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</si>
  <si>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</si>
  <si>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</si>
  <si>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</si>
  <si>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</si>
  <si>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</si>
  <si>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</si>
  <si>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</si>
  <si>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</si>
  <si>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</si>
  <si>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</si>
  <si>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</si>
  <si>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</si>
  <si>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</si>
  <si>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</si>
  <si>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</si>
  <si>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</si>
  <si>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</si>
  <si>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</si>
  <si>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</si>
  <si>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</si>
  <si>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</si>
  <si>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</si>
  <si>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</si>
  <si>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</si>
  <si>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</si>
  <si>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</si>
  <si>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</si>
  <si>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</si>
  <si>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</si>
  <si>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</si>
  <si>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</si>
  <si>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</si>
  <si>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</si>
  <si>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</si>
  <si>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</si>
  <si>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</si>
  <si>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</si>
  <si>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</si>
  <si>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</si>
  <si>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</si>
  <si>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</si>
  <si>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</si>
  <si>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</si>
  <si>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</si>
  <si>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</si>
  <si>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</si>
  <si>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</si>
  <si>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</si>
  <si>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</si>
  <si>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</si>
  <si>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</si>
  <si>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</si>
  <si>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</si>
  <si>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</si>
  <si>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</si>
  <si>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</si>
  <si>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</si>
  <si>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</si>
  <si>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</si>
  <si>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</si>
  <si>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</si>
  <si>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</si>
  <si>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</si>
  <si>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</si>
  <si>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</si>
  <si>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</si>
  <si>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</si>
  <si>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</si>
  <si>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</si>
  <si>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</si>
  <si>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</si>
  <si>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</si>
  <si>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</si>
  <si>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</si>
  <si>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</si>
  <si>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</si>
  <si>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</si>
  <si>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</si>
  <si>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</si>
  <si>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恒丰</t>
    <phoneticPr fontId="6" type="noConversion"/>
  </si>
  <si>
    <t>抵押</t>
  </si>
  <si>
    <t>房地产抵押价值</t>
  </si>
  <si>
    <t>北京市</t>
  </si>
  <si>
    <t>企业</t>
  </si>
  <si>
    <t>综合项目（居住、综合）</t>
  </si>
  <si>
    <t>无</t>
  </si>
  <si>
    <t>否</t>
  </si>
  <si>
    <t>总建筑面积</t>
    <phoneticPr fontId="134" type="noConversion"/>
  </si>
  <si>
    <t>地上建筑面积</t>
    <phoneticPr fontId="134" type="noConversion"/>
  </si>
  <si>
    <t>楼号</t>
    <phoneticPr fontId="134" type="noConversion"/>
  </si>
  <si>
    <t>人防出入口</t>
    <phoneticPr fontId="134" type="noConversion"/>
  </si>
  <si>
    <t>地下建筑面积</t>
    <phoneticPr fontId="134" type="noConversion"/>
  </si>
  <si>
    <t>合计</t>
    <phoneticPr fontId="134" type="noConversion"/>
  </si>
  <si>
    <t>设备用房</t>
    <phoneticPr fontId="134" type="noConversion"/>
  </si>
  <si>
    <t>车库</t>
    <phoneticPr fontId="134" type="noConversion"/>
  </si>
  <si>
    <t>人防工程</t>
    <phoneticPr fontId="134" type="noConversion"/>
  </si>
  <si>
    <t>层数</t>
    <phoneticPr fontId="134" type="noConversion"/>
  </si>
  <si>
    <t>地上</t>
    <phoneticPr fontId="134" type="noConversion"/>
  </si>
  <si>
    <t>地下</t>
    <phoneticPr fontId="134" type="noConversion"/>
  </si>
  <si>
    <t>是</t>
  </si>
  <si>
    <t>土地面积</t>
    <phoneticPr fontId="134" type="noConversion"/>
  </si>
  <si>
    <t>楼号</t>
    <phoneticPr fontId="134" type="noConversion"/>
  </si>
  <si>
    <r>
      <rPr>
        <sz val="10"/>
        <color theme="9" tint="-0.249977111117893"/>
        <rFont val="宋体"/>
        <family val="3"/>
        <charset val="134"/>
      </rPr>
      <t>顺义区仁和镇临河村棚户区改造土地开发</t>
    </r>
    <r>
      <rPr>
        <sz val="10"/>
        <color theme="9" tint="-0.249977111117893"/>
        <rFont val="Arial"/>
        <family val="2"/>
      </rPr>
      <t>C</t>
    </r>
    <r>
      <rPr>
        <sz val="10"/>
        <color theme="9" tint="-0.249977111117893"/>
        <rFont val="宋体"/>
        <family val="3"/>
        <charset val="134"/>
      </rPr>
      <t>片区</t>
    </r>
    <r>
      <rPr>
        <sz val="10"/>
        <color theme="9" tint="-0.249977111117893"/>
        <rFont val="Arial"/>
        <family val="2"/>
      </rPr>
      <t>SY00-0007-6057</t>
    </r>
    <r>
      <rPr>
        <sz val="10"/>
        <color theme="9" tint="-0.249977111117893"/>
        <rFont val="宋体"/>
        <family val="3"/>
        <charset val="134"/>
      </rPr>
      <t>地块商业用地及</t>
    </r>
    <r>
      <rPr>
        <sz val="10"/>
        <color theme="9" tint="-0.249977111117893"/>
        <rFont val="Arial"/>
        <family val="2"/>
      </rPr>
      <t>SY00-0007-6070</t>
    </r>
    <r>
      <rPr>
        <sz val="10"/>
        <color theme="9" tint="-0.249977111117893"/>
        <rFont val="宋体"/>
        <family val="3"/>
        <charset val="134"/>
      </rPr>
      <t>地块其他类多功能（部分）分摊用地出让国有建设用地使用权及在建建筑物、顺义区河兴北街</t>
    </r>
    <r>
      <rPr>
        <sz val="10"/>
        <color theme="9" tint="-0.249977111117893"/>
        <rFont val="Arial"/>
        <family val="2"/>
      </rPr>
      <t>51</t>
    </r>
    <r>
      <rPr>
        <sz val="10"/>
        <color theme="9" tint="-0.249977111117893"/>
        <rFont val="宋体"/>
        <family val="3"/>
        <charset val="134"/>
      </rPr>
      <t>号院、安林路</t>
    </r>
    <r>
      <rPr>
        <sz val="10"/>
        <color theme="9" tint="-0.249977111117893"/>
        <rFont val="Arial"/>
        <family val="2"/>
      </rPr>
      <t>3</t>
    </r>
    <r>
      <rPr>
        <sz val="10"/>
        <color theme="9" tint="-0.249977111117893"/>
        <rFont val="宋体"/>
        <family val="3"/>
        <charset val="134"/>
      </rPr>
      <t>号院、安林路</t>
    </r>
    <r>
      <rPr>
        <sz val="10"/>
        <color theme="9" tint="-0.249977111117893"/>
        <rFont val="Arial"/>
        <family val="2"/>
      </rPr>
      <t>2</t>
    </r>
    <r>
      <rPr>
        <sz val="10"/>
        <color theme="9" tint="-0.249977111117893"/>
        <rFont val="宋体"/>
        <family val="3"/>
        <charset val="134"/>
      </rPr>
      <t>号院部分住宅、地下车位用房房地产</t>
    </r>
    <phoneticPr fontId="6" type="noConversion"/>
  </si>
  <si>
    <t>地上</t>
  </si>
  <si>
    <t>工程进度</t>
  </si>
  <si>
    <t>工程进度</t>
    <phoneticPr fontId="134" type="noConversion"/>
  </si>
  <si>
    <t>赋予比例</t>
    <phoneticPr fontId="134" type="noConversion"/>
  </si>
  <si>
    <t>综合进度</t>
    <phoneticPr fontId="134" type="noConversion"/>
  </si>
  <si>
    <t>地下</t>
  </si>
  <si>
    <t>序号</t>
  </si>
  <si>
    <t>《不动产权证书》证号</t>
  </si>
  <si>
    <t>《不动产登记证明》编号</t>
  </si>
  <si>
    <t>坐落地址</t>
  </si>
  <si>
    <t>产品类型</t>
  </si>
  <si>
    <t>面积（㎡）</t>
  </si>
  <si>
    <t>京（2024）顺不动产证明第0004560号</t>
  </si>
  <si>
    <t>北京市顺义区仁和镇临河村棚户区改造土地开发C片区SY00-0007-6057地块商业用地</t>
  </si>
  <si>
    <t>商业用地</t>
  </si>
  <si>
    <t>分摊土地面积6542.04平方米、在建工程/房屋建筑面积23997.30平方米</t>
  </si>
  <si>
    <t>京（2021）顺不动产权第0002501号</t>
  </si>
  <si>
    <t>京（2024）顺不动产证明第0004568号</t>
  </si>
  <si>
    <t>北京市顺义区仁和镇临河村棚户区改造土地开发C片区SY00-0007-6070地块其他类多功能用地</t>
  </si>
  <si>
    <t>分摊土地面积11497.38平方米、在建工程/房屋建筑面积29791.06平方米</t>
  </si>
  <si>
    <t>抵押物清单</t>
    <phoneticPr fontId="134" type="noConversion"/>
  </si>
  <si>
    <t>建安</t>
  </si>
  <si>
    <t>主体</t>
  </si>
  <si>
    <t>装修</t>
  </si>
  <si>
    <t>设备</t>
  </si>
  <si>
    <t>室外工程</t>
  </si>
  <si>
    <t>建面</t>
  </si>
  <si>
    <t>合计</t>
  </si>
  <si>
    <t>单方建安</t>
  </si>
  <si>
    <t>占比</t>
  </si>
  <si>
    <t>人防设备</t>
  </si>
  <si>
    <t>综合平均</t>
  </si>
  <si>
    <t>面积</t>
    <phoneticPr fontId="134" type="noConversion"/>
  </si>
  <si>
    <t>单方</t>
    <phoneticPr fontId="134" type="noConversion"/>
  </si>
  <si>
    <t>计算工程进度</t>
  </si>
  <si>
    <t>项目全部</t>
    <phoneticPr fontId="3" type="noConversion"/>
  </si>
  <si>
    <t>酒店</t>
    <phoneticPr fontId="134" type="noConversion"/>
  </si>
  <si>
    <t>估价对象</t>
    <phoneticPr fontId="3" type="noConversion"/>
  </si>
  <si>
    <t>设备及其他</t>
    <phoneticPr fontId="3" type="noConversion"/>
  </si>
  <si>
    <t>建安合计</t>
    <phoneticPr fontId="3" type="noConversion"/>
  </si>
  <si>
    <t>加室外工程合计</t>
    <phoneticPr fontId="3" type="noConversion"/>
  </si>
  <si>
    <t>按比例</t>
  </si>
  <si>
    <t>标准房</t>
    <phoneticPr fontId="3" type="noConversion"/>
  </si>
  <si>
    <t>在建（套用方法）</t>
  </si>
  <si>
    <t>地块名称</t>
  </si>
  <si>
    <t>城市</t>
  </si>
  <si>
    <t>区县</t>
  </si>
  <si>
    <t>板块</t>
  </si>
  <si>
    <t>地块编号</t>
  </si>
  <si>
    <t>建设用地面积(㎡)</t>
  </si>
  <si>
    <t>规划建筑面积(㎡)</t>
  </si>
  <si>
    <t>用地性质</t>
  </si>
  <si>
    <t>详细规划</t>
  </si>
  <si>
    <t>出让年限(年)</t>
  </si>
  <si>
    <t>容积率</t>
  </si>
  <si>
    <t>商业比例(%)</t>
  </si>
  <si>
    <t>出让方式</t>
  </si>
  <si>
    <t>集中供地</t>
  </si>
  <si>
    <t>成交特殊政策</t>
  </si>
  <si>
    <t>成交时间</t>
  </si>
  <si>
    <t>开工进度</t>
  </si>
  <si>
    <t>受让单位</t>
  </si>
  <si>
    <t>成交价(万元)</t>
  </si>
  <si>
    <t>成交土地单价(元/㎡)</t>
  </si>
  <si>
    <t>成交每亩价(万元/亩)</t>
  </si>
  <si>
    <t>成交楼面价(元/㎡)</t>
  </si>
  <si>
    <t>成交楼面价(除保障房)(元/㎡)</t>
  </si>
  <si>
    <t>溢价率(%)</t>
  </si>
  <si>
    <t>限地价(万元)</t>
  </si>
  <si>
    <t>政府指导价(元/㎡)</t>
  </si>
  <si>
    <t>限售价(元/㎡)</t>
  </si>
  <si>
    <t>基准地价</t>
  </si>
  <si>
    <t>项目名称</t>
  </si>
  <si>
    <t>北京市顺义区顺义新城0201街区东风商场片区项目SY00-0201-116地块B1商业用地</t>
  </si>
  <si>
    <t>顺义区</t>
  </si>
  <si>
    <t>胜利</t>
  </si>
  <si>
    <t>京土储挂(顺)[2025]005号</t>
  </si>
  <si>
    <t>商业/办公用地</t>
  </si>
  <si>
    <t>B1商业用地</t>
  </si>
  <si>
    <t>商业 40 年</t>
  </si>
  <si>
    <t>1.50</t>
  </si>
  <si>
    <t/>
  </si>
  <si>
    <t>挂牌</t>
  </si>
  <si>
    <t>2025-02-26</t>
  </si>
  <si>
    <t>已成交</t>
  </si>
  <si>
    <t>未开工</t>
  </si>
  <si>
    <t>北京国泰东风商城有限公司</t>
  </si>
  <si>
    <t>8580元/㎡(七级办公用途2021-01-01)</t>
  </si>
  <si>
    <t>北京城市副中心站综合交通枢纽地区 FZX-0101-03单元FZX-0101-0307 (3)地块F3其他类多功能用地</t>
  </si>
  <si>
    <t>通州区</t>
  </si>
  <si>
    <t>通运</t>
  </si>
  <si>
    <t>京土储挂(通)[2025]003号</t>
  </si>
  <si>
    <t>F3其他类多功能用地</t>
  </si>
  <si>
    <t>商业40 年,办公50 年</t>
  </si>
  <si>
    <t>2.40</t>
  </si>
  <si>
    <t>2025-02-25</t>
  </si>
  <si>
    <t>北京水务投资集团有限公司</t>
  </si>
  <si>
    <t>11490元/㎡(六级办公用途2021-01-01)</t>
  </si>
  <si>
    <t>北京市海淀区六郎庄项目HD00-1010-0002、0003、0004地块F3其他类多功能用地</t>
  </si>
  <si>
    <t>海淀区</t>
  </si>
  <si>
    <t>颐和园</t>
  </si>
  <si>
    <t>京土储挂(海)[2025]001号</t>
  </si>
  <si>
    <t>商业 40 年,办公 50 年</t>
  </si>
  <si>
    <t>1.03</t>
  </si>
  <si>
    <t>2025-02-18</t>
  </si>
  <si>
    <t>北京中关村大街建设发展有限公司</t>
  </si>
  <si>
    <t>24380元/㎡(三级办公用途2021-01-01)</t>
  </si>
  <si>
    <t>大兴区榆垡镇DX09-1301-6401等地块F81集体产业用地</t>
  </si>
  <si>
    <t>大兴区</t>
  </si>
  <si>
    <t>榆垡镇</t>
  </si>
  <si>
    <t>京规自集使挂(兴)[2024]003号</t>
  </si>
  <si>
    <t>F81集体产业用地</t>
  </si>
  <si>
    <t>1</t>
  </si>
  <si>
    <t>2025-01-22</t>
  </si>
  <si>
    <t>已开工</t>
  </si>
  <si>
    <t>北京绿野晴川动物园有限公司</t>
  </si>
  <si>
    <t>4860元/㎡(九级办公用途2021-01-01)</t>
  </si>
  <si>
    <t>通州区潞城镇TZ02-0101-0009地块村庄产业用地项目(C3,商务办公等多功能用途)集体经营性建设用地</t>
  </si>
  <si>
    <t>宋庄西</t>
  </si>
  <si>
    <t>京规自挂(通)集[2024]004号</t>
  </si>
  <si>
    <t>村庄产业 用地(C3,商务办公等多功能用途)</t>
  </si>
  <si>
    <t>办公50年;商业40年</t>
  </si>
  <si>
    <t>1.30</t>
  </si>
  <si>
    <t>2024-11-28</t>
  </si>
  <si>
    <t>北京闼闼同创商务有限公司</t>
  </si>
  <si>
    <t>北京城市副中心1202街区FZX-1202-0074地块 F3其他类多功能用地国有建设用地使用权挂牌出让</t>
  </si>
  <si>
    <t>环球度假区</t>
  </si>
  <si>
    <t>商业 40 年 办公 50 年</t>
  </si>
  <si>
    <t>2.20</t>
  </si>
  <si>
    <t>2024-09-11</t>
  </si>
  <si>
    <t>北京通州鲸航置业发展有限公司</t>
  </si>
  <si>
    <t>北京大兴国际机场临空经济区 DX16-0104-0013地块F3其他类多功能用地</t>
  </si>
  <si>
    <t>礼贤镇</t>
  </si>
  <si>
    <t>京土储挂(兴临空)〔2024〕030号</t>
  </si>
  <si>
    <t>2024-09-04</t>
  </si>
  <si>
    <t>北京航城兴贤商业管理有限公司</t>
  </si>
  <si>
    <t>北京经济技术开发区亦庄新城0701 街区 N17F3地块F3其他类多功能用地</t>
  </si>
  <si>
    <t>路南区</t>
  </si>
  <si>
    <t>京土储挂(开)[2024]028号</t>
  </si>
  <si>
    <t>F3 其他类多功能用地</t>
  </si>
  <si>
    <t>商业40年,办公50年</t>
  </si>
  <si>
    <t>≤2.5</t>
  </si>
  <si>
    <t>2024-08-19</t>
  </si>
  <si>
    <t>北京海创英才安居置业有限公司</t>
  </si>
  <si>
    <t>6580元/㎡(八级办公用途2021-01-01)</t>
  </si>
  <si>
    <t>北京市顺义区天竺旧村改造土地一级开发项目SY00-2801-0149地块B4综合性商业金融服务用地</t>
  </si>
  <si>
    <t>中央别墅区</t>
  </si>
  <si>
    <t>B4综合性商业金融服务用地</t>
  </si>
  <si>
    <t>2024-07-22</t>
  </si>
  <si>
    <t>北京罗红摄影艺术文化有限公司</t>
  </si>
  <si>
    <t>北京城市副中心通州运河核心区6号地项目VIII-09瓮城遗址公园地块国有建设用地使用权出让</t>
  </si>
  <si>
    <t>乔庄</t>
  </si>
  <si>
    <t>京土储挂(通)〔2024〕018号</t>
  </si>
  <si>
    <t>其他公园绿地、地下用地</t>
  </si>
  <si>
    <t>地面层:0.04、地下一层:0.43、地下二层:0.74</t>
  </si>
  <si>
    <t>2024-06-18</t>
  </si>
  <si>
    <t>北京城市副中心投资建设集团有限公司</t>
  </si>
  <si>
    <t>14980元/㎡(五级办公用途2021-01-01)</t>
  </si>
  <si>
    <t>北京市海淀区温泉镇中心区F16地块0901商业用地</t>
  </si>
  <si>
    <t>温泉镇南部</t>
  </si>
  <si>
    <t>京土储挂(海)[2024]014号</t>
  </si>
  <si>
    <t>0901商业用地</t>
  </si>
  <si>
    <t>2024-05-28</t>
  </si>
  <si>
    <t>北京阳泰兴泉科技股份有限公司</t>
  </si>
  <si>
    <t>北京市海淀区清河站北-安宁庄综合开发地块综合性商业金融服务业用地</t>
  </si>
  <si>
    <t>西二旗</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</si>
  <si>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</si>
  <si>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</si>
  <si>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</si>
  <si>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</si>
  <si>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</si>
  <si>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西北旺镇北</t>
  </si>
  <si>
    <t>京土储挂(海)[2024]008号</t>
  </si>
  <si>
    <t>F3其他类多功能用地、B23研发设计用地</t>
  </si>
  <si>
    <t>商业 40 年; 办公 50 年; 公服(科研) 20 年</t>
  </si>
  <si>
    <t>0175:1、6008:1.6</t>
  </si>
  <si>
    <t>2024-03-15</t>
  </si>
  <si>
    <t>北京翠湖智达科技服务有限责任公司</t>
  </si>
  <si>
    <t>北京市海淀区学院路北端A、B、C、J地块B4综合性商业金融服务业用地、 B23研发设计用地</t>
  </si>
  <si>
    <t>学院路</t>
  </si>
  <si>
    <t>京土储挂(海)[2023]073号</t>
  </si>
  <si>
    <t>B4综合性商业金融服务业用地、B23研发设计用地</t>
  </si>
  <si>
    <t>商业 40 年; 办公 50 年; 公服(科研) 50 年</t>
  </si>
  <si>
    <t>4.04</t>
  </si>
  <si>
    <t>2024-01-23</t>
  </si>
  <si>
    <t>腾讯科技(北京)有限公司</t>
  </si>
  <si>
    <t>19290元/㎡(四级办公用途2021-01-01)</t>
  </si>
  <si>
    <t>北京城市副中心0201街区玉桥家园中心FZX-0201-0096、0102地块F3其他类多功能用地国有建设用地使用权出让公告</t>
  </si>
  <si>
    <t>商业40年办公50年公服50年</t>
  </si>
  <si>
    <t>1.56</t>
  </si>
  <si>
    <t>2023-09-20</t>
  </si>
  <si>
    <t>北京通州投资发展有限公司</t>
  </si>
  <si>
    <t>北京市海淀区西北旺镇永丰产业基地(新)HD00-0403-004地块F3其他类多功能用地</t>
  </si>
  <si>
    <t>京土储挂(海)[2023]039号</t>
  </si>
  <si>
    <t>商业40年办公50年</t>
  </si>
  <si>
    <t>2023-08-03</t>
  </si>
  <si>
    <t>北京泽御置业有限公司</t>
  </si>
  <si>
    <t>北京城市副中心0403街区FZX-0403-0146、0148地块F3 其他类多功能用地</t>
  </si>
  <si>
    <t>通州北苑</t>
  </si>
  <si>
    <t>京土储挂(通)〔2023〕032号</t>
  </si>
  <si>
    <t>居住70年、商业40年、办公50年</t>
  </si>
  <si>
    <t>0146容积率3.82、0148容积率2.75</t>
  </si>
  <si>
    <t>2023-07-07</t>
  </si>
  <si>
    <t>北京市房山区窦店镇高端制造业基地06街区01地块FS00-DD06-0018、0019、0023、0024地块F3其他类多功能用地</t>
  </si>
  <si>
    <t>房山区</t>
  </si>
  <si>
    <t>窦店镇</t>
  </si>
  <si>
    <t>京土储挂(房)[2023]013号</t>
  </si>
  <si>
    <t>fs00-dd06-0018、0019容积率1.6;0023、0024容积率2.5</t>
  </si>
  <si>
    <t>2023-06-12</t>
  </si>
  <si>
    <t>北京京东方医院有限公司</t>
  </si>
  <si>
    <t>3340元/㎡(十级办公用途2021-01-01)</t>
  </si>
  <si>
    <t>北京市通州区永顺镇0401街区 46号地块(西马庄收储) B4综合性商业金融服务业用地</t>
  </si>
  <si>
    <t>通州北关</t>
  </si>
  <si>
    <t>京土储挂(通)〔2023〕004号</t>
  </si>
  <si>
    <t>B4综合性商业金融服务业用地</t>
  </si>
  <si>
    <t>商业 40 年、办公 50 年</t>
  </si>
  <si>
    <t>≤2.8</t>
  </si>
  <si>
    <t>2023-04-14</t>
  </si>
  <si>
    <t>北京易创通景信息科技有限公司</t>
  </si>
  <si>
    <t>大兴区西红门镇集体经营性建设用地2号地2-002A地块</t>
  </si>
  <si>
    <t>西红门镇东</t>
  </si>
  <si>
    <t>京规自集使挂(兴)[2023]002号</t>
  </si>
  <si>
    <t>2</t>
  </si>
  <si>
    <t>2023-03-27</t>
  </si>
  <si>
    <t>电建智汇(北京)运营管理有限公司</t>
  </si>
  <si>
    <t>北京大兴国际机场临空经济区DX12-0105-6103地块S5加油加气站(加氢站)用地</t>
  </si>
  <si>
    <t>京土储挂(兴临空)[2022]072号</t>
  </si>
  <si>
    <t>S5加油加气站(加氢站)用地</t>
  </si>
  <si>
    <t>商业40年</t>
  </si>
  <si>
    <t>≤0.4</t>
  </si>
  <si>
    <t>2023-01-19</t>
  </si>
  <si>
    <t>已竣工</t>
  </si>
  <si>
    <t>空气(北京)氢能科技有限公司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</si>
  <si>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</si>
  <si>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</si>
  <si>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</si>
  <si>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</si>
  <si>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</si>
  <si>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</si>
  <si>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</si>
  <si>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北京市通州经济开发区西区南扩区 三、五、六期棚户区改造项目 FZX-1102-6002地块 F3其他类多功能用地</t>
  </si>
  <si>
    <t>张家湾休闲</t>
  </si>
  <si>
    <t>京土储挂(通)〔2022〕041号</t>
  </si>
  <si>
    <t>商业40年、办公50年</t>
  </si>
  <si>
    <t>≤2.2</t>
  </si>
  <si>
    <t>2022-08-22</t>
  </si>
  <si>
    <t>北京未来科创建筑有限公司</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</si>
  <si>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</si>
  <si>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</si>
  <si>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</si>
  <si>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</si>
  <si>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</si>
  <si>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</si>
  <si>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商业 40 年、 办公 50 年</t>
  </si>
  <si>
    <t>2022-07-19</t>
  </si>
  <si>
    <t>北京首旅城市副中心投资有限公司</t>
  </si>
  <si>
    <t>北京经济技术开发区亦庄新城0303街区C14C-3地块F3其他类多功能用地</t>
  </si>
  <si>
    <t>路东区</t>
  </si>
  <si>
    <t>京土储挂(开)[2022]039号</t>
  </si>
  <si>
    <t>商业40 年、办公 50 年</t>
  </si>
  <si>
    <t>≤5.0</t>
  </si>
  <si>
    <t>2022-06-23</t>
  </si>
  <si>
    <t>北京京东昆岳科技产业创新发展有限公司</t>
  </si>
  <si>
    <t>北京大兴国际机场临空经济区 DX12-0105-6006、6009 地块F3其他类多功能用地</t>
  </si>
  <si>
    <t>2022-04-29</t>
  </si>
  <si>
    <t>北京新航城建设实业发展有限公司</t>
  </si>
  <si>
    <t>北京大兴国际机场临空经济区(北京部分)0205街区DX09-0103-0205地块B4综合性商业金融服务业用地</t>
  </si>
  <si>
    <t>京土储挂(兴临空)[2022]019号</t>
  </si>
  <si>
    <t>40年</t>
  </si>
  <si>
    <t>2022-03-01</t>
  </si>
  <si>
    <t>北京经济技术开发区亦庄新城0902街区JG01-07地块F3其他类多功能用地</t>
  </si>
  <si>
    <t>旧宫南</t>
  </si>
  <si>
    <t>京土整储挂(开)[2021]099号</t>
  </si>
  <si>
    <t>3</t>
  </si>
  <si>
    <t>2022-02-08</t>
  </si>
  <si>
    <t>中国太平洋人寿保险股份有限公司</t>
  </si>
  <si>
    <t>北京城市副中心0101街区FZX-0101-0902地块F3其他类多功能用地</t>
  </si>
  <si>
    <t>京土整储挂(通)[2021]096号</t>
  </si>
  <si>
    <t>4</t>
  </si>
  <si>
    <t>2022-01-05</t>
  </si>
  <si>
    <t>华夏银行股份有限公司</t>
  </si>
  <si>
    <t>北京市大兴区黄村镇DX00-0201-6001地块B14旅馆用地</t>
  </si>
  <si>
    <t>黄村</t>
  </si>
  <si>
    <t>京土整储挂(兴)[2021]089号</t>
  </si>
  <si>
    <t>B14旅馆用地</t>
  </si>
  <si>
    <t>2021年第3批次</t>
  </si>
  <si>
    <t>2021-12-24</t>
  </si>
  <si>
    <t>北京大兴宾馆有限责任公司</t>
  </si>
  <si>
    <t>北京市海淀区西北旺镇永丰产业基地(新)HD00-0403-024地块F3其他类多功能用地</t>
  </si>
  <si>
    <t>京土整储挂(海)[2021] 082号</t>
  </si>
  <si>
    <t>2021-10-26</t>
  </si>
  <si>
    <t>北京永丰数字共享科技有限责任公司</t>
  </si>
  <si>
    <t>北京市海淀区西北旺镇永丰产业基地(新)HD00-0403-011地块F3其他类多功能用地</t>
  </si>
  <si>
    <t>京土整储挂(海)[2021] 081号</t>
  </si>
  <si>
    <t>北京永丰数字融合科技有限责任公司</t>
  </si>
  <si>
    <t>北京市通州区张家湾车辆段综合利用供地项目FZX-1202-0079-02(上盖区)、FZX-1202-0079-03(落地区)、FZX-1202-0079-04(落地区)地块F3其他类多功能用地</t>
  </si>
  <si>
    <t>京土整储挂(通)[2021] 077号</t>
  </si>
  <si>
    <t>北京市基础设施投资有限公司 、北京首都旅游集团有限责任公司 、北京城建集团有限责任公司</t>
  </si>
  <si>
    <t>北京市海淀区西北旺镇永丰产业基地(新)HD00-0403-003地块F3其他类多功能用地</t>
  </si>
  <si>
    <t>京土整储挂(海)[2021] 080号</t>
  </si>
  <si>
    <t>北京永丰数字先导科技有限责任公司</t>
  </si>
  <si>
    <t>北京城市副中心FZX-0902-0229、0230地块</t>
  </si>
  <si>
    <t>通州行政中心</t>
  </si>
  <si>
    <t>京土整储挂(通)[2021]032号</t>
  </si>
  <si>
    <t>B2商务用地</t>
  </si>
  <si>
    <t>商业40年 办公50年</t>
  </si>
  <si>
    <t>≤3.1</t>
  </si>
  <si>
    <t>2021-05-19</t>
  </si>
  <si>
    <t>北京城市副中心12组团西北部</t>
  </si>
  <si>
    <t>京土整储挂(通)[2021]001号</t>
  </si>
  <si>
    <t>≤2.15</t>
  </si>
  <si>
    <t>2021-02-07</t>
  </si>
  <si>
    <t>北京公联鼎成交通枢纽建设发展有限公司</t>
  </si>
  <si>
    <t>北京市房山区长阳镇06、07街区棚户区改造土地开发七片区项目FS10-0107-0005地块F3其他类多功能用地</t>
  </si>
  <si>
    <t>长阳北</t>
  </si>
  <si>
    <t>京土整储挂(房)[2020]046号</t>
  </si>
  <si>
    <t>≤3</t>
  </si>
  <si>
    <t>2020-12-28</t>
  </si>
  <si>
    <t>北京北投新城开发建设有限公司 、北京城市副中心投资基金合伙企业(有限合伙)</t>
  </si>
  <si>
    <t>北京市海淀区西八里庄0711-652、640、641地块B4综合性商业金融服务业用地</t>
  </si>
  <si>
    <t>八里庄</t>
  </si>
  <si>
    <t>京土整储挂(海)[2020]042号</t>
  </si>
  <si>
    <t>0711一652≤4.5,0711一640≤1.7,0711一641≤1.3</t>
  </si>
  <si>
    <t>2020-12-02</t>
  </si>
  <si>
    <t>中国电建地产集团有限公司</t>
  </si>
  <si>
    <t>北京经济技术开发区路东区G4F-4、G6F-1、G6F-5、G7F-1、G7F-2、G7F-3地块F3其他类多功能用地国有建设用地</t>
  </si>
  <si>
    <t>京土整储挂(开)[2020]029号</t>
  </si>
  <si>
    <t>g4f-4≤3,g6f-1、g6f-5、g7f-1、g7f-2≤2.5,g7f-3≤1.96</t>
  </si>
  <si>
    <t>2020-08-03</t>
  </si>
  <si>
    <t>北京通明湖信息城发展有限公司</t>
  </si>
  <si>
    <t>北京市昌平区朱辛庄新区(二期)土地一级开发项目ZXZ-010地块F3其他类多功能用地</t>
  </si>
  <si>
    <t>昌平区</t>
  </si>
  <si>
    <t>朱辛庄</t>
  </si>
  <si>
    <t>京土整储挂(昌)[2020]005号</t>
  </si>
  <si>
    <t>2020-04-02</t>
  </si>
  <si>
    <t>北京裕聪置业有限公司</t>
  </si>
  <si>
    <t>北京市海淀区学院路北端A、B、C、J地块B4综合性商业金融服务业用地、B23研发设计用地</t>
  </si>
  <si>
    <t>京土整储招(海)[2019]034号</t>
  </si>
  <si>
    <t>≤4.04</t>
  </si>
  <si>
    <t>招标</t>
  </si>
  <si>
    <t>2019-12-02</t>
  </si>
  <si>
    <t>紫光集团有限公司 、紫光股份有限公司 、紫光国芯微电子股份有限公司 、北京紫光科技服务集团有限公司联合体</t>
  </si>
  <si>
    <t>北京市通州区潞城镇FZX-0901-0162地块F3其他类多功能用地</t>
  </si>
  <si>
    <t>京土整储挂(通)[2019]029号</t>
  </si>
  <si>
    <t>2019-10-17</t>
  </si>
  <si>
    <t>北京润置商业运营管理有限公司 、北京首都开发股份有限公司联合体</t>
  </si>
  <si>
    <t>北京经济技术开发区河西区X78C2地块B4综合性商业金融服务业用地</t>
  </si>
  <si>
    <t>河西区南部</t>
  </si>
  <si>
    <t>京土整储挂(开)[2019]019号</t>
  </si>
  <si>
    <t>办公50年、商业40年</t>
  </si>
  <si>
    <t>≤2</t>
  </si>
  <si>
    <t>2019-08-29</t>
  </si>
  <si>
    <t>北京尚恒锦瑞商业运营管理有限公司</t>
  </si>
  <si>
    <t>交易状态</t>
    <phoneticPr fontId="134" type="noConversion"/>
  </si>
  <si>
    <t>钢混</t>
  </si>
  <si>
    <t>非生产用房</t>
  </si>
  <si>
    <t>较规则</t>
  </si>
  <si>
    <t>较规则</t>
    <phoneticPr fontId="30" type="noConversion"/>
  </si>
  <si>
    <t>较不规则</t>
    <phoneticPr fontId="30" type="noConversion"/>
  </si>
  <si>
    <t>不规则</t>
    <phoneticPr fontId="30" type="noConversion"/>
  </si>
  <si>
    <t>规则</t>
    <phoneticPr fontId="30" type="noConversion"/>
  </si>
  <si>
    <t>较合适</t>
    <phoneticPr fontId="30" type="noConversion"/>
  </si>
  <si>
    <t>七通</t>
  </si>
  <si>
    <t>七通</t>
    <phoneticPr fontId="30" type="noConversion"/>
  </si>
  <si>
    <t>六通</t>
  </si>
  <si>
    <t>六通</t>
    <phoneticPr fontId="30" type="noConversion"/>
  </si>
  <si>
    <t>五通</t>
    <phoneticPr fontId="30" type="noConversion"/>
  </si>
  <si>
    <t>四通</t>
    <phoneticPr fontId="30" type="noConversion"/>
  </si>
  <si>
    <t>较好</t>
  </si>
  <si>
    <t>较好</t>
    <phoneticPr fontId="30" type="noConversion"/>
  </si>
  <si>
    <t>较差</t>
  </si>
  <si>
    <t>未包含在土地购买价格中</t>
  </si>
  <si>
    <t>全部缴纳</t>
  </si>
  <si>
    <t>已包含在土地取得成本中</t>
  </si>
  <si>
    <t>住宅</t>
  </si>
  <si>
    <t>京土储挂(顺)[2024]024号</t>
    <phoneticPr fontId="134" type="noConversion"/>
  </si>
  <si>
    <t>京土储挂(通)〔2024〕031号</t>
    <phoneticPr fontId="134" type="noConversion"/>
  </si>
  <si>
    <t>京土储挂(通)[2023]042号</t>
    <phoneticPr fontId="134" type="noConversion"/>
  </si>
  <si>
    <t>京土储挂(兴临空)[2022]020号</t>
    <phoneticPr fontId="134" type="noConversion"/>
  </si>
  <si>
    <t>https://j.map.baidu.com/4d/TOEi</t>
    <phoneticPr fontId="134" type="noConversion"/>
  </si>
  <si>
    <t>Ⅶ-顺1</t>
  </si>
  <si>
    <t>临三通</t>
  </si>
  <si>
    <t>临三通</t>
    <phoneticPr fontId="30" type="noConversion"/>
  </si>
  <si>
    <t>自持</t>
    <phoneticPr fontId="30" type="noConversion"/>
  </si>
  <si>
    <t>是</t>
    <phoneticPr fontId="30" type="noConversion"/>
  </si>
  <si>
    <t>五通</t>
  </si>
  <si>
    <t>规则</t>
  </si>
  <si>
    <t>较不规则</t>
  </si>
  <si>
    <t>F3其他类多功能用地</t>
    <phoneticPr fontId="134" type="noConversion"/>
  </si>
  <si>
    <r>
      <t>F3</t>
    </r>
    <r>
      <rPr>
        <sz val="11"/>
        <rFont val="宋体"/>
        <family val="3"/>
        <charset val="134"/>
      </rPr>
      <t>其他类多功能用地</t>
    </r>
    <phoneticPr fontId="30" type="noConversion"/>
  </si>
  <si>
    <t>B4综合性商业金融服务用地</t>
    <phoneticPr fontId="134" type="noConversion"/>
  </si>
  <si>
    <t>B4综合性商业金融服务用地</t>
    <phoneticPr fontId="30" type="noConversion"/>
  </si>
  <si>
    <t>在建</t>
  </si>
  <si>
    <t>成本法</t>
  </si>
  <si>
    <t>假设开发法</t>
  </si>
  <si>
    <t>地块</t>
    <phoneticPr fontId="134" type="noConversion"/>
  </si>
  <si>
    <t>估价对象</t>
    <phoneticPr fontId="134" type="noConversion"/>
  </si>
  <si>
    <t>土地面积</t>
    <phoneticPr fontId="134" type="noConversion"/>
  </si>
  <si>
    <t>建筑面积</t>
    <phoneticPr fontId="134" type="noConversion"/>
  </si>
  <si>
    <t>用途</t>
    <phoneticPr fontId="134" type="noConversion"/>
  </si>
  <si>
    <t>社区卫生服务用地</t>
    <phoneticPr fontId="134" type="noConversion"/>
  </si>
  <si>
    <t>商业用地</t>
    <phoneticPr fontId="134" type="noConversion"/>
  </si>
  <si>
    <t>公交场站用地</t>
    <phoneticPr fontId="134" type="noConversion"/>
  </si>
  <si>
    <t>住宅用地</t>
    <phoneticPr fontId="134" type="noConversion"/>
  </si>
  <si>
    <t>其他多功能用地</t>
    <phoneticPr fontId="134" type="noConversion"/>
  </si>
  <si>
    <t>地上建面</t>
    <phoneticPr fontId="134" type="noConversion"/>
  </si>
  <si>
    <t>地下建面</t>
    <phoneticPr fontId="134" type="noConversion"/>
  </si>
  <si>
    <t>总建面</t>
    <phoneticPr fontId="134" type="noConversion"/>
  </si>
  <si>
    <t>地上容积率</t>
    <phoneticPr fontId="134" type="noConversion"/>
  </si>
  <si>
    <t>合计</t>
    <phoneticPr fontId="134" type="noConversion"/>
  </si>
  <si>
    <t>住宅小计</t>
    <phoneticPr fontId="134" type="noConversion"/>
  </si>
  <si>
    <t>商业小计</t>
    <phoneticPr fontId="134" type="noConversion"/>
  </si>
  <si>
    <t>其他小计</t>
    <phoneticPr fontId="134" type="noConversion"/>
  </si>
  <si>
    <t>拆分拿地价</t>
    <phoneticPr fontId="134" type="noConversion"/>
  </si>
  <si>
    <t>住宅+商业、多功能</t>
    <phoneticPr fontId="134" type="noConversion"/>
  </si>
  <si>
    <t>怡莱酒店</t>
    <phoneticPr fontId="134" type="noConversion"/>
  </si>
  <si>
    <t>价格</t>
    <phoneticPr fontId="134" type="noConversion"/>
  </si>
  <si>
    <t>二星</t>
    <phoneticPr fontId="134" type="noConversion"/>
  </si>
  <si>
    <t>派酒店</t>
    <phoneticPr fontId="134" type="noConversion"/>
  </si>
  <si>
    <t>汉庭酒店</t>
    <phoneticPr fontId="134" type="noConversion"/>
  </si>
  <si>
    <t>新各林豪泰酒店</t>
    <phoneticPr fontId="134" type="noConversion"/>
  </si>
  <si>
    <t>格林豪泰</t>
    <phoneticPr fontId="134" type="noConversion"/>
  </si>
  <si>
    <t>锦江之星</t>
    <phoneticPr fontId="134" type="noConversion"/>
  </si>
  <si>
    <t>北京名辰假日酒店</t>
    <phoneticPr fontId="134" type="noConversion"/>
  </si>
  <si>
    <t>三星</t>
    <phoneticPr fontId="134" type="noConversion"/>
  </si>
  <si>
    <r>
      <rPr>
        <sz val="9"/>
        <rFont val="宋体"/>
        <family val="3"/>
        <charset val="134"/>
      </rPr>
      <t>龙湖冠寓</t>
    </r>
    <r>
      <rPr>
        <sz val="9"/>
        <rFont val="Arial"/>
        <family val="2"/>
      </rPr>
      <t>(</t>
    </r>
    <r>
      <rPr>
        <sz val="9"/>
        <rFont val="宋体"/>
        <family val="3"/>
        <charset val="134"/>
      </rPr>
      <t>北京首都机场店</t>
    </r>
    <r>
      <rPr>
        <sz val="9"/>
        <rFont val="Arial"/>
        <family val="2"/>
      </rPr>
      <t>)</t>
    </r>
    <phoneticPr fontId="134" type="noConversion"/>
  </si>
  <si>
    <t>公寓</t>
    <phoneticPr fontId="134" type="noConversion"/>
  </si>
  <si>
    <t>月租金</t>
    <phoneticPr fontId="134" type="noConversion"/>
  </si>
  <si>
    <t>日租金</t>
    <phoneticPr fontId="134" type="noConversion"/>
  </si>
  <si>
    <t>平层</t>
    <phoneticPr fontId="134" type="noConversion"/>
  </si>
  <si>
    <t>泊寓·北京(空港店)</t>
    <phoneticPr fontId="134" type="noConversion"/>
  </si>
  <si>
    <t>已全部缴纳</t>
  </si>
  <si>
    <t>商业</t>
    <phoneticPr fontId="134" type="noConversion"/>
  </si>
  <si>
    <t>楼层</t>
    <phoneticPr fontId="134" type="noConversion"/>
  </si>
  <si>
    <t>鼎顺嘉园东区</t>
    <phoneticPr fontId="134" type="noConversion"/>
  </si>
  <si>
    <t>宝能慧谷</t>
    <phoneticPr fontId="134" type="noConversion"/>
  </si>
  <si>
    <t>高顺云港新能科技园</t>
    <phoneticPr fontId="134" type="noConversion"/>
  </si>
  <si>
    <t>仁和园区</t>
    <phoneticPr fontId="134" type="noConversion"/>
  </si>
  <si>
    <t>仁和科技园</t>
    <phoneticPr fontId="134" type="noConversion"/>
  </si>
  <si>
    <t>林吉产业园</t>
    <phoneticPr fontId="134" type="noConversion"/>
  </si>
  <si>
    <t>林和工业开发区</t>
    <phoneticPr fontId="134" type="noConversion"/>
  </si>
  <si>
    <r>
      <t>5-6</t>
    </r>
    <r>
      <rPr>
        <sz val="9"/>
        <rFont val="宋体"/>
        <family val="3"/>
        <charset val="134"/>
      </rPr>
      <t>块</t>
    </r>
    <phoneticPr fontId="134" type="noConversion"/>
  </si>
  <si>
    <t>一般</t>
  </si>
  <si>
    <t>总价</t>
  </si>
  <si>
    <t>成本比率</t>
  </si>
  <si>
    <t>规划建筑面积</t>
  </si>
  <si>
    <t>分摊土地面积</t>
  </si>
  <si>
    <t>SY00-0007-6057地块商业用地-独立商业</t>
    <phoneticPr fontId="134" type="noConversion"/>
  </si>
  <si>
    <t>6-1#商业楼</t>
    <phoneticPr fontId="134" type="noConversion"/>
  </si>
  <si>
    <t>6#地下车库</t>
    <phoneticPr fontId="134" type="noConversion"/>
  </si>
  <si>
    <t>6057地块土地分摊报告</t>
    <phoneticPr fontId="134" type="noConversion"/>
  </si>
  <si>
    <t>建筑面积(不含不发证部分）</t>
    <phoneticPr fontId="134" type="noConversion"/>
  </si>
  <si>
    <t>分摊土地面积</t>
    <phoneticPr fontId="134" type="noConversion"/>
  </si>
  <si>
    <t>独立商业</t>
  </si>
  <si>
    <t>主体结构封顶、二次结构、外部装修完成，正在进行室内装修工程</t>
    <phoneticPr fontId="134" type="noConversion"/>
  </si>
  <si>
    <t>收益法</t>
  </si>
  <si>
    <t>楼层</t>
    <phoneticPr fontId="3" type="noConversion"/>
  </si>
  <si>
    <t>日租金</t>
    <phoneticPr fontId="3" type="noConversion"/>
  </si>
  <si>
    <t>地下车位</t>
    <phoneticPr fontId="3" type="noConversion"/>
  </si>
  <si>
    <t>合计</t>
    <phoneticPr fontId="3" type="noConversion"/>
  </si>
  <si>
    <t>收益建面</t>
    <phoneticPr fontId="3" type="noConversion"/>
  </si>
  <si>
    <t>系数</t>
    <phoneticPr fontId="3" type="noConversion"/>
  </si>
  <si>
    <t>押一</t>
  </si>
  <si>
    <t>6057商业在建</t>
    <phoneticPr fontId="134" type="noConversion"/>
  </si>
  <si>
    <t>住宅现房</t>
    <phoneticPr fontId="134" type="noConversion"/>
  </si>
  <si>
    <t>车位现房</t>
    <phoneticPr fontId="134" type="noConversion"/>
  </si>
  <si>
    <t>仓储现房</t>
    <phoneticPr fontId="134" type="noConversion"/>
  </si>
  <si>
    <t>否</t>
    <phoneticPr fontId="3" type="noConversion"/>
  </si>
  <si>
    <t>是</t>
    <phoneticPr fontId="3" type="noConversion"/>
  </si>
  <si>
    <t>否</t>
    <phoneticPr fontId="30" type="noConversion"/>
  </si>
  <si>
    <t>郑燚</t>
  </si>
  <si>
    <t>崔锴</t>
  </si>
  <si>
    <t>仅扣除人防</t>
    <phoneticPr fontId="134" type="noConversion"/>
  </si>
  <si>
    <t>京（2021）顺不动产权第0002503号</t>
    <phoneticPr fontId="134" type="noConversion"/>
  </si>
  <si>
    <t>自定义容积率</t>
  </si>
  <si>
    <t>不临65条商业街</t>
  </si>
  <si>
    <t>通路</t>
  </si>
  <si>
    <t>通电</t>
  </si>
  <si>
    <t>通上水</t>
  </si>
  <si>
    <t>通下水</t>
  </si>
  <si>
    <t>通热</t>
  </si>
  <si>
    <t>燃气</t>
  </si>
  <si>
    <t>平整</t>
  </si>
  <si>
    <t>中心城区以外</t>
  </si>
  <si>
    <t>6#地下车库</t>
    <phoneticPr fontId="134" type="noConversion"/>
  </si>
  <si>
    <t>北京城安辉泰土地款支付明细</t>
  </si>
  <si>
    <t>缴款时间</t>
  </si>
  <si>
    <t>交款公司</t>
  </si>
  <si>
    <t>名义</t>
  </si>
  <si>
    <t>票号</t>
  </si>
  <si>
    <t>城建</t>
  </si>
  <si>
    <t>保证金</t>
  </si>
  <si>
    <t>首开</t>
  </si>
  <si>
    <t>旭辉</t>
  </si>
  <si>
    <t>土地款</t>
  </si>
  <si>
    <t>城安辉泰</t>
  </si>
  <si>
    <t>契税</t>
  </si>
  <si>
    <t>印花税</t>
  </si>
  <si>
    <t>补缴土地款</t>
  </si>
  <si>
    <t>补缴契税</t>
  </si>
  <si>
    <t>补缴印花税</t>
  </si>
  <si>
    <t>地价款合计</t>
    <phoneticPr fontId="134" type="noConversion"/>
  </si>
  <si>
    <t>契税</t>
    <phoneticPr fontId="134" type="noConversion"/>
  </si>
  <si>
    <t>印花税</t>
    <phoneticPr fontId="134" type="noConversion"/>
  </si>
  <si>
    <t>票据金额</t>
    <phoneticPr fontId="134" type="noConversion"/>
  </si>
  <si>
    <t>已全部缴纳</t>
    <phoneticPr fontId="134" type="noConversion"/>
  </si>
  <si>
    <t>情况3</t>
  </si>
  <si>
    <t>正常</t>
  </si>
  <si>
    <t>自行开发建设</t>
  </si>
  <si>
    <t>非个人房产</t>
  </si>
  <si>
    <t>出让金+开发费</t>
  </si>
  <si>
    <t>合计</t>
    <phoneticPr fontId="134" type="noConversion"/>
  </si>
  <si>
    <t>出让合同</t>
    <phoneticPr fontId="134" type="noConversion"/>
  </si>
  <si>
    <t>附件6补充协议</t>
    <phoneticPr fontId="134" type="noConversion"/>
  </si>
  <si>
    <t>地上建面</t>
    <phoneticPr fontId="134" type="noConversion"/>
  </si>
  <si>
    <t>地下建面</t>
    <phoneticPr fontId="134" type="noConversion"/>
  </si>
  <si>
    <t>政府土地出让收益</t>
    <phoneticPr fontId="134" type="noConversion"/>
  </si>
  <si>
    <t>土地开发补充费</t>
    <phoneticPr fontId="134" type="noConversion"/>
  </si>
  <si>
    <t>新增政府土地收益</t>
    <phoneticPr fontId="134" type="noConversion"/>
  </si>
  <si>
    <t>不出让</t>
    <phoneticPr fontId="134" type="noConversion"/>
  </si>
  <si>
    <t>工规证-不含地下人防与不出让部分</t>
    <phoneticPr fontId="134" type="noConversion"/>
  </si>
  <si>
    <t>主体结构封顶、二次结构、外部装修完成，正在进行室内装修工程</t>
    <phoneticPr fontId="134" type="noConversion"/>
  </si>
  <si>
    <t>主体结构封顶、二次结构、外部装修完成，正在进行室内装修工程</t>
    <phoneticPr fontId="3" type="noConversion"/>
  </si>
  <si>
    <t>赋予现工程进度比例</t>
    <phoneticPr fontId="3" type="noConversion"/>
  </si>
  <si>
    <t>综合</t>
    <phoneticPr fontId="3" type="noConversion"/>
  </si>
  <si>
    <t>酒店</t>
    <phoneticPr fontId="134" type="noConversion"/>
  </si>
  <si>
    <t>价格</t>
    <phoneticPr fontId="134" type="noConversion"/>
  </si>
  <si>
    <t>怡莱酒店</t>
    <phoneticPr fontId="134" type="noConversion"/>
  </si>
  <si>
    <t>二星</t>
    <phoneticPr fontId="134" type="noConversion"/>
  </si>
  <si>
    <t>派酒店</t>
    <phoneticPr fontId="134" type="noConversion"/>
  </si>
  <si>
    <t>汉庭酒店</t>
    <phoneticPr fontId="134" type="noConversion"/>
  </si>
  <si>
    <t>新各林豪泰酒店</t>
    <phoneticPr fontId="134" type="noConversion"/>
  </si>
  <si>
    <t>格林豪泰</t>
    <phoneticPr fontId="134" type="noConversion"/>
  </si>
  <si>
    <t>锦江之星</t>
    <phoneticPr fontId="134" type="noConversion"/>
  </si>
  <si>
    <t>北京名辰假日酒店</t>
    <phoneticPr fontId="134" type="noConversion"/>
  </si>
  <si>
    <t>三星</t>
    <phoneticPr fontId="134" type="noConversion"/>
  </si>
  <si>
    <t>公寓</t>
    <phoneticPr fontId="134" type="noConversion"/>
  </si>
  <si>
    <t>面积</t>
    <phoneticPr fontId="134" type="noConversion"/>
  </si>
  <si>
    <t>月租金</t>
    <phoneticPr fontId="134" type="noConversion"/>
  </si>
  <si>
    <t>日租金</t>
    <phoneticPr fontId="134" type="noConversion"/>
  </si>
  <si>
    <r>
      <rPr>
        <sz val="9"/>
        <rFont val="宋体"/>
        <family val="3"/>
        <charset val="134"/>
      </rPr>
      <t>龙湖冠寓</t>
    </r>
    <r>
      <rPr>
        <sz val="9"/>
        <rFont val="Arial"/>
        <family val="2"/>
      </rPr>
      <t>(</t>
    </r>
    <r>
      <rPr>
        <sz val="9"/>
        <rFont val="宋体"/>
        <family val="3"/>
        <charset val="134"/>
      </rPr>
      <t>北京首都机场店</t>
    </r>
    <r>
      <rPr>
        <sz val="9"/>
        <rFont val="Arial"/>
        <family val="2"/>
      </rPr>
      <t>)</t>
    </r>
    <phoneticPr fontId="134" type="noConversion"/>
  </si>
  <si>
    <t>平层</t>
    <phoneticPr fontId="134" type="noConversion"/>
  </si>
  <si>
    <t>泊寓·北京(空港店)</t>
    <phoneticPr fontId="134" type="noConversion"/>
  </si>
  <si>
    <t>商业</t>
    <phoneticPr fontId="134" type="noConversion"/>
  </si>
  <si>
    <t>楼层</t>
    <phoneticPr fontId="134" type="noConversion"/>
  </si>
  <si>
    <r>
      <t>5-6</t>
    </r>
    <r>
      <rPr>
        <sz val="9"/>
        <rFont val="宋体"/>
        <family val="3"/>
        <charset val="134"/>
      </rPr>
      <t>块</t>
    </r>
    <phoneticPr fontId="134" type="noConversion"/>
  </si>
  <si>
    <t>鼎顺嘉园东区</t>
    <phoneticPr fontId="134" type="noConversion"/>
  </si>
  <si>
    <t>办公</t>
    <phoneticPr fontId="134" type="noConversion"/>
  </si>
  <si>
    <t>宝能慧谷</t>
    <phoneticPr fontId="134" type="noConversion"/>
  </si>
  <si>
    <t>高顺云港新能科技园</t>
    <phoneticPr fontId="134" type="noConversion"/>
  </si>
  <si>
    <t>仁和园区</t>
    <phoneticPr fontId="134" type="noConversion"/>
  </si>
  <si>
    <t>仁和科技园</t>
    <phoneticPr fontId="134" type="noConversion"/>
  </si>
  <si>
    <t>林吉产业园</t>
    <phoneticPr fontId="134" type="noConversion"/>
  </si>
  <si>
    <t>林和工业开发区</t>
    <phoneticPr fontId="134" type="noConversion"/>
  </si>
  <si>
    <t>商业-独立商业</t>
  </si>
  <si>
    <t>商业-独立商业</t>
    <phoneticPr fontId="7" type="noConversion"/>
  </si>
  <si>
    <t>售价</t>
    <phoneticPr fontId="134" type="noConversion"/>
  </si>
  <si>
    <t>总额</t>
    <phoneticPr fontId="134" type="noConversion"/>
  </si>
  <si>
    <t>楼面单价</t>
    <phoneticPr fontId="134" type="noConversion"/>
  </si>
  <si>
    <t>6070公寓在建</t>
    <phoneticPr fontId="134" type="noConversion"/>
  </si>
  <si>
    <t>通讯</t>
  </si>
  <si>
    <t>单价</t>
    <phoneticPr fontId="134" type="noConversion"/>
  </si>
  <si>
    <t>与级别开发程度一致</t>
  </si>
  <si>
    <t>核对项目总净值</t>
    <phoneticPr fontId="134" type="noConversion"/>
  </si>
  <si>
    <t>不可抵押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</si>
</sst>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b/>
      <sz val="10"/>
      <color rgb="FFFF0000"/>
      <name val="宋体"/>
      <family val="3"/>
      <charset val="134"/>
      <scheme val="minor"/>
    </font>
    <font>
      <sz val="10"/>
      <color rgb="FFFF0000"/>
      <name val="宋体"/>
      <family val="3"/>
      <charset val="134"/>
      <scheme val="minor"/>
    </font>
    <font>
      <u/>
      <sz val="11"/>
      <color theme="10"/>
      <name val="宋体"/>
      <family val="3"/>
      <charset val="134"/>
      <scheme val="minor"/>
    </font>
    <font>
      <sz val="10"/>
      <name val="宋体"/>
      <family val="3"/>
      <charset val="134"/>
      <scheme val="minor"/>
    </font>
    <font>
      <sz val="9"/>
      <name val="Arial"/>
      <family val="3"/>
      <charset val="134"/>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5" fillId="0" borderId="0" applyNumberFormat="0" applyFill="0" applyBorder="0" applyAlignment="0" applyProtection="0">
      <alignment vertical="center"/>
    </xf>
  </cellStyleXfs>
  <cellXfs count="35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150" xfId="0" applyFont="1" applyFill="1" applyBorder="1" applyAlignment="1" applyProtection="1">
      <alignment vertical="center" wrapText="1"/>
      <protection locked="0"/>
    </xf>
    <xf numFmtId="0" fontId="0" fillId="0" borderId="1" xfId="0" applyBorder="1" applyAlignment="1">
      <alignment horizontal="left" vertical="center"/>
    </xf>
    <xf numFmtId="0" fontId="95" fillId="0" borderId="1" xfId="0" applyFont="1" applyBorder="1" applyAlignment="1">
      <alignment horizontal="left" vertical="center" wrapText="1"/>
    </xf>
    <xf numFmtId="0" fontId="95" fillId="0" borderId="5" xfId="0" applyFont="1" applyBorder="1" applyAlignment="1">
      <alignment horizontal="left" vertical="center"/>
    </xf>
    <xf numFmtId="0" fontId="0" fillId="0" borderId="5" xfId="0" applyBorder="1" applyAlignment="1">
      <alignment horizontal="left" vertical="center"/>
    </xf>
    <xf numFmtId="0" fontId="95" fillId="0" borderId="3" xfId="0" applyFont="1" applyBorder="1" applyAlignment="1">
      <alignment horizontal="left" vertical="center"/>
    </xf>
    <xf numFmtId="0" fontId="0" fillId="0" borderId="3" xfId="0" applyBorder="1" applyAlignment="1">
      <alignment horizontal="left" vertical="center"/>
    </xf>
    <xf numFmtId="0" fontId="95" fillId="0" borderId="23" xfId="0" applyFont="1" applyBorder="1" applyAlignment="1">
      <alignment horizontal="left" vertical="center"/>
    </xf>
    <xf numFmtId="0" fontId="95" fillId="0" borderId="24" xfId="0" applyFont="1" applyBorder="1" applyAlignment="1">
      <alignment horizontal="left" vertical="center"/>
    </xf>
    <xf numFmtId="0" fontId="0" fillId="0" borderId="23" xfId="0" applyBorder="1" applyAlignment="1">
      <alignment horizontal="left" vertical="center"/>
    </xf>
    <xf numFmtId="0" fontId="0" fillId="0" borderId="24" xfId="0" applyBorder="1" applyAlignment="1">
      <alignment horizontal="left" vertical="center"/>
    </xf>
    <xf numFmtId="0" fontId="0" fillId="0" borderId="25" xfId="0" applyBorder="1" applyAlignment="1">
      <alignment horizontal="left" vertical="center"/>
    </xf>
    <xf numFmtId="0" fontId="0" fillId="0" borderId="32" xfId="0" applyBorder="1" applyAlignment="1">
      <alignment horizontal="left" vertical="center"/>
    </xf>
    <xf numFmtId="0" fontId="0" fillId="0" borderId="49" xfId="0" applyBorder="1" applyAlignment="1">
      <alignment horizontal="left" vertical="center"/>
    </xf>
    <xf numFmtId="0" fontId="272" fillId="0" borderId="1" xfId="0" applyFont="1" applyBorder="1" applyAlignment="1">
      <alignment horizontal="left" vertical="center"/>
    </xf>
    <xf numFmtId="0" fontId="272" fillId="0" borderId="49" xfId="0" applyFont="1" applyBorder="1" applyAlignment="1">
      <alignment horizontal="left" vertical="center"/>
    </xf>
    <xf numFmtId="0" fontId="95" fillId="0" borderId="0" xfId="0" applyFont="1" applyAlignment="1">
      <alignment horizontal="left" vertical="center" wrapText="1"/>
    </xf>
    <xf numFmtId="9" fontId="0" fillId="0" borderId="0" xfId="0" applyNumberFormat="1" applyAlignment="1">
      <alignment horizontal="left" vertical="center"/>
    </xf>
    <xf numFmtId="9" fontId="0" fillId="0" borderId="0" xfId="17" applyFont="1" applyAlignment="1">
      <alignment horizontal="left" vertical="center"/>
    </xf>
    <xf numFmtId="0" fontId="107" fillId="0" borderId="1" xfId="0" applyFont="1" applyBorder="1" applyAlignment="1">
      <alignment horizontal="left" vertical="center" wrapText="1"/>
    </xf>
    <xf numFmtId="0" fontId="273" fillId="0" borderId="1" xfId="0" applyFont="1" applyBorder="1" applyAlignment="1">
      <alignment horizontal="left" vertical="center" wrapText="1"/>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9" fontId="47" fillId="22" borderId="0" xfId="17" applyFont="1" applyFill="1" applyProtection="1">
      <alignment vertical="center"/>
      <protection locked="0"/>
    </xf>
    <xf numFmtId="0" fontId="77" fillId="12" borderId="1" xfId="0" applyFont="1" applyFill="1" applyBorder="1" applyAlignment="1" applyProtection="1">
      <alignment horizontal="center" vertical="center"/>
      <protection locked="0"/>
    </xf>
    <xf numFmtId="176" fontId="47" fillId="12" borderId="1" xfId="0" applyNumberFormat="1" applyFont="1" applyFill="1" applyBorder="1" applyAlignment="1" applyProtection="1">
      <alignment horizontal="center" vertical="center"/>
      <protection locked="0"/>
    </xf>
    <xf numFmtId="0" fontId="47" fillId="12" borderId="1" xfId="0" applyFont="1" applyFill="1" applyBorder="1" applyAlignment="1" applyProtection="1">
      <alignment horizontal="center" vertical="center"/>
      <protection locked="0"/>
    </xf>
    <xf numFmtId="9" fontId="47" fillId="12" borderId="0" xfId="17" applyFont="1" applyFill="1" applyProtection="1">
      <alignment vertical="center"/>
      <protection locked="0"/>
    </xf>
    <xf numFmtId="0" fontId="128" fillId="12" borderId="0" xfId="0" applyFont="1" applyFill="1" applyProtection="1">
      <alignment vertical="center"/>
      <protection locked="0"/>
    </xf>
    <xf numFmtId="10" fontId="47" fillId="22" borderId="0" xfId="0" applyNumberFormat="1" applyFont="1" applyFill="1" applyProtection="1">
      <alignment vertical="center"/>
      <protection locked="0"/>
    </xf>
    <xf numFmtId="176" fontId="44" fillId="12" borderId="0" xfId="0" applyNumberFormat="1" applyFont="1" applyFill="1" applyProtection="1">
      <alignment vertical="center"/>
      <protection locked="0"/>
    </xf>
    <xf numFmtId="10" fontId="47" fillId="12" borderId="0" xfId="0" applyNumberFormat="1" applyFont="1" applyFill="1" applyProtection="1">
      <alignment vertical="center"/>
      <protection locked="0"/>
    </xf>
    <xf numFmtId="9" fontId="47" fillId="12" borderId="0" xfId="0" applyNumberFormat="1" applyFont="1" applyFill="1" applyAlignment="1" applyProtection="1">
      <alignment horizontal="center" vertical="center"/>
      <protection locked="0"/>
    </xf>
    <xf numFmtId="179" fontId="47" fillId="12" borderId="0" xfId="0" applyNumberFormat="1" applyFont="1" applyFill="1" applyAlignment="1" applyProtection="1">
      <alignment horizontal="center" vertical="center"/>
      <protection locked="0"/>
    </xf>
    <xf numFmtId="10" fontId="77" fillId="12" borderId="1" xfId="0" applyNumberFormat="1" applyFont="1" applyFill="1" applyBorder="1" applyAlignment="1" applyProtection="1">
      <alignment horizontal="center" vertical="center"/>
      <protection locked="0"/>
    </xf>
    <xf numFmtId="10" fontId="47" fillId="12" borderId="1" xfId="0" applyNumberFormat="1" applyFont="1" applyFill="1" applyBorder="1" applyAlignment="1" applyProtection="1">
      <alignment horizontal="center" vertical="center"/>
      <protection locked="0"/>
    </xf>
    <xf numFmtId="9" fontId="47" fillId="12" borderId="1" xfId="0" applyNumberFormat="1" applyFont="1" applyFill="1" applyBorder="1" applyAlignment="1" applyProtection="1">
      <alignment horizontal="center" vertical="center"/>
      <protection locked="0"/>
    </xf>
    <xf numFmtId="9" fontId="47" fillId="0" borderId="1" xfId="0" applyNumberFormat="1" applyFont="1" applyBorder="1" applyAlignment="1" applyProtection="1">
      <alignment horizontal="center" vertical="center"/>
      <protection locked="0"/>
    </xf>
    <xf numFmtId="176" fontId="52" fillId="0" borderId="1" xfId="0" applyNumberFormat="1" applyFont="1" applyBorder="1" applyAlignment="1" applyProtection="1">
      <alignment horizontal="left" vertical="center"/>
      <protection locked="0"/>
    </xf>
    <xf numFmtId="1" fontId="52" fillId="0" borderId="1" xfId="0" applyNumberFormat="1" applyFont="1" applyBorder="1" applyAlignment="1" applyProtection="1">
      <alignment horizontal="left" vertical="center"/>
      <protection locked="0"/>
    </xf>
    <xf numFmtId="1" fontId="47" fillId="12" borderId="0" xfId="0" applyNumberFormat="1" applyFont="1" applyFill="1" applyProtection="1">
      <alignment vertical="center"/>
      <protection locked="0"/>
    </xf>
    <xf numFmtId="0" fontId="19" fillId="0" borderId="5" xfId="4" applyFont="1" applyBorder="1" applyAlignment="1" applyProtection="1">
      <alignment vertical="center"/>
      <protection locked="0"/>
    </xf>
    <xf numFmtId="0" fontId="107" fillId="0" borderId="0" xfId="0" applyFont="1" applyAlignment="1">
      <alignment horizontal="left" vertical="center" wrapText="1"/>
    </xf>
    <xf numFmtId="0" fontId="107" fillId="5" borderId="0" xfId="0" applyFont="1" applyFill="1" applyAlignment="1">
      <alignment horizontal="left" vertical="center"/>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4" fillId="0" borderId="0" xfId="0" applyFont="1" applyAlignment="1">
      <alignment horizontal="left" vertical="center"/>
    </xf>
    <xf numFmtId="0" fontId="275" fillId="0" borderId="0" xfId="19" applyNumberFormat="1" applyAlignment="1">
      <alignment horizontal="left" vertical="center"/>
    </xf>
    <xf numFmtId="0" fontId="276" fillId="5" borderId="0" xfId="0" applyFont="1" applyFill="1" applyAlignment="1">
      <alignment horizontal="left" vertical="center"/>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3" fillId="0" borderId="0" xfId="4" applyFont="1" applyAlignment="1" applyProtection="1">
      <alignment horizontal="left" vertical="center"/>
      <protection locked="0"/>
    </xf>
    <xf numFmtId="0" fontId="277" fillId="0" borderId="0" xfId="4" applyFont="1" applyAlignment="1" applyProtection="1">
      <alignment horizontal="left" vertical="center"/>
      <protection locked="0"/>
    </xf>
    <xf numFmtId="58" fontId="95" fillId="0" borderId="0" xfId="0" applyNumberFormat="1" applyFont="1">
      <alignment vertical="center"/>
    </xf>
    <xf numFmtId="58" fontId="242" fillId="0" borderId="0" xfId="4" applyNumberFormat="1" applyFont="1" applyAlignment="1" applyProtection="1">
      <alignment horizontal="left" vertical="center"/>
      <protection locked="0"/>
    </xf>
    <xf numFmtId="0" fontId="95" fillId="0" borderId="1" xfId="0" applyFont="1" applyBorder="1" applyAlignment="1">
      <alignment horizontal="center" vertical="center" wrapText="1"/>
    </xf>
    <xf numFmtId="0" fontId="276" fillId="0" borderId="1" xfId="0" applyFont="1" applyBorder="1" applyAlignment="1">
      <alignment horizontal="left" vertical="center" wrapText="1"/>
    </xf>
    <xf numFmtId="0" fontId="278" fillId="0" borderId="32" xfId="0" applyFont="1" applyBorder="1" applyAlignment="1">
      <alignment horizontal="left" vertical="center"/>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6" fillId="0" borderId="1" xfId="0" applyFont="1" applyBorder="1" applyAlignment="1">
      <alignment horizontal="left" vertical="center"/>
    </xf>
    <xf numFmtId="14" fontId="0" fillId="0" borderId="1" xfId="0" applyNumberFormat="1" applyBorder="1" applyAlignment="1">
      <alignment horizontal="left" vertical="center"/>
    </xf>
    <xf numFmtId="196" fontId="0" fillId="0" borderId="1" xfId="0" applyNumberFormat="1" applyBorder="1" applyAlignment="1">
      <alignment horizontal="left" vertical="center"/>
    </xf>
    <xf numFmtId="196" fontId="0" fillId="0" borderId="0" xfId="0" applyNumberFormat="1" applyAlignment="1">
      <alignment horizontal="left" vertical="center"/>
    </xf>
    <xf numFmtId="0" fontId="0" fillId="18" borderId="0" xfId="0" applyFill="1" applyAlignment="1">
      <alignment horizontal="left" vertical="center"/>
    </xf>
    <xf numFmtId="0" fontId="53" fillId="16" borderId="24" xfId="1" applyFont="1" applyFill="1" applyBorder="1" applyAlignment="1" applyProtection="1">
      <alignment horizontal="center" vertical="center"/>
      <protection locked="0"/>
    </xf>
    <xf numFmtId="177" fontId="47" fillId="16" borderId="1" xfId="1" applyNumberFormat="1" applyFont="1" applyFill="1" applyBorder="1" applyAlignment="1" applyProtection="1">
      <alignment horizontal="center" vertical="center"/>
      <protection locked="0"/>
    </xf>
    <xf numFmtId="177" fontId="44" fillId="16" borderId="1" xfId="1" applyNumberFormat="1" applyFont="1" applyFill="1" applyBorder="1" applyAlignment="1" applyProtection="1">
      <alignment horizontal="center" vertical="center"/>
      <protection locked="0"/>
    </xf>
    <xf numFmtId="10" fontId="47" fillId="16" borderId="1" xfId="1" applyNumberFormat="1" applyFont="1" applyFill="1" applyBorder="1" applyAlignment="1" applyProtection="1">
      <alignment horizontal="center" vertical="center"/>
      <protection locked="0"/>
    </xf>
    <xf numFmtId="177" fontId="53" fillId="16" borderId="1" xfId="1" applyNumberFormat="1" applyFont="1" applyFill="1" applyBorder="1" applyAlignment="1" applyProtection="1">
      <alignment horizontal="center"/>
      <protection locked="0"/>
    </xf>
    <xf numFmtId="0" fontId="113" fillId="6" borderId="13" xfId="0" applyFont="1" applyFill="1" applyBorder="1">
      <alignment vertical="center"/>
    </xf>
    <xf numFmtId="0" fontId="54" fillId="16" borderId="2"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07" fillId="0" borderId="60" xfId="0" applyFont="1" applyBorder="1" applyAlignment="1">
      <alignment horizontal="center" vertical="center"/>
    </xf>
    <xf numFmtId="0" fontId="95" fillId="0" borderId="1" xfId="0" applyFont="1" applyBorder="1" applyAlignment="1">
      <alignment horizontal="center" vertical="center"/>
    </xf>
    <xf numFmtId="0" fontId="95" fillId="0" borderId="13" xfId="0" applyFont="1" applyBorder="1" applyAlignment="1">
      <alignment horizontal="center" vertical="center"/>
    </xf>
    <xf numFmtId="0" fontId="95" fillId="0" borderId="2" xfId="0" applyFont="1" applyBorder="1" applyAlignment="1">
      <alignment horizontal="center" vertical="center"/>
    </xf>
    <xf numFmtId="0" fontId="95" fillId="0" borderId="5" xfId="0" applyFont="1" applyBorder="1" applyAlignment="1">
      <alignment horizontal="center" vertical="center"/>
    </xf>
    <xf numFmtId="0" fontId="95" fillId="0" borderId="6" xfId="0" applyFont="1" applyBorder="1" applyAlignment="1">
      <alignment horizontal="center" vertical="center"/>
    </xf>
    <xf numFmtId="0" fontId="95" fillId="0" borderId="9" xfId="0" applyFont="1" applyBorder="1" applyAlignment="1">
      <alignment horizontal="center" vertical="center"/>
    </xf>
    <xf numFmtId="0" fontId="95" fillId="0" borderId="10" xfId="0" applyFont="1" applyBorder="1" applyAlignment="1">
      <alignment horizontal="center" vertical="center"/>
    </xf>
    <xf numFmtId="0" fontId="95" fillId="0" borderId="3" xfId="0"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139" fillId="6" borderId="1" xfId="0" applyFont="1" applyFill="1" applyBorder="1" applyAlignment="1">
      <alignment horizontal="center" vertical="center" wrapText="1"/>
    </xf>
    <xf numFmtId="0" fontId="96" fillId="0" borderId="0" xfId="0" applyFont="1" applyAlignment="1">
      <alignment horizontal="lef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07" fillId="0" borderId="0" xfId="0" applyFont="1" applyAlignment="1">
      <alignment horizontal="center"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171">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21" Type="http://schemas.openxmlformats.org/officeDocument/2006/relationships/image" Target="../media/image26.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 Id="rId9"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161924</xdr:rowOff>
    </xdr:from>
    <xdr:to>
      <xdr:col>16</xdr:col>
      <xdr:colOff>114882</xdr:colOff>
      <xdr:row>10</xdr:row>
      <xdr:rowOff>57149</xdr:rowOff>
    </xdr:to>
    <xdr:pic>
      <xdr:nvPicPr>
        <xdr:cNvPr id="2" name="图片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stretch>
          <a:fillRect/>
        </a:stretch>
      </xdr:blipFill>
      <xdr:spPr>
        <a:xfrm>
          <a:off x="0" y="504824"/>
          <a:ext cx="13868982" cy="1266825"/>
        </a:xfrm>
        <a:prstGeom prst="rect">
          <a:avLst/>
        </a:prstGeom>
      </xdr:spPr>
    </xdr:pic>
    <xdr:clientData/>
  </xdr:twoCellAnchor>
  <xdr:twoCellAnchor editAs="oneCell">
    <xdr:from>
      <xdr:col>0</xdr:col>
      <xdr:colOff>0</xdr:colOff>
      <xdr:row>12</xdr:row>
      <xdr:rowOff>95250</xdr:rowOff>
    </xdr:from>
    <xdr:to>
      <xdr:col>11</xdr:col>
      <xdr:colOff>293913</xdr:colOff>
      <xdr:row>35</xdr:row>
      <xdr:rowOff>161424</xdr:rowOff>
    </xdr:to>
    <xdr:pic>
      <xdr:nvPicPr>
        <xdr:cNvPr id="3" name="图片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a:stretch>
          <a:fillRect/>
        </a:stretch>
      </xdr:blipFill>
      <xdr:spPr>
        <a:xfrm>
          <a:off x="0" y="2152650"/>
          <a:ext cx="10904763" cy="4009524"/>
        </a:xfrm>
        <a:prstGeom prst="rect">
          <a:avLst/>
        </a:prstGeom>
      </xdr:spPr>
    </xdr:pic>
    <xdr:clientData/>
  </xdr:twoCellAnchor>
  <xdr:twoCellAnchor editAs="oneCell">
    <xdr:from>
      <xdr:col>0</xdr:col>
      <xdr:colOff>0</xdr:colOff>
      <xdr:row>36</xdr:row>
      <xdr:rowOff>47625</xdr:rowOff>
    </xdr:from>
    <xdr:to>
      <xdr:col>8</xdr:col>
      <xdr:colOff>265560</xdr:colOff>
      <xdr:row>56</xdr:row>
      <xdr:rowOff>113863</xdr:rowOff>
    </xdr:to>
    <xdr:pic>
      <xdr:nvPicPr>
        <xdr:cNvPr id="9" name="图片 8">
          <a:extLst>
            <a:ext uri="{FF2B5EF4-FFF2-40B4-BE49-F238E27FC236}">
              <a16:creationId xmlns:a16="http://schemas.microsoft.com/office/drawing/2014/main" xmlns="" id="{00000000-0008-0000-0D00-000009000000}"/>
            </a:ext>
          </a:extLst>
        </xdr:cNvPr>
        <xdr:cNvPicPr>
          <a:picLocks noChangeAspect="1"/>
        </xdr:cNvPicPr>
      </xdr:nvPicPr>
      <xdr:blipFill>
        <a:blip xmlns:r="http://schemas.openxmlformats.org/officeDocument/2006/relationships" r:embed="rId3"/>
        <a:stretch>
          <a:fillRect/>
        </a:stretch>
      </xdr:blipFill>
      <xdr:spPr>
        <a:xfrm>
          <a:off x="0" y="6219825"/>
          <a:ext cx="9123810" cy="34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93</xdr:row>
      <xdr:rowOff>133350</xdr:rowOff>
    </xdr:from>
    <xdr:to>
      <xdr:col>22</xdr:col>
      <xdr:colOff>179538</xdr:colOff>
      <xdr:row>125</xdr:row>
      <xdr:rowOff>8931</xdr:rowOff>
    </xdr:to>
    <xdr:pic>
      <xdr:nvPicPr>
        <xdr:cNvPr id="7" name="图片 6">
          <a:extLst>
            <a:ext uri="{FF2B5EF4-FFF2-40B4-BE49-F238E27FC236}">
              <a16:creationId xmlns:a16="http://schemas.microsoft.com/office/drawing/2014/main" xmlns="" id="{00000000-0008-0000-1600-000007000000}"/>
            </a:ext>
          </a:extLst>
        </xdr:cNvPr>
        <xdr:cNvPicPr>
          <a:picLocks noChangeAspect="1"/>
        </xdr:cNvPicPr>
      </xdr:nvPicPr>
      <xdr:blipFill>
        <a:blip xmlns:r="http://schemas.openxmlformats.org/officeDocument/2006/relationships" r:embed="rId1"/>
        <a:stretch>
          <a:fillRect/>
        </a:stretch>
      </xdr:blipFill>
      <xdr:spPr>
        <a:xfrm>
          <a:off x="0" y="28498800"/>
          <a:ext cx="11504763" cy="4752381"/>
        </a:xfrm>
        <a:prstGeom prst="rect">
          <a:avLst/>
        </a:prstGeom>
      </xdr:spPr>
    </xdr:pic>
    <xdr:clientData/>
  </xdr:twoCellAnchor>
  <xdr:twoCellAnchor editAs="oneCell">
    <xdr:from>
      <xdr:col>0</xdr:col>
      <xdr:colOff>0</xdr:colOff>
      <xdr:row>125</xdr:row>
      <xdr:rowOff>38100</xdr:rowOff>
    </xdr:from>
    <xdr:to>
      <xdr:col>22</xdr:col>
      <xdr:colOff>55728</xdr:colOff>
      <xdr:row>160</xdr:row>
      <xdr:rowOff>151719</xdr:rowOff>
    </xdr:to>
    <xdr:pic>
      <xdr:nvPicPr>
        <xdr:cNvPr id="8" name="图片 7">
          <a:extLst>
            <a:ext uri="{FF2B5EF4-FFF2-40B4-BE49-F238E27FC236}">
              <a16:creationId xmlns:a16="http://schemas.microsoft.com/office/drawing/2014/main" xmlns="" id="{00000000-0008-0000-1600-000008000000}"/>
            </a:ext>
          </a:extLst>
        </xdr:cNvPr>
        <xdr:cNvPicPr>
          <a:picLocks noChangeAspect="1"/>
        </xdr:cNvPicPr>
      </xdr:nvPicPr>
      <xdr:blipFill>
        <a:blip xmlns:r="http://schemas.openxmlformats.org/officeDocument/2006/relationships" r:embed="rId2"/>
        <a:stretch>
          <a:fillRect/>
        </a:stretch>
      </xdr:blipFill>
      <xdr:spPr>
        <a:xfrm>
          <a:off x="0" y="33280350"/>
          <a:ext cx="11380953" cy="5447619"/>
        </a:xfrm>
        <a:prstGeom prst="rect">
          <a:avLst/>
        </a:prstGeom>
      </xdr:spPr>
    </xdr:pic>
    <xdr:clientData/>
  </xdr:twoCellAnchor>
  <xdr:twoCellAnchor editAs="oneCell">
    <xdr:from>
      <xdr:col>0</xdr:col>
      <xdr:colOff>0</xdr:colOff>
      <xdr:row>160</xdr:row>
      <xdr:rowOff>123825</xdr:rowOff>
    </xdr:from>
    <xdr:to>
      <xdr:col>21</xdr:col>
      <xdr:colOff>112965</xdr:colOff>
      <xdr:row>191</xdr:row>
      <xdr:rowOff>94663</xdr:rowOff>
    </xdr:to>
    <xdr:pic>
      <xdr:nvPicPr>
        <xdr:cNvPr id="9" name="图片 8">
          <a:extLst>
            <a:ext uri="{FF2B5EF4-FFF2-40B4-BE49-F238E27FC236}">
              <a16:creationId xmlns:a16="http://schemas.microsoft.com/office/drawing/2014/main" xmlns="" id="{00000000-0008-0000-1600-000009000000}"/>
            </a:ext>
          </a:extLst>
        </xdr:cNvPr>
        <xdr:cNvPicPr>
          <a:picLocks noChangeAspect="1"/>
        </xdr:cNvPicPr>
      </xdr:nvPicPr>
      <xdr:blipFill>
        <a:blip xmlns:r="http://schemas.openxmlformats.org/officeDocument/2006/relationships" r:embed="rId3"/>
        <a:stretch>
          <a:fillRect/>
        </a:stretch>
      </xdr:blipFill>
      <xdr:spPr>
        <a:xfrm>
          <a:off x="0" y="38700075"/>
          <a:ext cx="10685715" cy="4695238"/>
        </a:xfrm>
        <a:prstGeom prst="rect">
          <a:avLst/>
        </a:prstGeom>
      </xdr:spPr>
    </xdr:pic>
    <xdr:clientData/>
  </xdr:twoCellAnchor>
  <xdr:twoCellAnchor editAs="oneCell">
    <xdr:from>
      <xdr:col>0</xdr:col>
      <xdr:colOff>0</xdr:colOff>
      <xdr:row>209</xdr:row>
      <xdr:rowOff>104775</xdr:rowOff>
    </xdr:from>
    <xdr:to>
      <xdr:col>21</xdr:col>
      <xdr:colOff>693917</xdr:colOff>
      <xdr:row>235</xdr:row>
      <xdr:rowOff>85232</xdr:rowOff>
    </xdr:to>
    <xdr:pic>
      <xdr:nvPicPr>
        <xdr:cNvPr id="10" name="图片 9">
          <a:extLst>
            <a:ext uri="{FF2B5EF4-FFF2-40B4-BE49-F238E27FC236}">
              <a16:creationId xmlns:a16="http://schemas.microsoft.com/office/drawing/2014/main" xmlns="" id="{00000000-0008-0000-1600-00000A000000}"/>
            </a:ext>
          </a:extLst>
        </xdr:cNvPr>
        <xdr:cNvPicPr>
          <a:picLocks noChangeAspect="1"/>
        </xdr:cNvPicPr>
      </xdr:nvPicPr>
      <xdr:blipFill>
        <a:blip xmlns:r="http://schemas.openxmlformats.org/officeDocument/2006/relationships" r:embed="rId4"/>
        <a:stretch>
          <a:fillRect/>
        </a:stretch>
      </xdr:blipFill>
      <xdr:spPr>
        <a:xfrm>
          <a:off x="0" y="46148625"/>
          <a:ext cx="11266667" cy="3942857"/>
        </a:xfrm>
        <a:prstGeom prst="rect">
          <a:avLst/>
        </a:prstGeom>
      </xdr:spPr>
    </xdr:pic>
    <xdr:clientData/>
  </xdr:twoCellAnchor>
  <xdr:twoCellAnchor editAs="oneCell">
    <xdr:from>
      <xdr:col>0</xdr:col>
      <xdr:colOff>0</xdr:colOff>
      <xdr:row>192</xdr:row>
      <xdr:rowOff>9525</xdr:rowOff>
    </xdr:from>
    <xdr:to>
      <xdr:col>7</xdr:col>
      <xdr:colOff>304800</xdr:colOff>
      <xdr:row>209</xdr:row>
      <xdr:rowOff>121017</xdr:rowOff>
    </xdr:to>
    <xdr:pic>
      <xdr:nvPicPr>
        <xdr:cNvPr id="12" name="图片 11">
          <a:extLst>
            <a:ext uri="{FF2B5EF4-FFF2-40B4-BE49-F238E27FC236}">
              <a16:creationId xmlns:a16="http://schemas.microsoft.com/office/drawing/2014/main" xmlns="" id="{00000000-0008-0000-1600-00000C000000}"/>
            </a:ext>
          </a:extLst>
        </xdr:cNvPr>
        <xdr:cNvPicPr>
          <a:picLocks noChangeAspect="1"/>
        </xdr:cNvPicPr>
      </xdr:nvPicPr>
      <xdr:blipFill>
        <a:blip xmlns:r="http://schemas.openxmlformats.org/officeDocument/2006/relationships" r:embed="rId5"/>
        <a:stretch>
          <a:fillRect/>
        </a:stretch>
      </xdr:blipFill>
      <xdr:spPr>
        <a:xfrm>
          <a:off x="0" y="43462575"/>
          <a:ext cx="4562475" cy="2702292"/>
        </a:xfrm>
        <a:prstGeom prst="rect">
          <a:avLst/>
        </a:prstGeom>
      </xdr:spPr>
    </xdr:pic>
    <xdr:clientData/>
  </xdr:twoCellAnchor>
  <xdr:twoCellAnchor editAs="oneCell">
    <xdr:from>
      <xdr:col>0</xdr:col>
      <xdr:colOff>0</xdr:colOff>
      <xdr:row>390</xdr:row>
      <xdr:rowOff>142875</xdr:rowOff>
    </xdr:from>
    <xdr:to>
      <xdr:col>22</xdr:col>
      <xdr:colOff>103347</xdr:colOff>
      <xdr:row>422</xdr:row>
      <xdr:rowOff>56552</xdr:rowOff>
    </xdr:to>
    <xdr:pic>
      <xdr:nvPicPr>
        <xdr:cNvPr id="14" name="图片 13">
          <a:extLst>
            <a:ext uri="{FF2B5EF4-FFF2-40B4-BE49-F238E27FC236}">
              <a16:creationId xmlns:a16="http://schemas.microsoft.com/office/drawing/2014/main" xmlns="" id="{00000000-0008-0000-1600-00000E000000}"/>
            </a:ext>
          </a:extLst>
        </xdr:cNvPr>
        <xdr:cNvPicPr>
          <a:picLocks noChangeAspect="1"/>
        </xdr:cNvPicPr>
      </xdr:nvPicPr>
      <xdr:blipFill>
        <a:blip xmlns:r="http://schemas.openxmlformats.org/officeDocument/2006/relationships" r:embed="rId6"/>
        <a:stretch>
          <a:fillRect/>
        </a:stretch>
      </xdr:blipFill>
      <xdr:spPr>
        <a:xfrm>
          <a:off x="0" y="78647925"/>
          <a:ext cx="11428572" cy="4790477"/>
        </a:xfrm>
        <a:prstGeom prst="rect">
          <a:avLst/>
        </a:prstGeom>
      </xdr:spPr>
    </xdr:pic>
    <xdr:clientData/>
  </xdr:twoCellAnchor>
  <xdr:twoCellAnchor editAs="oneCell">
    <xdr:from>
      <xdr:col>0</xdr:col>
      <xdr:colOff>0</xdr:colOff>
      <xdr:row>422</xdr:row>
      <xdr:rowOff>123825</xdr:rowOff>
    </xdr:from>
    <xdr:to>
      <xdr:col>22</xdr:col>
      <xdr:colOff>93823</xdr:colOff>
      <xdr:row>458</xdr:row>
      <xdr:rowOff>27902</xdr:rowOff>
    </xdr:to>
    <xdr:pic>
      <xdr:nvPicPr>
        <xdr:cNvPr id="15" name="图片 14">
          <a:extLst>
            <a:ext uri="{FF2B5EF4-FFF2-40B4-BE49-F238E27FC236}">
              <a16:creationId xmlns:a16="http://schemas.microsoft.com/office/drawing/2014/main" xmlns="" id="{00000000-0008-0000-1600-00000F000000}"/>
            </a:ext>
          </a:extLst>
        </xdr:cNvPr>
        <xdr:cNvPicPr>
          <a:picLocks noChangeAspect="1"/>
        </xdr:cNvPicPr>
      </xdr:nvPicPr>
      <xdr:blipFill>
        <a:blip xmlns:r="http://schemas.openxmlformats.org/officeDocument/2006/relationships" r:embed="rId7"/>
        <a:stretch>
          <a:fillRect/>
        </a:stretch>
      </xdr:blipFill>
      <xdr:spPr>
        <a:xfrm>
          <a:off x="0" y="83505675"/>
          <a:ext cx="11419048" cy="5390477"/>
        </a:xfrm>
        <a:prstGeom prst="rect">
          <a:avLst/>
        </a:prstGeom>
      </xdr:spPr>
    </xdr:pic>
    <xdr:clientData/>
  </xdr:twoCellAnchor>
  <xdr:twoCellAnchor editAs="oneCell">
    <xdr:from>
      <xdr:col>0</xdr:col>
      <xdr:colOff>0</xdr:colOff>
      <xdr:row>458</xdr:row>
      <xdr:rowOff>66675</xdr:rowOff>
    </xdr:from>
    <xdr:to>
      <xdr:col>20</xdr:col>
      <xdr:colOff>836913</xdr:colOff>
      <xdr:row>489</xdr:row>
      <xdr:rowOff>56561</xdr:rowOff>
    </xdr:to>
    <xdr:pic>
      <xdr:nvPicPr>
        <xdr:cNvPr id="16" name="图片 15">
          <a:extLst>
            <a:ext uri="{FF2B5EF4-FFF2-40B4-BE49-F238E27FC236}">
              <a16:creationId xmlns:a16="http://schemas.microsoft.com/office/drawing/2014/main" xmlns="" id="{00000000-0008-0000-1600-000010000000}"/>
            </a:ext>
          </a:extLst>
        </xdr:cNvPr>
        <xdr:cNvPicPr>
          <a:picLocks noChangeAspect="1"/>
        </xdr:cNvPicPr>
      </xdr:nvPicPr>
      <xdr:blipFill>
        <a:blip xmlns:r="http://schemas.openxmlformats.org/officeDocument/2006/relationships" r:embed="rId8"/>
        <a:stretch>
          <a:fillRect/>
        </a:stretch>
      </xdr:blipFill>
      <xdr:spPr>
        <a:xfrm>
          <a:off x="0" y="88934925"/>
          <a:ext cx="10304763" cy="4714286"/>
        </a:xfrm>
        <a:prstGeom prst="rect">
          <a:avLst/>
        </a:prstGeom>
      </xdr:spPr>
    </xdr:pic>
    <xdr:clientData/>
  </xdr:twoCellAnchor>
  <xdr:twoCellAnchor editAs="oneCell">
    <xdr:from>
      <xdr:col>0</xdr:col>
      <xdr:colOff>0</xdr:colOff>
      <xdr:row>490</xdr:row>
      <xdr:rowOff>47625</xdr:rowOff>
    </xdr:from>
    <xdr:to>
      <xdr:col>21</xdr:col>
      <xdr:colOff>646298</xdr:colOff>
      <xdr:row>515</xdr:row>
      <xdr:rowOff>85244</xdr:rowOff>
    </xdr:to>
    <xdr:pic>
      <xdr:nvPicPr>
        <xdr:cNvPr id="17" name="图片 16">
          <a:extLst>
            <a:ext uri="{FF2B5EF4-FFF2-40B4-BE49-F238E27FC236}">
              <a16:creationId xmlns:a16="http://schemas.microsoft.com/office/drawing/2014/main" xmlns="" id="{00000000-0008-0000-1600-000011000000}"/>
            </a:ext>
          </a:extLst>
        </xdr:cNvPr>
        <xdr:cNvPicPr>
          <a:picLocks noChangeAspect="1"/>
        </xdr:cNvPicPr>
      </xdr:nvPicPr>
      <xdr:blipFill>
        <a:blip xmlns:r="http://schemas.openxmlformats.org/officeDocument/2006/relationships" r:embed="rId9"/>
        <a:stretch>
          <a:fillRect/>
        </a:stretch>
      </xdr:blipFill>
      <xdr:spPr>
        <a:xfrm>
          <a:off x="0" y="93792675"/>
          <a:ext cx="11219048" cy="3847619"/>
        </a:xfrm>
        <a:prstGeom prst="rect">
          <a:avLst/>
        </a:prstGeom>
      </xdr:spPr>
    </xdr:pic>
    <xdr:clientData/>
  </xdr:twoCellAnchor>
  <xdr:twoCellAnchor editAs="oneCell">
    <xdr:from>
      <xdr:col>22</xdr:col>
      <xdr:colOff>0</xdr:colOff>
      <xdr:row>469</xdr:row>
      <xdr:rowOff>9525</xdr:rowOff>
    </xdr:from>
    <xdr:to>
      <xdr:col>32</xdr:col>
      <xdr:colOff>437517</xdr:colOff>
      <xdr:row>501</xdr:row>
      <xdr:rowOff>18440</xdr:rowOff>
    </xdr:to>
    <xdr:pic>
      <xdr:nvPicPr>
        <xdr:cNvPr id="18" name="图片 17">
          <a:extLst>
            <a:ext uri="{FF2B5EF4-FFF2-40B4-BE49-F238E27FC236}">
              <a16:creationId xmlns:a16="http://schemas.microsoft.com/office/drawing/2014/main" xmlns="" id="{00000000-0008-0000-1600-000012000000}"/>
            </a:ext>
          </a:extLst>
        </xdr:cNvPr>
        <xdr:cNvPicPr>
          <a:picLocks noChangeAspect="1"/>
        </xdr:cNvPicPr>
      </xdr:nvPicPr>
      <xdr:blipFill>
        <a:blip xmlns:r="http://schemas.openxmlformats.org/officeDocument/2006/relationships" r:embed="rId10"/>
        <a:stretch>
          <a:fillRect/>
        </a:stretch>
      </xdr:blipFill>
      <xdr:spPr>
        <a:xfrm>
          <a:off x="11325225" y="90554175"/>
          <a:ext cx="5066667" cy="4885715"/>
        </a:xfrm>
        <a:prstGeom prst="rect">
          <a:avLst/>
        </a:prstGeom>
      </xdr:spPr>
    </xdr:pic>
    <xdr:clientData/>
  </xdr:twoCellAnchor>
  <xdr:twoCellAnchor editAs="oneCell">
    <xdr:from>
      <xdr:col>0</xdr:col>
      <xdr:colOff>0</xdr:colOff>
      <xdr:row>518</xdr:row>
      <xdr:rowOff>95250</xdr:rowOff>
    </xdr:from>
    <xdr:to>
      <xdr:col>22</xdr:col>
      <xdr:colOff>179538</xdr:colOff>
      <xdr:row>549</xdr:row>
      <xdr:rowOff>132755</xdr:rowOff>
    </xdr:to>
    <xdr:pic>
      <xdr:nvPicPr>
        <xdr:cNvPr id="19" name="图片 18">
          <a:extLst>
            <a:ext uri="{FF2B5EF4-FFF2-40B4-BE49-F238E27FC236}">
              <a16:creationId xmlns:a16="http://schemas.microsoft.com/office/drawing/2014/main" xmlns="" id="{00000000-0008-0000-1600-000013000000}"/>
            </a:ext>
          </a:extLst>
        </xdr:cNvPr>
        <xdr:cNvPicPr>
          <a:picLocks noChangeAspect="1"/>
        </xdr:cNvPicPr>
      </xdr:nvPicPr>
      <xdr:blipFill>
        <a:blip xmlns:r="http://schemas.openxmlformats.org/officeDocument/2006/relationships" r:embed="rId11"/>
        <a:stretch>
          <a:fillRect/>
        </a:stretch>
      </xdr:blipFill>
      <xdr:spPr>
        <a:xfrm>
          <a:off x="0" y="98107500"/>
          <a:ext cx="11504763" cy="4761905"/>
        </a:xfrm>
        <a:prstGeom prst="rect">
          <a:avLst/>
        </a:prstGeom>
      </xdr:spPr>
    </xdr:pic>
    <xdr:clientData/>
  </xdr:twoCellAnchor>
  <xdr:twoCellAnchor editAs="oneCell">
    <xdr:from>
      <xdr:col>0</xdr:col>
      <xdr:colOff>0</xdr:colOff>
      <xdr:row>550</xdr:row>
      <xdr:rowOff>95250</xdr:rowOff>
    </xdr:from>
    <xdr:to>
      <xdr:col>22</xdr:col>
      <xdr:colOff>55728</xdr:colOff>
      <xdr:row>586</xdr:row>
      <xdr:rowOff>132660</xdr:rowOff>
    </xdr:to>
    <xdr:pic>
      <xdr:nvPicPr>
        <xdr:cNvPr id="20" name="图片 19">
          <a:extLst>
            <a:ext uri="{FF2B5EF4-FFF2-40B4-BE49-F238E27FC236}">
              <a16:creationId xmlns:a16="http://schemas.microsoft.com/office/drawing/2014/main" xmlns="" id="{00000000-0008-0000-1600-000014000000}"/>
            </a:ext>
          </a:extLst>
        </xdr:cNvPr>
        <xdr:cNvPicPr>
          <a:picLocks noChangeAspect="1"/>
        </xdr:cNvPicPr>
      </xdr:nvPicPr>
      <xdr:blipFill>
        <a:blip xmlns:r="http://schemas.openxmlformats.org/officeDocument/2006/relationships" r:embed="rId12"/>
        <a:stretch>
          <a:fillRect/>
        </a:stretch>
      </xdr:blipFill>
      <xdr:spPr>
        <a:xfrm>
          <a:off x="0" y="102984300"/>
          <a:ext cx="11380953" cy="5523810"/>
        </a:xfrm>
        <a:prstGeom prst="rect">
          <a:avLst/>
        </a:prstGeom>
      </xdr:spPr>
    </xdr:pic>
    <xdr:clientData/>
  </xdr:twoCellAnchor>
  <xdr:twoCellAnchor editAs="oneCell">
    <xdr:from>
      <xdr:col>0</xdr:col>
      <xdr:colOff>0</xdr:colOff>
      <xdr:row>587</xdr:row>
      <xdr:rowOff>47625</xdr:rowOff>
    </xdr:from>
    <xdr:to>
      <xdr:col>20</xdr:col>
      <xdr:colOff>798817</xdr:colOff>
      <xdr:row>617</xdr:row>
      <xdr:rowOff>142292</xdr:rowOff>
    </xdr:to>
    <xdr:pic>
      <xdr:nvPicPr>
        <xdr:cNvPr id="21" name="图片 20">
          <a:extLst>
            <a:ext uri="{FF2B5EF4-FFF2-40B4-BE49-F238E27FC236}">
              <a16:creationId xmlns:a16="http://schemas.microsoft.com/office/drawing/2014/main" xmlns="" id="{00000000-0008-0000-1600-000015000000}"/>
            </a:ext>
          </a:extLst>
        </xdr:cNvPr>
        <xdr:cNvPicPr>
          <a:picLocks noChangeAspect="1"/>
        </xdr:cNvPicPr>
      </xdr:nvPicPr>
      <xdr:blipFill>
        <a:blip xmlns:r="http://schemas.openxmlformats.org/officeDocument/2006/relationships" r:embed="rId13"/>
        <a:stretch>
          <a:fillRect/>
        </a:stretch>
      </xdr:blipFill>
      <xdr:spPr>
        <a:xfrm>
          <a:off x="0" y="108575475"/>
          <a:ext cx="10266667" cy="4666667"/>
        </a:xfrm>
        <a:prstGeom prst="rect">
          <a:avLst/>
        </a:prstGeom>
      </xdr:spPr>
    </xdr:pic>
    <xdr:clientData/>
  </xdr:twoCellAnchor>
  <xdr:twoCellAnchor editAs="oneCell">
    <xdr:from>
      <xdr:col>0</xdr:col>
      <xdr:colOff>0</xdr:colOff>
      <xdr:row>618</xdr:row>
      <xdr:rowOff>19050</xdr:rowOff>
    </xdr:from>
    <xdr:to>
      <xdr:col>21</xdr:col>
      <xdr:colOff>693917</xdr:colOff>
      <xdr:row>643</xdr:row>
      <xdr:rowOff>85241</xdr:rowOff>
    </xdr:to>
    <xdr:pic>
      <xdr:nvPicPr>
        <xdr:cNvPr id="22" name="图片 21">
          <a:extLst>
            <a:ext uri="{FF2B5EF4-FFF2-40B4-BE49-F238E27FC236}">
              <a16:creationId xmlns:a16="http://schemas.microsoft.com/office/drawing/2014/main" xmlns="" id="{00000000-0008-0000-1600-000016000000}"/>
            </a:ext>
          </a:extLst>
        </xdr:cNvPr>
        <xdr:cNvPicPr>
          <a:picLocks noChangeAspect="1"/>
        </xdr:cNvPicPr>
      </xdr:nvPicPr>
      <xdr:blipFill>
        <a:blip xmlns:r="http://schemas.openxmlformats.org/officeDocument/2006/relationships" r:embed="rId14"/>
        <a:stretch>
          <a:fillRect/>
        </a:stretch>
      </xdr:blipFill>
      <xdr:spPr>
        <a:xfrm>
          <a:off x="0" y="113271300"/>
          <a:ext cx="11266667" cy="3876191"/>
        </a:xfrm>
        <a:prstGeom prst="rect">
          <a:avLst/>
        </a:prstGeom>
      </xdr:spPr>
    </xdr:pic>
    <xdr:clientData/>
  </xdr:twoCellAnchor>
  <xdr:twoCellAnchor editAs="oneCell">
    <xdr:from>
      <xdr:col>0</xdr:col>
      <xdr:colOff>0</xdr:colOff>
      <xdr:row>644</xdr:row>
      <xdr:rowOff>47625</xdr:rowOff>
    </xdr:from>
    <xdr:to>
      <xdr:col>15</xdr:col>
      <xdr:colOff>722923</xdr:colOff>
      <xdr:row>669</xdr:row>
      <xdr:rowOff>47149</xdr:rowOff>
    </xdr:to>
    <xdr:pic>
      <xdr:nvPicPr>
        <xdr:cNvPr id="23" name="图片 22">
          <a:extLst>
            <a:ext uri="{FF2B5EF4-FFF2-40B4-BE49-F238E27FC236}">
              <a16:creationId xmlns:a16="http://schemas.microsoft.com/office/drawing/2014/main" xmlns="" id="{00000000-0008-0000-1600-000017000000}"/>
            </a:ext>
          </a:extLst>
        </xdr:cNvPr>
        <xdr:cNvPicPr>
          <a:picLocks noChangeAspect="1"/>
        </xdr:cNvPicPr>
      </xdr:nvPicPr>
      <xdr:blipFill>
        <a:blip xmlns:r="http://schemas.openxmlformats.org/officeDocument/2006/relationships" r:embed="rId15"/>
        <a:stretch>
          <a:fillRect/>
        </a:stretch>
      </xdr:blipFill>
      <xdr:spPr>
        <a:xfrm>
          <a:off x="0" y="117262275"/>
          <a:ext cx="7819048" cy="3809524"/>
        </a:xfrm>
        <a:prstGeom prst="rect">
          <a:avLst/>
        </a:prstGeom>
      </xdr:spPr>
    </xdr:pic>
    <xdr:clientData/>
  </xdr:twoCellAnchor>
  <xdr:twoCellAnchor editAs="oneCell">
    <xdr:from>
      <xdr:col>0</xdr:col>
      <xdr:colOff>0</xdr:colOff>
      <xdr:row>54</xdr:row>
      <xdr:rowOff>9525</xdr:rowOff>
    </xdr:from>
    <xdr:to>
      <xdr:col>18</xdr:col>
      <xdr:colOff>446629</xdr:colOff>
      <xdr:row>86</xdr:row>
      <xdr:rowOff>104154</xdr:rowOff>
    </xdr:to>
    <xdr:pic>
      <xdr:nvPicPr>
        <xdr:cNvPr id="24" name="图片 23">
          <a:extLst>
            <a:ext uri="{FF2B5EF4-FFF2-40B4-BE49-F238E27FC236}">
              <a16:creationId xmlns:a16="http://schemas.microsoft.com/office/drawing/2014/main" xmlns="" id="{00000000-0008-0000-1600-000018000000}"/>
            </a:ext>
          </a:extLst>
        </xdr:cNvPr>
        <xdr:cNvPicPr>
          <a:picLocks noChangeAspect="1"/>
        </xdr:cNvPicPr>
      </xdr:nvPicPr>
      <xdr:blipFill>
        <a:blip xmlns:r="http://schemas.openxmlformats.org/officeDocument/2006/relationships" r:embed="rId16"/>
        <a:stretch>
          <a:fillRect/>
        </a:stretch>
      </xdr:blipFill>
      <xdr:spPr>
        <a:xfrm>
          <a:off x="0" y="8391525"/>
          <a:ext cx="8371429" cy="4971429"/>
        </a:xfrm>
        <a:prstGeom prst="rect">
          <a:avLst/>
        </a:prstGeom>
      </xdr:spPr>
    </xdr:pic>
    <xdr:clientData/>
  </xdr:twoCellAnchor>
  <xdr:twoCellAnchor editAs="oneCell">
    <xdr:from>
      <xdr:col>0</xdr:col>
      <xdr:colOff>0</xdr:colOff>
      <xdr:row>362</xdr:row>
      <xdr:rowOff>28575</xdr:rowOff>
    </xdr:from>
    <xdr:to>
      <xdr:col>21</xdr:col>
      <xdr:colOff>741536</xdr:colOff>
      <xdr:row>387</xdr:row>
      <xdr:rowOff>85242</xdr:rowOff>
    </xdr:to>
    <xdr:pic>
      <xdr:nvPicPr>
        <xdr:cNvPr id="11" name="图片 10">
          <a:extLst>
            <a:ext uri="{FF2B5EF4-FFF2-40B4-BE49-F238E27FC236}">
              <a16:creationId xmlns:a16="http://schemas.microsoft.com/office/drawing/2014/main" xmlns="" id="{31A56943-6A49-4104-AADC-59B167917EF2}"/>
            </a:ext>
          </a:extLst>
        </xdr:cNvPr>
        <xdr:cNvPicPr>
          <a:picLocks noChangeAspect="1"/>
        </xdr:cNvPicPr>
      </xdr:nvPicPr>
      <xdr:blipFill>
        <a:blip xmlns:r="http://schemas.openxmlformats.org/officeDocument/2006/relationships" r:embed="rId17"/>
        <a:stretch>
          <a:fillRect/>
        </a:stretch>
      </xdr:blipFill>
      <xdr:spPr>
        <a:xfrm>
          <a:off x="0" y="74266425"/>
          <a:ext cx="11314286" cy="3866667"/>
        </a:xfrm>
        <a:prstGeom prst="rect">
          <a:avLst/>
        </a:prstGeom>
      </xdr:spPr>
    </xdr:pic>
    <xdr:clientData/>
  </xdr:twoCellAnchor>
  <xdr:twoCellAnchor editAs="oneCell">
    <xdr:from>
      <xdr:col>0</xdr:col>
      <xdr:colOff>0</xdr:colOff>
      <xdr:row>340</xdr:row>
      <xdr:rowOff>133350</xdr:rowOff>
    </xdr:from>
    <xdr:to>
      <xdr:col>15</xdr:col>
      <xdr:colOff>322923</xdr:colOff>
      <xdr:row>360</xdr:row>
      <xdr:rowOff>132969</xdr:rowOff>
    </xdr:to>
    <xdr:pic>
      <xdr:nvPicPr>
        <xdr:cNvPr id="13" name="图片 12">
          <a:extLst>
            <a:ext uri="{FF2B5EF4-FFF2-40B4-BE49-F238E27FC236}">
              <a16:creationId xmlns:a16="http://schemas.microsoft.com/office/drawing/2014/main" xmlns="" id="{D2E85EB8-2F30-4B73-BAC8-41A8D919A0DC}"/>
            </a:ext>
          </a:extLst>
        </xdr:cNvPr>
        <xdr:cNvPicPr>
          <a:picLocks noChangeAspect="1"/>
        </xdr:cNvPicPr>
      </xdr:nvPicPr>
      <xdr:blipFill>
        <a:blip xmlns:r="http://schemas.openxmlformats.org/officeDocument/2006/relationships" r:embed="rId18"/>
        <a:stretch>
          <a:fillRect/>
        </a:stretch>
      </xdr:blipFill>
      <xdr:spPr>
        <a:xfrm>
          <a:off x="0" y="71018400"/>
          <a:ext cx="7419048" cy="3047619"/>
        </a:xfrm>
        <a:prstGeom prst="rect">
          <a:avLst/>
        </a:prstGeom>
      </xdr:spPr>
    </xdr:pic>
    <xdr:clientData/>
  </xdr:twoCellAnchor>
  <xdr:twoCellAnchor editAs="oneCell">
    <xdr:from>
      <xdr:col>0</xdr:col>
      <xdr:colOff>0</xdr:colOff>
      <xdr:row>309</xdr:row>
      <xdr:rowOff>9525</xdr:rowOff>
    </xdr:from>
    <xdr:to>
      <xdr:col>21</xdr:col>
      <xdr:colOff>27251</xdr:colOff>
      <xdr:row>339</xdr:row>
      <xdr:rowOff>142287</xdr:rowOff>
    </xdr:to>
    <xdr:pic>
      <xdr:nvPicPr>
        <xdr:cNvPr id="25" name="图片 24">
          <a:extLst>
            <a:ext uri="{FF2B5EF4-FFF2-40B4-BE49-F238E27FC236}">
              <a16:creationId xmlns:a16="http://schemas.microsoft.com/office/drawing/2014/main" xmlns="" id="{631CABBB-695A-4915-ABDF-67B390C07D93}"/>
            </a:ext>
          </a:extLst>
        </xdr:cNvPr>
        <xdr:cNvPicPr>
          <a:picLocks noChangeAspect="1"/>
        </xdr:cNvPicPr>
      </xdr:nvPicPr>
      <xdr:blipFill>
        <a:blip xmlns:r="http://schemas.openxmlformats.org/officeDocument/2006/relationships" r:embed="rId19"/>
        <a:stretch>
          <a:fillRect/>
        </a:stretch>
      </xdr:blipFill>
      <xdr:spPr>
        <a:xfrm>
          <a:off x="0" y="66170175"/>
          <a:ext cx="10600001" cy="4704762"/>
        </a:xfrm>
        <a:prstGeom prst="rect">
          <a:avLst/>
        </a:prstGeom>
      </xdr:spPr>
    </xdr:pic>
    <xdr:clientData/>
  </xdr:twoCellAnchor>
  <xdr:twoCellAnchor editAs="oneCell">
    <xdr:from>
      <xdr:col>0</xdr:col>
      <xdr:colOff>0</xdr:colOff>
      <xdr:row>272</xdr:row>
      <xdr:rowOff>95250</xdr:rowOff>
    </xdr:from>
    <xdr:to>
      <xdr:col>22</xdr:col>
      <xdr:colOff>84300</xdr:colOff>
      <xdr:row>308</xdr:row>
      <xdr:rowOff>142184</xdr:rowOff>
    </xdr:to>
    <xdr:pic>
      <xdr:nvPicPr>
        <xdr:cNvPr id="26" name="图片 25">
          <a:extLst>
            <a:ext uri="{FF2B5EF4-FFF2-40B4-BE49-F238E27FC236}">
              <a16:creationId xmlns:a16="http://schemas.microsoft.com/office/drawing/2014/main" xmlns="" id="{2335D9B7-D73C-4918-93C4-845D5D71D53B}"/>
            </a:ext>
          </a:extLst>
        </xdr:cNvPr>
        <xdr:cNvPicPr>
          <a:picLocks noChangeAspect="1"/>
        </xdr:cNvPicPr>
      </xdr:nvPicPr>
      <xdr:blipFill>
        <a:blip xmlns:r="http://schemas.openxmlformats.org/officeDocument/2006/relationships" r:embed="rId20"/>
        <a:stretch>
          <a:fillRect/>
        </a:stretch>
      </xdr:blipFill>
      <xdr:spPr>
        <a:xfrm>
          <a:off x="0" y="60617100"/>
          <a:ext cx="11409525" cy="5533334"/>
        </a:xfrm>
        <a:prstGeom prst="rect">
          <a:avLst/>
        </a:prstGeom>
      </xdr:spPr>
    </xdr:pic>
    <xdr:clientData/>
  </xdr:twoCellAnchor>
  <xdr:twoCellAnchor editAs="oneCell">
    <xdr:from>
      <xdr:col>0</xdr:col>
      <xdr:colOff>0</xdr:colOff>
      <xdr:row>240</xdr:row>
      <xdr:rowOff>28575</xdr:rowOff>
    </xdr:from>
    <xdr:to>
      <xdr:col>22</xdr:col>
      <xdr:colOff>217633</xdr:colOff>
      <xdr:row>271</xdr:row>
      <xdr:rowOff>151794</xdr:rowOff>
    </xdr:to>
    <xdr:pic>
      <xdr:nvPicPr>
        <xdr:cNvPr id="27" name="图片 26">
          <a:extLst>
            <a:ext uri="{FF2B5EF4-FFF2-40B4-BE49-F238E27FC236}">
              <a16:creationId xmlns:a16="http://schemas.microsoft.com/office/drawing/2014/main" xmlns="" id="{F52AC28B-CCE8-4066-81DC-D83942CE9152}"/>
            </a:ext>
          </a:extLst>
        </xdr:cNvPr>
        <xdr:cNvPicPr>
          <a:picLocks noChangeAspect="1"/>
        </xdr:cNvPicPr>
      </xdr:nvPicPr>
      <xdr:blipFill>
        <a:blip xmlns:r="http://schemas.openxmlformats.org/officeDocument/2006/relationships" r:embed="rId21"/>
        <a:stretch>
          <a:fillRect/>
        </a:stretch>
      </xdr:blipFill>
      <xdr:spPr>
        <a:xfrm>
          <a:off x="0" y="55978425"/>
          <a:ext cx="11542858" cy="4847619"/>
        </a:xfrm>
        <a:prstGeom prst="rect">
          <a:avLst/>
        </a:prstGeom>
      </xdr:spPr>
    </xdr:pic>
    <xdr:clientData/>
  </xdr:twoCellAnchor>
  <xdr:twoCellAnchor>
    <xdr:from>
      <xdr:col>5</xdr:col>
      <xdr:colOff>323850</xdr:colOff>
      <xdr:row>55</xdr:row>
      <xdr:rowOff>19050</xdr:rowOff>
    </xdr:from>
    <xdr:to>
      <xdr:col>6</xdr:col>
      <xdr:colOff>552450</xdr:colOff>
      <xdr:row>57</xdr:row>
      <xdr:rowOff>133350</xdr:rowOff>
    </xdr:to>
    <xdr:sp macro="" textlink="">
      <xdr:nvSpPr>
        <xdr:cNvPr id="28" name="对话气泡: 椭圆形 27">
          <a:extLst>
            <a:ext uri="{FF2B5EF4-FFF2-40B4-BE49-F238E27FC236}">
              <a16:creationId xmlns:a16="http://schemas.microsoft.com/office/drawing/2014/main" xmlns="" id="{E78F8D33-4E2B-574D-5626-C9D70EC434F1}"/>
            </a:ext>
          </a:extLst>
        </xdr:cNvPr>
        <xdr:cNvSpPr/>
      </xdr:nvSpPr>
      <xdr:spPr>
        <a:xfrm>
          <a:off x="2971800" y="8572500"/>
          <a:ext cx="1076325" cy="419100"/>
        </a:xfrm>
        <a:prstGeom prst="wedgeEllipseCallout">
          <a:avLst>
            <a:gd name="adj1" fmla="val 64123"/>
            <a:gd name="adj2" fmla="val 7159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估价对象</a:t>
          </a:r>
        </a:p>
      </xdr:txBody>
    </xdr:sp>
    <xdr:clientData/>
  </xdr:twoCellAnchor>
  <xdr:twoCellAnchor>
    <xdr:from>
      <xdr:col>4</xdr:col>
      <xdr:colOff>247650</xdr:colOff>
      <xdr:row>60</xdr:row>
      <xdr:rowOff>57150</xdr:rowOff>
    </xdr:from>
    <xdr:to>
      <xdr:col>5</xdr:col>
      <xdr:colOff>695325</xdr:colOff>
      <xdr:row>63</xdr:row>
      <xdr:rowOff>19050</xdr:rowOff>
    </xdr:to>
    <xdr:sp macro="" textlink="">
      <xdr:nvSpPr>
        <xdr:cNvPr id="29" name="对话气泡: 椭圆形 28">
          <a:extLst>
            <a:ext uri="{FF2B5EF4-FFF2-40B4-BE49-F238E27FC236}">
              <a16:creationId xmlns:a16="http://schemas.microsoft.com/office/drawing/2014/main" xmlns="" id="{BEB85D17-A54F-4986-A299-A71270DC9441}"/>
            </a:ext>
          </a:extLst>
        </xdr:cNvPr>
        <xdr:cNvSpPr/>
      </xdr:nvSpPr>
      <xdr:spPr>
        <a:xfrm>
          <a:off x="2266950" y="9372600"/>
          <a:ext cx="1076325" cy="419100"/>
        </a:xfrm>
        <a:prstGeom prst="wedgeEllipseCallout">
          <a:avLst>
            <a:gd name="adj1" fmla="val 75627"/>
            <a:gd name="adj2" fmla="val -6022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B</a:t>
          </a:r>
          <a:endParaRPr lang="zh-CN" altLang="en-US" sz="1100"/>
        </a:p>
      </xdr:txBody>
    </xdr:sp>
    <xdr:clientData/>
  </xdr:twoCellAnchor>
  <xdr:twoCellAnchor>
    <xdr:from>
      <xdr:col>5</xdr:col>
      <xdr:colOff>495300</xdr:colOff>
      <xdr:row>65</xdr:row>
      <xdr:rowOff>133350</xdr:rowOff>
    </xdr:from>
    <xdr:to>
      <xdr:col>6</xdr:col>
      <xdr:colOff>590550</xdr:colOff>
      <xdr:row>68</xdr:row>
      <xdr:rowOff>95250</xdr:rowOff>
    </xdr:to>
    <xdr:sp macro="" textlink="">
      <xdr:nvSpPr>
        <xdr:cNvPr id="30" name="对话气泡: 椭圆形 29">
          <a:extLst>
            <a:ext uri="{FF2B5EF4-FFF2-40B4-BE49-F238E27FC236}">
              <a16:creationId xmlns:a16="http://schemas.microsoft.com/office/drawing/2014/main" xmlns="" id="{58193C0D-0D95-4D79-A617-23E3BEBF3050}"/>
            </a:ext>
          </a:extLst>
        </xdr:cNvPr>
        <xdr:cNvSpPr/>
      </xdr:nvSpPr>
      <xdr:spPr>
        <a:xfrm>
          <a:off x="3143250" y="10210800"/>
          <a:ext cx="942975" cy="419100"/>
        </a:xfrm>
        <a:prstGeom prst="wedgeEllipseCallout">
          <a:avLst>
            <a:gd name="adj1" fmla="val 64123"/>
            <a:gd name="adj2" fmla="val 7159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A</a:t>
          </a:r>
          <a:endParaRPr lang="zh-CN" altLang="en-US" sz="1100"/>
        </a:p>
      </xdr:txBody>
    </xdr:sp>
    <xdr:clientData/>
  </xdr:twoCellAnchor>
  <xdr:twoCellAnchor>
    <xdr:from>
      <xdr:col>7</xdr:col>
      <xdr:colOff>295275</xdr:colOff>
      <xdr:row>63</xdr:row>
      <xdr:rowOff>142875</xdr:rowOff>
    </xdr:from>
    <xdr:to>
      <xdr:col>9</xdr:col>
      <xdr:colOff>47625</xdr:colOff>
      <xdr:row>66</xdr:row>
      <xdr:rowOff>104775</xdr:rowOff>
    </xdr:to>
    <xdr:sp macro="" textlink="">
      <xdr:nvSpPr>
        <xdr:cNvPr id="31" name="对话气泡: 椭圆形 30">
          <a:extLst>
            <a:ext uri="{FF2B5EF4-FFF2-40B4-BE49-F238E27FC236}">
              <a16:creationId xmlns:a16="http://schemas.microsoft.com/office/drawing/2014/main" xmlns="" id="{E0C9D4C0-4C4C-45A7-AC16-BF53F36E71FF}"/>
            </a:ext>
          </a:extLst>
        </xdr:cNvPr>
        <xdr:cNvSpPr/>
      </xdr:nvSpPr>
      <xdr:spPr>
        <a:xfrm>
          <a:off x="4552950" y="9915525"/>
          <a:ext cx="1076325" cy="419100"/>
        </a:xfrm>
        <a:prstGeom prst="wedgeEllipseCallout">
          <a:avLst>
            <a:gd name="adj1" fmla="val -64195"/>
            <a:gd name="adj2" fmla="val 6022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C</a:t>
          </a:r>
          <a:endParaRPr lang="zh-CN" altLang="en-US" sz="1100"/>
        </a:p>
      </xdr:txBody>
    </xdr:sp>
    <xdr:clientData/>
  </xdr:twoCellAnchor>
  <xdr:twoCellAnchor editAs="oneCell">
    <xdr:from>
      <xdr:col>33</xdr:col>
      <xdr:colOff>142248</xdr:colOff>
      <xdr:row>52</xdr:row>
      <xdr:rowOff>117747</xdr:rowOff>
    </xdr:from>
    <xdr:to>
      <xdr:col>40</xdr:col>
      <xdr:colOff>152400</xdr:colOff>
      <xdr:row>71</xdr:row>
      <xdr:rowOff>94709</xdr:rowOff>
    </xdr:to>
    <xdr:pic>
      <xdr:nvPicPr>
        <xdr:cNvPr id="2" name="图片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2"/>
        <a:stretch>
          <a:fillRect/>
        </a:stretch>
      </xdr:blipFill>
      <xdr:spPr>
        <a:xfrm>
          <a:off x="16877673" y="8213997"/>
          <a:ext cx="4810752" cy="28725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152400</xdr:rowOff>
    </xdr:from>
    <xdr:to>
      <xdr:col>13</xdr:col>
      <xdr:colOff>67685</xdr:colOff>
      <xdr:row>26</xdr:row>
      <xdr:rowOff>57150</xdr:rowOff>
    </xdr:to>
    <xdr:pic>
      <xdr:nvPicPr>
        <xdr:cNvPr id="3" name="图片 2">
          <a:extLst>
            <a:ext uri="{FF2B5EF4-FFF2-40B4-BE49-F238E27FC236}">
              <a16:creationId xmlns:a16="http://schemas.microsoft.com/office/drawing/2014/main" xmlns="" id="{04D90494-BB35-C081-A749-5F4432A9E7E1}"/>
            </a:ext>
          </a:extLst>
        </xdr:cNvPr>
        <xdr:cNvPicPr>
          <a:picLocks noChangeAspect="1"/>
        </xdr:cNvPicPr>
      </xdr:nvPicPr>
      <xdr:blipFill>
        <a:blip xmlns:r="http://schemas.openxmlformats.org/officeDocument/2006/relationships" r:embed="rId1"/>
        <a:stretch>
          <a:fillRect/>
        </a:stretch>
      </xdr:blipFill>
      <xdr:spPr>
        <a:xfrm>
          <a:off x="0" y="495300"/>
          <a:ext cx="8983085" cy="4019550"/>
        </a:xfrm>
        <a:prstGeom prst="rect">
          <a:avLst/>
        </a:prstGeom>
      </xdr:spPr>
    </xdr:pic>
    <xdr:clientData/>
  </xdr:twoCellAnchor>
  <xdr:twoCellAnchor editAs="oneCell">
    <xdr:from>
      <xdr:col>0</xdr:col>
      <xdr:colOff>1</xdr:colOff>
      <xdr:row>29</xdr:row>
      <xdr:rowOff>9526</xdr:rowOff>
    </xdr:from>
    <xdr:to>
      <xdr:col>11</xdr:col>
      <xdr:colOff>285751</xdr:colOff>
      <xdr:row>49</xdr:row>
      <xdr:rowOff>36814</xdr:rowOff>
    </xdr:to>
    <xdr:pic>
      <xdr:nvPicPr>
        <xdr:cNvPr id="4" name="图片 3">
          <a:extLst>
            <a:ext uri="{FF2B5EF4-FFF2-40B4-BE49-F238E27FC236}">
              <a16:creationId xmlns:a16="http://schemas.microsoft.com/office/drawing/2014/main" xmlns="" id="{5E589BD2-73EB-7A1E-2464-7393BC2AF049}"/>
            </a:ext>
          </a:extLst>
        </xdr:cNvPr>
        <xdr:cNvPicPr>
          <a:picLocks noChangeAspect="1"/>
        </xdr:cNvPicPr>
      </xdr:nvPicPr>
      <xdr:blipFill>
        <a:blip xmlns:r="http://schemas.openxmlformats.org/officeDocument/2006/relationships" r:embed="rId2"/>
        <a:stretch>
          <a:fillRect/>
        </a:stretch>
      </xdr:blipFill>
      <xdr:spPr>
        <a:xfrm>
          <a:off x="1" y="4981576"/>
          <a:ext cx="7829550" cy="3456288"/>
        </a:xfrm>
        <a:prstGeom prst="rect">
          <a:avLst/>
        </a:prstGeom>
      </xdr:spPr>
    </xdr:pic>
    <xdr:clientData/>
  </xdr:twoCellAnchor>
  <xdr:twoCellAnchor editAs="oneCell">
    <xdr:from>
      <xdr:col>0</xdr:col>
      <xdr:colOff>0</xdr:colOff>
      <xdr:row>51</xdr:row>
      <xdr:rowOff>28576</xdr:rowOff>
    </xdr:from>
    <xdr:to>
      <xdr:col>11</xdr:col>
      <xdr:colOff>66675</xdr:colOff>
      <xdr:row>78</xdr:row>
      <xdr:rowOff>63386</xdr:rowOff>
    </xdr:to>
    <xdr:pic>
      <xdr:nvPicPr>
        <xdr:cNvPr id="5" name="图片 4">
          <a:extLst>
            <a:ext uri="{FF2B5EF4-FFF2-40B4-BE49-F238E27FC236}">
              <a16:creationId xmlns:a16="http://schemas.microsoft.com/office/drawing/2014/main" xmlns="" id="{209462FF-0321-B1ED-0EC0-9225F743CAA6}"/>
            </a:ext>
          </a:extLst>
        </xdr:cNvPr>
        <xdr:cNvPicPr>
          <a:picLocks noChangeAspect="1"/>
        </xdr:cNvPicPr>
      </xdr:nvPicPr>
      <xdr:blipFill>
        <a:blip xmlns:r="http://schemas.openxmlformats.org/officeDocument/2006/relationships" r:embed="rId3"/>
        <a:stretch>
          <a:fillRect/>
        </a:stretch>
      </xdr:blipFill>
      <xdr:spPr>
        <a:xfrm>
          <a:off x="0" y="8772526"/>
          <a:ext cx="7610475" cy="4663960"/>
        </a:xfrm>
        <a:prstGeom prst="rect">
          <a:avLst/>
        </a:prstGeom>
      </xdr:spPr>
    </xdr:pic>
    <xdr:clientData/>
  </xdr:twoCellAnchor>
  <xdr:twoCellAnchor editAs="oneCell">
    <xdr:from>
      <xdr:col>0</xdr:col>
      <xdr:colOff>0</xdr:colOff>
      <xdr:row>81</xdr:row>
      <xdr:rowOff>9525</xdr:rowOff>
    </xdr:from>
    <xdr:to>
      <xdr:col>10</xdr:col>
      <xdr:colOff>86392</xdr:colOff>
      <xdr:row>99</xdr:row>
      <xdr:rowOff>38100</xdr:rowOff>
    </xdr:to>
    <xdr:pic>
      <xdr:nvPicPr>
        <xdr:cNvPr id="6" name="图片 5">
          <a:extLst>
            <a:ext uri="{FF2B5EF4-FFF2-40B4-BE49-F238E27FC236}">
              <a16:creationId xmlns:a16="http://schemas.microsoft.com/office/drawing/2014/main" xmlns="" id="{4087705E-A0F0-5365-143D-8877952E8821}"/>
            </a:ext>
          </a:extLst>
        </xdr:cNvPr>
        <xdr:cNvPicPr>
          <a:picLocks noChangeAspect="1"/>
        </xdr:cNvPicPr>
      </xdr:nvPicPr>
      <xdr:blipFill>
        <a:blip xmlns:r="http://schemas.openxmlformats.org/officeDocument/2006/relationships" r:embed="rId4"/>
        <a:stretch>
          <a:fillRect/>
        </a:stretch>
      </xdr:blipFill>
      <xdr:spPr>
        <a:xfrm>
          <a:off x="0" y="13896975"/>
          <a:ext cx="6944392" cy="3114675"/>
        </a:xfrm>
        <a:prstGeom prst="rect">
          <a:avLst/>
        </a:prstGeom>
      </xdr:spPr>
    </xdr:pic>
    <xdr:clientData/>
  </xdr:twoCellAnchor>
  <xdr:twoCellAnchor editAs="oneCell">
    <xdr:from>
      <xdr:col>0</xdr:col>
      <xdr:colOff>1</xdr:colOff>
      <xdr:row>100</xdr:row>
      <xdr:rowOff>76200</xdr:rowOff>
    </xdr:from>
    <xdr:to>
      <xdr:col>12</xdr:col>
      <xdr:colOff>371931</xdr:colOff>
      <xdr:row>123</xdr:row>
      <xdr:rowOff>76200</xdr:rowOff>
    </xdr:to>
    <xdr:pic>
      <xdr:nvPicPr>
        <xdr:cNvPr id="7" name="图片 6">
          <a:extLst>
            <a:ext uri="{FF2B5EF4-FFF2-40B4-BE49-F238E27FC236}">
              <a16:creationId xmlns:a16="http://schemas.microsoft.com/office/drawing/2014/main" xmlns="" id="{5376E5DC-0E46-0979-ACEC-9A01AE0CC8AF}"/>
            </a:ext>
          </a:extLst>
        </xdr:cNvPr>
        <xdr:cNvPicPr>
          <a:picLocks noChangeAspect="1"/>
        </xdr:cNvPicPr>
      </xdr:nvPicPr>
      <xdr:blipFill>
        <a:blip xmlns:r="http://schemas.openxmlformats.org/officeDocument/2006/relationships" r:embed="rId5"/>
        <a:stretch>
          <a:fillRect/>
        </a:stretch>
      </xdr:blipFill>
      <xdr:spPr>
        <a:xfrm>
          <a:off x="1" y="17221200"/>
          <a:ext cx="8601530" cy="3943350"/>
        </a:xfrm>
        <a:prstGeom prst="rect">
          <a:avLst/>
        </a:prstGeom>
      </xdr:spPr>
    </xdr:pic>
    <xdr:clientData/>
  </xdr:twoCellAnchor>
  <xdr:twoCellAnchor editAs="oneCell">
    <xdr:from>
      <xdr:col>0</xdr:col>
      <xdr:colOff>0</xdr:colOff>
      <xdr:row>125</xdr:row>
      <xdr:rowOff>123825</xdr:rowOff>
    </xdr:from>
    <xdr:to>
      <xdr:col>11</xdr:col>
      <xdr:colOff>641338</xdr:colOff>
      <xdr:row>148</xdr:row>
      <xdr:rowOff>38100</xdr:rowOff>
    </xdr:to>
    <xdr:pic>
      <xdr:nvPicPr>
        <xdr:cNvPr id="8" name="图片 7">
          <a:extLst>
            <a:ext uri="{FF2B5EF4-FFF2-40B4-BE49-F238E27FC236}">
              <a16:creationId xmlns:a16="http://schemas.microsoft.com/office/drawing/2014/main" xmlns="" id="{1409C2F4-CC2C-6FB9-57D6-087814A8BB1B}"/>
            </a:ext>
          </a:extLst>
        </xdr:cNvPr>
        <xdr:cNvPicPr>
          <a:picLocks noChangeAspect="1"/>
        </xdr:cNvPicPr>
      </xdr:nvPicPr>
      <xdr:blipFill>
        <a:blip xmlns:r="http://schemas.openxmlformats.org/officeDocument/2006/relationships" r:embed="rId6"/>
        <a:stretch>
          <a:fillRect/>
        </a:stretch>
      </xdr:blipFill>
      <xdr:spPr>
        <a:xfrm>
          <a:off x="0" y="21555075"/>
          <a:ext cx="8185138" cy="3857625"/>
        </a:xfrm>
        <a:prstGeom prst="rect">
          <a:avLst/>
        </a:prstGeom>
      </xdr:spPr>
    </xdr:pic>
    <xdr:clientData/>
  </xdr:twoCellAnchor>
  <xdr:twoCellAnchor editAs="oneCell">
    <xdr:from>
      <xdr:col>0</xdr:col>
      <xdr:colOff>1</xdr:colOff>
      <xdr:row>150</xdr:row>
      <xdr:rowOff>133350</xdr:rowOff>
    </xdr:from>
    <xdr:to>
      <xdr:col>11</xdr:col>
      <xdr:colOff>323851</xdr:colOff>
      <xdr:row>171</xdr:row>
      <xdr:rowOff>90926</xdr:rowOff>
    </xdr:to>
    <xdr:pic>
      <xdr:nvPicPr>
        <xdr:cNvPr id="9" name="图片 8">
          <a:extLst>
            <a:ext uri="{FF2B5EF4-FFF2-40B4-BE49-F238E27FC236}">
              <a16:creationId xmlns:a16="http://schemas.microsoft.com/office/drawing/2014/main" xmlns="" id="{6FAA0A7A-0FA2-C018-451A-38A4C6D1ACB6}"/>
            </a:ext>
          </a:extLst>
        </xdr:cNvPr>
        <xdr:cNvPicPr>
          <a:picLocks noChangeAspect="1"/>
        </xdr:cNvPicPr>
      </xdr:nvPicPr>
      <xdr:blipFill>
        <a:blip xmlns:r="http://schemas.openxmlformats.org/officeDocument/2006/relationships" r:embed="rId7"/>
        <a:stretch>
          <a:fillRect/>
        </a:stretch>
      </xdr:blipFill>
      <xdr:spPr>
        <a:xfrm>
          <a:off x="1" y="25850850"/>
          <a:ext cx="7867650" cy="3558026"/>
        </a:xfrm>
        <a:prstGeom prst="rect">
          <a:avLst/>
        </a:prstGeom>
      </xdr:spPr>
    </xdr:pic>
    <xdr:clientData/>
  </xdr:twoCellAnchor>
  <xdr:twoCellAnchor editAs="oneCell">
    <xdr:from>
      <xdr:col>0</xdr:col>
      <xdr:colOff>0</xdr:colOff>
      <xdr:row>173</xdr:row>
      <xdr:rowOff>66675</xdr:rowOff>
    </xdr:from>
    <xdr:to>
      <xdr:col>12</xdr:col>
      <xdr:colOff>645413</xdr:colOff>
      <xdr:row>195</xdr:row>
      <xdr:rowOff>114300</xdr:rowOff>
    </xdr:to>
    <xdr:pic>
      <xdr:nvPicPr>
        <xdr:cNvPr id="10" name="图片 9">
          <a:extLst>
            <a:ext uri="{FF2B5EF4-FFF2-40B4-BE49-F238E27FC236}">
              <a16:creationId xmlns:a16="http://schemas.microsoft.com/office/drawing/2014/main" xmlns="" id="{E58D3667-372B-EB8C-9CAF-81DC9E0CAC79}"/>
            </a:ext>
          </a:extLst>
        </xdr:cNvPr>
        <xdr:cNvPicPr>
          <a:picLocks noChangeAspect="1"/>
        </xdr:cNvPicPr>
      </xdr:nvPicPr>
      <xdr:blipFill>
        <a:blip xmlns:r="http://schemas.openxmlformats.org/officeDocument/2006/relationships" r:embed="rId8"/>
        <a:stretch>
          <a:fillRect/>
        </a:stretch>
      </xdr:blipFill>
      <xdr:spPr>
        <a:xfrm>
          <a:off x="0" y="29727525"/>
          <a:ext cx="8875013" cy="3819525"/>
        </a:xfrm>
        <a:prstGeom prst="rect">
          <a:avLst/>
        </a:prstGeom>
      </xdr:spPr>
    </xdr:pic>
    <xdr:clientData/>
  </xdr:twoCellAnchor>
  <xdr:twoCellAnchor editAs="oneCell">
    <xdr:from>
      <xdr:col>0</xdr:col>
      <xdr:colOff>0</xdr:colOff>
      <xdr:row>198</xdr:row>
      <xdr:rowOff>9525</xdr:rowOff>
    </xdr:from>
    <xdr:to>
      <xdr:col>11</xdr:col>
      <xdr:colOff>409575</xdr:colOff>
      <xdr:row>219</xdr:row>
      <xdr:rowOff>83228</xdr:rowOff>
    </xdr:to>
    <xdr:pic>
      <xdr:nvPicPr>
        <xdr:cNvPr id="11" name="图片 10">
          <a:extLst>
            <a:ext uri="{FF2B5EF4-FFF2-40B4-BE49-F238E27FC236}">
              <a16:creationId xmlns:a16="http://schemas.microsoft.com/office/drawing/2014/main" xmlns="" id="{8B60D778-D963-83A2-F00A-4876938DF063}"/>
            </a:ext>
          </a:extLst>
        </xdr:cNvPr>
        <xdr:cNvPicPr>
          <a:picLocks noChangeAspect="1"/>
        </xdr:cNvPicPr>
      </xdr:nvPicPr>
      <xdr:blipFill>
        <a:blip xmlns:r="http://schemas.openxmlformats.org/officeDocument/2006/relationships" r:embed="rId9"/>
        <a:stretch>
          <a:fillRect/>
        </a:stretch>
      </xdr:blipFill>
      <xdr:spPr>
        <a:xfrm>
          <a:off x="0" y="33956625"/>
          <a:ext cx="7953375" cy="36741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070&#22320;&#22359;&#37202;&#24215;&#65288;&#20844;&#23507;&#65289;&#22312;&#24314;-&#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03;&#23429;&#29616;&#25151;-&#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710;&#20301;&#29616;&#25151;-&#2010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79;&#20648;&#29616;&#25151;-&#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数据-汇总表"/>
      <sheetName val="数据-取费表"/>
      <sheetName val="估价对象房地状况"/>
      <sheetName val="系统读取表"/>
      <sheetName val="结果表"/>
      <sheetName val="地价款明细"/>
      <sheetName val="成本法"/>
      <sheetName val="成本法 (元)"/>
      <sheetName val="基准地价修正"/>
      <sheetName val="土地比较法-住宅、综合"/>
      <sheetName val="商业土地案例"/>
      <sheetName val="假设开发法"/>
      <sheetName val="收益法 (元)"/>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酒店"/>
      <sheetName val="商业、办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29791.059999999994</v>
          </cell>
          <cell r="C14">
            <v>11497.38</v>
          </cell>
          <cell r="D14">
            <v>25510</v>
          </cell>
          <cell r="G14">
            <v>25510</v>
          </cell>
          <cell r="I14">
            <v>22946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清单"/>
      <sheetName val="数据-汇总表"/>
      <sheetName val="数据-取费表"/>
      <sheetName val="估价对象房地状况"/>
      <sheetName val="系统读取表"/>
      <sheetName val="结果表"/>
      <sheetName val="净值-典型户型"/>
      <sheetName val="地价款明细"/>
      <sheetName val="比较法-住宅"/>
      <sheetName val="成本法"/>
      <sheetName val="成本法 (元)"/>
      <sheetName val="假设开发法"/>
      <sheetName val="收益法-酒店模型"/>
      <sheetName val="收益法（汇总）"/>
      <sheetName val="比较法-商业"/>
      <sheetName val="比较法-办公"/>
      <sheetName val="比较法-工业"/>
      <sheetName val="比较法-车位"/>
      <sheetName val="比较法-仓储"/>
      <sheetName val="土地比较法-住宅、综合"/>
      <sheetName val="住宅土地案例"/>
      <sheetName val="基准地价修正"/>
      <sheetName val="典型户型修正"/>
      <sheetName val="收益法"/>
      <sheetName val="土地比较法-工业"/>
      <sheetName val="收益法 (元)"/>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住宅"/>
      <sheetName val="基准地价截图"/>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12539.059999999998</v>
          </cell>
          <cell r="C14">
            <v>5366.6699999999983</v>
          </cell>
          <cell r="D14">
            <v>33635</v>
          </cell>
          <cell r="G14">
            <v>33635</v>
          </cell>
          <cell r="I14">
            <v>30254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清单"/>
      <sheetName val="数据-汇总表"/>
      <sheetName val="数据-取费表"/>
      <sheetName val="估价对象房地状况"/>
      <sheetName val="系统读取表"/>
      <sheetName val="结果表"/>
      <sheetName val="比较法-住宅"/>
      <sheetName val="成本法"/>
      <sheetName val="假设开发法"/>
      <sheetName val="收益法-酒店模型"/>
      <sheetName val="收益法（汇总）"/>
      <sheetName val="比较法-商业"/>
      <sheetName val="比较法-办公"/>
      <sheetName val="比较法-工业"/>
      <sheetName val="净值-典型户型"/>
      <sheetName val="地价款明细表"/>
      <sheetName val="比较法-车位"/>
      <sheetName val="比较法-仓储"/>
      <sheetName val="土地比较法-住宅、综合"/>
      <sheetName val="收益法"/>
      <sheetName val="土地比较法-工业"/>
      <sheetName val="住宅土地案例"/>
      <sheetName val="收益法 (元)"/>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基准地价截图"/>
      <sheetName val="车位中指"/>
      <sheetName val="链家车位"/>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18693.620000000046</v>
          </cell>
          <cell r="C14">
            <v>7585.2300000000077</v>
          </cell>
          <cell r="D14">
            <v>6955</v>
          </cell>
          <cell r="G14">
            <v>6955</v>
          </cell>
          <cell r="I14">
            <v>6257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清单"/>
      <sheetName val="数据-汇总表"/>
      <sheetName val="数据-取费表"/>
      <sheetName val="估价对象房地状况"/>
      <sheetName val="系统读取表"/>
      <sheetName val="结果表"/>
      <sheetName val="比较法-住宅"/>
      <sheetName val="成本法"/>
      <sheetName val="假设开发法"/>
      <sheetName val="收益法-酒店模型"/>
      <sheetName val="收益法（汇总）"/>
      <sheetName val="比较法-商业"/>
      <sheetName val="比较法-办公"/>
      <sheetName val="比较法-工业"/>
      <sheetName val="比较法-车位"/>
      <sheetName val="净值-典型户型"/>
      <sheetName val="地价款明细"/>
      <sheetName val="比较法-仓储"/>
      <sheetName val="土地比较法-住宅、综合"/>
      <sheetName val="收益法"/>
      <sheetName val="土地比较法-工业"/>
      <sheetName val="住宅土地案例"/>
      <sheetName val="成本法 (元)"/>
      <sheetName val="基准地价修正"/>
      <sheetName val="典型户型修正"/>
      <sheetName val="收益法 (元)"/>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基准地价截图"/>
      <sheetName val="仓储"/>
      <sheetName val="仓储中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421.79999999999995</v>
          </cell>
          <cell r="C14">
            <v>166.58</v>
          </cell>
          <cell r="D14">
            <v>304</v>
          </cell>
          <cell r="G14">
            <v>304</v>
          </cell>
          <cell r="I14">
            <v>274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4d/TOEi" TargetMode="Externa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抵押价值预评估</v>
      </c>
    </row>
    <row r="3" spans="1:2">
      <c r="A3" s="1117" t="s">
        <v>523</v>
      </c>
      <c r="B3" s="1118" t="str">
        <f>'预评函-封皮'!B40</f>
        <v>恒丰</v>
      </c>
    </row>
    <row r="4" spans="1:2">
      <c r="A4" s="1117" t="s">
        <v>524</v>
      </c>
      <c r="B4" s="1118" t="str">
        <f ca="1">'预评函-封皮'!B46</f>
        <v>郑燚（注册号：1120070131)、崔锴（注册号：1120100036)</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抵押价值进行了预评估。</v>
      </c>
    </row>
    <row r="7" spans="1:2">
      <c r="A7" s="1117" t="s">
        <v>566</v>
      </c>
      <c r="B7" s="1118" t="str">
        <f>'预评函-1'!A7</f>
        <v>估价对象为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为所有。根据《国有土地使用证》[]，估价对象（分摊）出让国有建设用地使用权面积为6542.04平方米，建筑面积为23997.3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属开发建设的综合项目（居住、综合），该项目尚在开发建设中。根据《国有土地使用证》[]，估价对象（分摊）出让国有建设用地使用权面积为6542.04平方米，规划建筑面积为23997.3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为估价委托人在向办理贷款手续过程中，确定房地产抵押贷款额度提供参考依据而评估房地产抵押价值。</v>
      </c>
    </row>
    <row r="12" spans="1:2">
      <c r="A12" s="1117" t="s">
        <v>528</v>
      </c>
      <c r="B12" s="1118" t="str">
        <f>'预评函-1'!A15</f>
        <v>2025年2月21日（评估专业人员实地查勘之日）</v>
      </c>
    </row>
    <row r="13" spans="1:2">
      <c r="A13" s="1117" t="s">
        <v>529</v>
      </c>
      <c r="B13" s="1118" t="str">
        <f>'预评函-1'!A18</f>
        <v>本次估价的“房地产价值”是指在正常市场情况下，在价值时点2025年2月21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本次评估采用的主估价方法为成本法和假设开发法。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34292</v>
      </c>
    </row>
    <row r="21" spans="1:2">
      <c r="A21" s="1117" t="s">
        <v>537</v>
      </c>
      <c r="B21" s="1118">
        <f ca="1">'预评函-2'!D7</f>
        <v>14290</v>
      </c>
    </row>
    <row r="22" spans="1:2">
      <c r="A22" s="1117" t="s">
        <v>538</v>
      </c>
      <c r="B22" s="1118" t="str">
        <f ca="1">'预评函-2'!D6</f>
        <v>叁亿肆仟贰佰玖拾贰万元整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34292</v>
      </c>
    </row>
    <row r="31" spans="1:2">
      <c r="A31" s="1117" t="s">
        <v>576</v>
      </c>
      <c r="B31" s="1118">
        <f ca="1">'预评函-2'!D15</f>
        <v>14290</v>
      </c>
    </row>
    <row r="32" spans="1:2">
      <c r="A32" s="1117" t="s">
        <v>543</v>
      </c>
      <c r="B32" s="1118" t="str">
        <f ca="1">'预评函-2'!D14</f>
        <v>叁亿肆仟贰佰玖拾贰万元整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v>
      </c>
    </row>
    <row r="42" spans="1:2">
      <c r="A42" s="1117" t="s">
        <v>590</v>
      </c>
      <c r="B42" s="1118" t="str">
        <f>'预评函-3'!B2</f>
        <v>建筑面积</v>
      </c>
    </row>
    <row r="43" spans="1:2">
      <c r="A43" s="1117" t="s">
        <v>591</v>
      </c>
      <c r="B43" s="1118">
        <f>'预评函-3'!B4</f>
        <v>23997.3</v>
      </c>
    </row>
    <row r="44" spans="1:2">
      <c r="A44" s="1117" t="s">
        <v>575</v>
      </c>
      <c r="B44" s="1118" t="str">
        <f>'预评函-3'!C2</f>
        <v>(分摊)土地面积</v>
      </c>
    </row>
    <row r="45" spans="1:2">
      <c r="A45" s="1117" t="s">
        <v>547</v>
      </c>
      <c r="B45" s="1118">
        <f>'预评函-3'!C4</f>
        <v>6542.04</v>
      </c>
    </row>
    <row r="46" spans="1:2">
      <c r="A46" s="1117" t="s">
        <v>573</v>
      </c>
      <c r="B46" s="1118" t="str">
        <f>'预评函-3'!D2</f>
        <v>出让国有建设用地使用权价值</v>
      </c>
    </row>
    <row r="47" spans="1:2">
      <c r="A47" s="1117" t="s">
        <v>548</v>
      </c>
      <c r="B47" s="1118">
        <f ca="1">'预评函-3'!D4</f>
        <v>21021</v>
      </c>
    </row>
    <row r="48" spans="1:2">
      <c r="A48" s="1117" t="s">
        <v>549</v>
      </c>
      <c r="B48" s="1118">
        <f ca="1">'预评函-3'!E4</f>
        <v>8760</v>
      </c>
    </row>
    <row r="49" spans="1:2">
      <c r="A49" s="1117" t="s">
        <v>550</v>
      </c>
      <c r="B49" s="1118" t="str">
        <f ca="1">'预评函-3'!D5</f>
        <v>贰亿壹仟零贰拾壹万元整</v>
      </c>
    </row>
    <row r="50" spans="1:2">
      <c r="A50" s="1117" t="s">
        <v>574</v>
      </c>
      <c r="B50" s="1118" t="str">
        <f>'预评函-3'!F2</f>
        <v>在建建筑物价值</v>
      </c>
    </row>
    <row r="51" spans="1:2">
      <c r="A51" s="1117" t="s">
        <v>551</v>
      </c>
      <c r="B51" s="1118">
        <f ca="1">'预评函-3'!F4</f>
        <v>13271</v>
      </c>
    </row>
    <row r="52" spans="1:2">
      <c r="A52" s="1117" t="s">
        <v>552</v>
      </c>
      <c r="B52" s="1118">
        <f ca="1">'预评函-3'!G4</f>
        <v>5530</v>
      </c>
    </row>
    <row r="53" spans="1:2">
      <c r="A53" s="1117" t="s">
        <v>580</v>
      </c>
      <c r="B53" s="1118" t="str">
        <f ca="1">'预评函-3'!F5</f>
        <v>壹亿叁仟贰佰柒拾壹万元整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t="str">
        <f>'预评函-4'!A4</f>
        <v>郑燚</v>
      </c>
    </row>
    <row r="71" spans="1:2">
      <c r="A71" s="1117" t="s">
        <v>563</v>
      </c>
      <c r="B71" s="1118">
        <f ca="1">'预评函-4'!B4</f>
        <v>1120070131</v>
      </c>
    </row>
    <row r="72" spans="1:2">
      <c r="A72" s="1117" t="s">
        <v>564</v>
      </c>
      <c r="B72" s="1125" t="str">
        <f>'预评函-4'!A5</f>
        <v>崔锴</v>
      </c>
    </row>
    <row r="73" spans="1:2" s="1113" customFormat="1" ht="15" thickBot="1">
      <c r="A73" s="1120" t="s">
        <v>565</v>
      </c>
      <c r="B73" s="1121">
        <f ca="1">'预评函-4'!B5</f>
        <v>1120100036</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971</v>
      </c>
      <c r="C1" s="1436" t="s">
        <v>314</v>
      </c>
      <c r="D1" s="1437" t="s">
        <v>3338</v>
      </c>
      <c r="E1" s="1436" t="s">
        <v>972</v>
      </c>
      <c r="F1" s="1436" t="s">
        <v>973</v>
      </c>
      <c r="G1" s="1436" t="s">
        <v>974</v>
      </c>
      <c r="H1" s="1436" t="s">
        <v>975</v>
      </c>
      <c r="I1" s="1436" t="s">
        <v>976</v>
      </c>
      <c r="J1" s="1436" t="s">
        <v>977</v>
      </c>
      <c r="K1" s="1436" t="s">
        <v>978</v>
      </c>
      <c r="L1" s="1436" t="s">
        <v>979</v>
      </c>
      <c r="M1" s="1436" t="s">
        <v>980</v>
      </c>
      <c r="N1" s="1436" t="s">
        <v>981</v>
      </c>
      <c r="O1" s="1436" t="s">
        <v>982</v>
      </c>
      <c r="P1" s="1437" t="s">
        <v>309</v>
      </c>
      <c r="Q1" s="1437" t="s">
        <v>447</v>
      </c>
      <c r="R1" s="1436" t="s">
        <v>441</v>
      </c>
      <c r="S1" s="1436" t="s">
        <v>983</v>
      </c>
      <c r="T1" s="1437" t="s">
        <v>984</v>
      </c>
      <c r="U1" s="1436" t="s">
        <v>985</v>
      </c>
      <c r="V1" s="1436" t="s">
        <v>986</v>
      </c>
      <c r="W1" s="1436" t="s">
        <v>311</v>
      </c>
    </row>
    <row r="2" spans="1:23">
      <c r="A2" s="1439" t="s">
        <v>19</v>
      </c>
      <c r="B2" s="1439" t="s">
        <v>987</v>
      </c>
      <c r="C2" s="1440" t="s">
        <v>315</v>
      </c>
      <c r="D2" s="1441" t="s">
        <v>988</v>
      </c>
      <c r="E2" s="1441" t="s">
        <v>989</v>
      </c>
      <c r="F2" s="1441" t="s">
        <v>990</v>
      </c>
      <c r="G2" s="1441">
        <v>20</v>
      </c>
      <c r="H2" s="1441" t="s">
        <v>990</v>
      </c>
      <c r="I2" s="1441" t="s">
        <v>3324</v>
      </c>
      <c r="J2" s="1441" t="s">
        <v>991</v>
      </c>
      <c r="K2" s="1441" t="s">
        <v>992</v>
      </c>
      <c r="L2" s="1441" t="s">
        <v>992</v>
      </c>
      <c r="M2" s="1441" t="s">
        <v>992</v>
      </c>
      <c r="N2" s="1441" t="s">
        <v>992</v>
      </c>
      <c r="O2" s="1441" t="s">
        <v>992</v>
      </c>
      <c r="P2" s="1441" t="s">
        <v>992</v>
      </c>
      <c r="Q2" s="1441" t="s">
        <v>992</v>
      </c>
      <c r="R2" s="1441" t="s">
        <v>443</v>
      </c>
      <c r="S2" s="1441" t="s">
        <v>992</v>
      </c>
      <c r="T2" s="1441" t="s">
        <v>993</v>
      </c>
      <c r="U2" s="1441" t="s">
        <v>992</v>
      </c>
      <c r="V2" s="1441" t="s">
        <v>994</v>
      </c>
      <c r="W2" s="1441" t="s">
        <v>992</v>
      </c>
    </row>
    <row r="3" spans="1:23">
      <c r="A3" s="1439" t="s">
        <v>995</v>
      </c>
      <c r="B3" s="1442" t="s">
        <v>448</v>
      </c>
      <c r="C3" s="1440" t="s">
        <v>316</v>
      </c>
      <c r="D3" s="1441" t="s">
        <v>996</v>
      </c>
      <c r="E3" s="1441" t="s">
        <v>13</v>
      </c>
      <c r="F3" s="1441" t="s">
        <v>997</v>
      </c>
      <c r="G3" s="1441">
        <v>40</v>
      </c>
      <c r="H3" s="1441" t="s">
        <v>997</v>
      </c>
      <c r="I3" s="1441" t="s">
        <v>3325</v>
      </c>
      <c r="J3" s="1441" t="s">
        <v>998</v>
      </c>
      <c r="K3" s="1441" t="s">
        <v>999</v>
      </c>
      <c r="L3" s="1441" t="s">
        <v>999</v>
      </c>
      <c r="M3" s="1441" t="s">
        <v>999</v>
      </c>
      <c r="N3" s="1441" t="s">
        <v>999</v>
      </c>
      <c r="O3" s="1441" t="s">
        <v>999</v>
      </c>
      <c r="P3" s="1441" t="s">
        <v>999</v>
      </c>
      <c r="Q3" s="1441" t="s">
        <v>999</v>
      </c>
      <c r="R3" s="1441" t="s">
        <v>442</v>
      </c>
      <c r="S3" s="1441" t="s">
        <v>999</v>
      </c>
      <c r="T3" s="1441" t="s">
        <v>1000</v>
      </c>
      <c r="U3" s="1441" t="s">
        <v>999</v>
      </c>
      <c r="V3" s="1441" t="s">
        <v>1001</v>
      </c>
      <c r="W3" s="1441" t="s">
        <v>999</v>
      </c>
    </row>
    <row r="4" spans="1:23">
      <c r="A4" s="1439" t="s">
        <v>1002</v>
      </c>
      <c r="B4" s="1439" t="s">
        <v>1003</v>
      </c>
      <c r="C4" s="1440" t="s">
        <v>317</v>
      </c>
      <c r="D4" s="1441" t="s">
        <v>389</v>
      </c>
      <c r="E4" s="1441" t="s">
        <v>1004</v>
      </c>
      <c r="F4" s="1441" t="s">
        <v>1005</v>
      </c>
      <c r="G4" s="1441">
        <v>50</v>
      </c>
      <c r="H4" s="1441" t="s">
        <v>1005</v>
      </c>
      <c r="I4" s="1441" t="s">
        <v>3326</v>
      </c>
      <c r="K4" s="1441" t="s">
        <v>1006</v>
      </c>
      <c r="L4" s="1441" t="s">
        <v>1006</v>
      </c>
      <c r="M4" s="1441" t="s">
        <v>1006</v>
      </c>
      <c r="N4" s="1441" t="s">
        <v>1006</v>
      </c>
      <c r="O4" s="1441" t="s">
        <v>1006</v>
      </c>
      <c r="P4" s="1441" t="s">
        <v>1006</v>
      </c>
      <c r="Q4" s="1441" t="s">
        <v>1006</v>
      </c>
      <c r="R4" s="1441" t="s">
        <v>444</v>
      </c>
      <c r="S4" s="1441" t="s">
        <v>1006</v>
      </c>
      <c r="T4" s="1441" t="s">
        <v>1007</v>
      </c>
      <c r="U4" s="1441" t="s">
        <v>1006</v>
      </c>
      <c r="W4" s="1441" t="s">
        <v>1006</v>
      </c>
    </row>
    <row r="5" spans="1:23">
      <c r="A5" s="1439" t="s">
        <v>1008</v>
      </c>
      <c r="B5" s="1439" t="s">
        <v>1009</v>
      </c>
      <c r="C5" s="1440" t="s">
        <v>318</v>
      </c>
      <c r="F5" s="1441" t="s">
        <v>1010</v>
      </c>
      <c r="G5" s="1441">
        <v>70</v>
      </c>
      <c r="H5" s="1441" t="s">
        <v>1011</v>
      </c>
      <c r="I5" s="1441" t="s">
        <v>3327</v>
      </c>
      <c r="K5" s="1441" t="s">
        <v>1012</v>
      </c>
      <c r="L5" s="1441" t="s">
        <v>1012</v>
      </c>
      <c r="M5" s="1441" t="s">
        <v>1012</v>
      </c>
      <c r="N5" s="1441" t="s">
        <v>1012</v>
      </c>
      <c r="O5" s="1441" t="s">
        <v>1012</v>
      </c>
      <c r="P5" s="1441" t="s">
        <v>1012</v>
      </c>
      <c r="Q5" s="1441" t="s">
        <v>1012</v>
      </c>
      <c r="R5" s="1441" t="s">
        <v>445</v>
      </c>
      <c r="S5" s="1441" t="s">
        <v>1012</v>
      </c>
      <c r="T5" s="1441" t="s">
        <v>1013</v>
      </c>
      <c r="U5" s="1441" t="s">
        <v>1012</v>
      </c>
      <c r="W5" s="1441" t="s">
        <v>1012</v>
      </c>
    </row>
    <row r="6" spans="1:23">
      <c r="A6" s="1439" t="s">
        <v>1014</v>
      </c>
      <c r="B6" s="1442" t="s">
        <v>449</v>
      </c>
      <c r="C6" s="1444" t="s">
        <v>24</v>
      </c>
      <c r="F6" s="1441" t="s">
        <v>1011</v>
      </c>
      <c r="H6" s="1441" t="s">
        <v>1015</v>
      </c>
      <c r="I6" s="1441" t="s">
        <v>3328</v>
      </c>
      <c r="K6" s="1441" t="s">
        <v>1016</v>
      </c>
      <c r="L6" s="1441" t="s">
        <v>1016</v>
      </c>
      <c r="M6" s="1441" t="s">
        <v>1016</v>
      </c>
      <c r="N6" s="1441" t="s">
        <v>1016</v>
      </c>
      <c r="O6" s="1441" t="s">
        <v>1016</v>
      </c>
      <c r="P6" s="1441" t="s">
        <v>1016</v>
      </c>
      <c r="Q6" s="1441" t="s">
        <v>1016</v>
      </c>
      <c r="R6" s="1441" t="s">
        <v>446</v>
      </c>
      <c r="S6" s="1441" t="s">
        <v>1016</v>
      </c>
      <c r="T6" s="1441"/>
      <c r="U6" s="1441" t="s">
        <v>1016</v>
      </c>
      <c r="W6" s="1441" t="s">
        <v>1016</v>
      </c>
    </row>
    <row r="7" spans="1:23">
      <c r="A7" s="1439" t="s">
        <v>1017</v>
      </c>
      <c r="B7" s="1442" t="s">
        <v>450</v>
      </c>
      <c r="C7" s="1440" t="s">
        <v>25</v>
      </c>
      <c r="F7" s="1441" t="s">
        <v>1018</v>
      </c>
      <c r="H7" s="1441" t="s">
        <v>1019</v>
      </c>
      <c r="I7" s="1441" t="s">
        <v>3329</v>
      </c>
    </row>
    <row r="8" spans="1:23">
      <c r="A8" s="1439" t="s">
        <v>1020</v>
      </c>
      <c r="B8" s="1439" t="s">
        <v>1021</v>
      </c>
      <c r="C8" s="1440" t="s">
        <v>319</v>
      </c>
      <c r="F8" s="1441" t="s">
        <v>1022</v>
      </c>
      <c r="H8" s="1441" t="s">
        <v>2565</v>
      </c>
      <c r="I8" s="1441" t="s">
        <v>3330</v>
      </c>
    </row>
    <row r="9" spans="1:23">
      <c r="A9" s="1439" t="s">
        <v>1023</v>
      </c>
      <c r="B9" s="1439" t="s">
        <v>1024</v>
      </c>
      <c r="C9" s="1440" t="s">
        <v>320</v>
      </c>
      <c r="F9" s="1441" t="s">
        <v>1025</v>
      </c>
      <c r="H9" s="1441"/>
      <c r="I9" s="1443" t="s">
        <v>3331</v>
      </c>
    </row>
    <row r="10" spans="1:23">
      <c r="A10" s="1439" t="s">
        <v>1026</v>
      </c>
      <c r="B10" s="1439" t="s">
        <v>1027</v>
      </c>
      <c r="C10" s="1440" t="s">
        <v>321</v>
      </c>
      <c r="F10" s="1441" t="s">
        <v>2566</v>
      </c>
      <c r="I10" s="1443" t="s">
        <v>3332</v>
      </c>
    </row>
    <row r="11" spans="1:23">
      <c r="A11" s="1439" t="s">
        <v>1028</v>
      </c>
      <c r="B11" s="1439" t="s">
        <v>1029</v>
      </c>
      <c r="C11" s="1440" t="s">
        <v>322</v>
      </c>
      <c r="F11" s="1441" t="s">
        <v>13</v>
      </c>
      <c r="I11" s="1443" t="s">
        <v>3333</v>
      </c>
    </row>
    <row r="12" spans="1:23">
      <c r="A12" s="1439" t="s">
        <v>1030</v>
      </c>
      <c r="B12" s="1439" t="s">
        <v>1031</v>
      </c>
      <c r="C12" s="1440" t="s">
        <v>323</v>
      </c>
      <c r="I12" s="1443" t="s">
        <v>3334</v>
      </c>
    </row>
    <row r="13" spans="1:23">
      <c r="A13" s="1439" t="s">
        <v>1032</v>
      </c>
      <c r="B13" s="1439" t="s">
        <v>1033</v>
      </c>
      <c r="C13" s="1440" t="s">
        <v>324</v>
      </c>
      <c r="I13" s="1443" t="s">
        <v>3335</v>
      </c>
    </row>
    <row r="14" spans="1:23">
      <c r="A14" s="1439" t="s">
        <v>1034</v>
      </c>
      <c r="B14" s="1439" t="s">
        <v>1035</v>
      </c>
      <c r="C14" s="1441" t="s">
        <v>13</v>
      </c>
      <c r="I14" s="1443" t="s">
        <v>3336</v>
      </c>
    </row>
    <row r="15" spans="1:23">
      <c r="A15" s="1439" t="s">
        <v>1036</v>
      </c>
      <c r="B15" s="1439" t="s">
        <v>1037</v>
      </c>
      <c r="C15" s="1440"/>
      <c r="I15" s="1443" t="s">
        <v>3337</v>
      </c>
    </row>
    <row r="16" spans="1:23">
      <c r="A16" s="1439" t="s">
        <v>1038</v>
      </c>
      <c r="B16" s="1439" t="s">
        <v>312</v>
      </c>
      <c r="C16" s="1440"/>
    </row>
    <row r="17" spans="1:3">
      <c r="A17" s="1439" t="s">
        <v>1039</v>
      </c>
      <c r="B17" s="1439" t="s">
        <v>2283</v>
      </c>
      <c r="C17" s="1440"/>
    </row>
    <row r="18" spans="1:3">
      <c r="A18" s="1439" t="s">
        <v>1040</v>
      </c>
      <c r="B18" s="1439" t="s">
        <v>2422</v>
      </c>
      <c r="C18" s="1440"/>
    </row>
    <row r="19" spans="1:3">
      <c r="A19" s="1439" t="s">
        <v>1041</v>
      </c>
      <c r="B19" s="1439" t="s">
        <v>313</v>
      </c>
      <c r="C19" s="1440"/>
    </row>
    <row r="20" spans="1:3">
      <c r="A20" s="1439" t="s">
        <v>1042</v>
      </c>
      <c r="B20" s="1439" t="s">
        <v>313</v>
      </c>
      <c r="C20" s="1440"/>
    </row>
    <row r="21" spans="1:3">
      <c r="A21" s="1439" t="s">
        <v>1043</v>
      </c>
      <c r="B21" s="1439" t="s">
        <v>313</v>
      </c>
      <c r="C21" s="1440"/>
    </row>
    <row r="22" spans="1:3">
      <c r="A22" s="1439" t="s">
        <v>1044</v>
      </c>
      <c r="B22" s="1439" t="s">
        <v>313</v>
      </c>
      <c r="C22" s="1440"/>
    </row>
    <row r="23" spans="1:3">
      <c r="A23" s="1439" t="s">
        <v>1045</v>
      </c>
      <c r="B23" s="1439" t="s">
        <v>313</v>
      </c>
      <c r="C23" s="1440"/>
    </row>
    <row r="24" spans="1:3">
      <c r="A24" s="1439" t="s">
        <v>1046</v>
      </c>
      <c r="B24" s="1439" t="s">
        <v>313</v>
      </c>
      <c r="C24" s="1440"/>
    </row>
    <row r="25" spans="1:3">
      <c r="A25" s="1439" t="s">
        <v>1047</v>
      </c>
      <c r="B25" s="1439" t="s">
        <v>313</v>
      </c>
      <c r="C25" s="1440"/>
    </row>
    <row r="26" spans="1:3">
      <c r="A26" s="1439" t="s">
        <v>1048</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70"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1445" t="s">
        <v>385</v>
      </c>
      <c r="C54" s="1443" t="s">
        <v>583</v>
      </c>
    </row>
    <row r="55" spans="1:4">
      <c r="A55" s="3270"/>
      <c r="B55" s="1445" t="s">
        <v>386</v>
      </c>
      <c r="C55" s="1443" t="s">
        <v>584</v>
      </c>
    </row>
    <row r="56" spans="1:4">
      <c r="A56" s="3270"/>
      <c r="B56" s="1445" t="s">
        <v>387</v>
      </c>
      <c r="C56" s="1443" t="s">
        <v>588</v>
      </c>
    </row>
    <row r="57" spans="1:4">
      <c r="A57" s="3270"/>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2488</v>
      </c>
      <c r="B1" s="2754"/>
      <c r="C1" s="2754"/>
      <c r="D1" s="2754"/>
      <c r="E1" s="2754"/>
      <c r="F1" s="2755"/>
      <c r="I1" s="3131" t="s">
        <v>2581</v>
      </c>
      <c r="J1" s="2780"/>
      <c r="K1" s="2780"/>
      <c r="L1" s="2780"/>
      <c r="M1" s="2780"/>
      <c r="N1" s="2965"/>
      <c r="O1" s="2965"/>
      <c r="P1" s="2965"/>
      <c r="Q1" s="2965"/>
      <c r="R1" s="2965"/>
    </row>
    <row r="2" spans="1:18">
      <c r="A2" s="2757"/>
      <c r="B2" s="2758"/>
      <c r="C2" s="2758"/>
      <c r="D2" s="2758"/>
      <c r="E2" s="2758"/>
      <c r="F2" s="2759"/>
      <c r="I2" s="3271" t="s">
        <v>2568</v>
      </c>
      <c r="J2" s="3271"/>
      <c r="K2" s="3271"/>
      <c r="L2" s="3271"/>
      <c r="M2" s="3271"/>
      <c r="N2" s="3271"/>
      <c r="O2" s="3271"/>
      <c r="P2" s="3271"/>
      <c r="Q2" s="3271"/>
      <c r="R2" s="3271"/>
    </row>
    <row r="3" spans="1:18">
      <c r="A3" s="2760" t="s">
        <v>2489</v>
      </c>
      <c r="B3" s="2761">
        <f>项目基本情况!D3</f>
        <v>45709</v>
      </c>
      <c r="C3" s="2763"/>
      <c r="D3" s="2763"/>
      <c r="E3" s="2763"/>
      <c r="F3" s="2759"/>
      <c r="I3" s="2775"/>
      <c r="J3" s="2775" t="s">
        <v>2572</v>
      </c>
      <c r="K3" s="2775" t="s">
        <v>2573</v>
      </c>
      <c r="L3" s="2775" t="s">
        <v>2574</v>
      </c>
      <c r="M3" s="2775" t="s">
        <v>2575</v>
      </c>
      <c r="N3" s="3132" t="s">
        <v>2576</v>
      </c>
      <c r="O3" s="3132" t="s">
        <v>2577</v>
      </c>
      <c r="P3" s="3132" t="s">
        <v>2578</v>
      </c>
      <c r="Q3" s="3132" t="s">
        <v>2579</v>
      </c>
      <c r="R3" s="3132" t="s">
        <v>2580</v>
      </c>
    </row>
    <row r="4" spans="1:18">
      <c r="A4" s="2760" t="s">
        <v>2490</v>
      </c>
      <c r="B4" s="2763" t="s">
        <v>2491</v>
      </c>
      <c r="C4" s="2763" t="s">
        <v>2492</v>
      </c>
      <c r="D4" s="2763" t="s">
        <v>2493</v>
      </c>
      <c r="E4" s="2763" t="s">
        <v>2494</v>
      </c>
      <c r="F4" s="2759"/>
      <c r="I4" s="2775" t="s">
        <v>2569</v>
      </c>
      <c r="J4" s="2775">
        <v>80</v>
      </c>
      <c r="K4" s="2775">
        <v>70</v>
      </c>
      <c r="L4" s="2775">
        <v>20</v>
      </c>
      <c r="M4" s="2775">
        <v>30</v>
      </c>
      <c r="N4" s="2763">
        <v>45</v>
      </c>
      <c r="O4" s="2763">
        <v>60</v>
      </c>
      <c r="P4" s="2763">
        <v>50</v>
      </c>
      <c r="Q4" s="2763">
        <v>20</v>
      </c>
      <c r="R4" s="2763">
        <v>375</v>
      </c>
    </row>
    <row r="5" spans="1:18">
      <c r="A5" s="2764">
        <v>40</v>
      </c>
      <c r="B5" s="2761">
        <v>46375</v>
      </c>
      <c r="C5" s="2763">
        <f>ROUNDDOWN(MIN((B5-B3)/365,A5),2)</f>
        <v>1.82</v>
      </c>
      <c r="D5" s="2765">
        <f>IF(ISERROR(ROUND(POWER(1+E5,A5-C5)*(POWER(1+E5,C5)-1)/(POWER(1+E5,A5)-1),3)),0,ROUND(POWER(1+E5,A5-C5)*(POWER(1+E5,C5)-1)/(POWER(1+E5,A5)-1),4))</f>
        <v>8.6999999999999994E-2</v>
      </c>
      <c r="E5" s="2766">
        <v>0.04</v>
      </c>
      <c r="F5" s="2759"/>
      <c r="I5" s="2775" t="s">
        <v>2570</v>
      </c>
      <c r="J5" s="2775">
        <v>70</v>
      </c>
      <c r="K5" s="2775">
        <v>60</v>
      </c>
      <c r="L5" s="2775">
        <v>15</v>
      </c>
      <c r="M5" s="2775">
        <v>25</v>
      </c>
      <c r="N5" s="2763">
        <v>40</v>
      </c>
      <c r="O5" s="2763">
        <v>50</v>
      </c>
      <c r="P5" s="2763">
        <v>40</v>
      </c>
      <c r="Q5" s="2763">
        <v>15</v>
      </c>
      <c r="R5" s="2763">
        <v>315</v>
      </c>
    </row>
    <row r="6" spans="1:18">
      <c r="A6" s="2764">
        <v>50</v>
      </c>
      <c r="B6" s="2761">
        <v>50028</v>
      </c>
      <c r="C6" s="2763">
        <f>ROUNDDOWN(MIN((B6-B3)/365,A6),2)</f>
        <v>11.83</v>
      </c>
      <c r="D6" s="2765">
        <f>IF(ISERROR(ROUND(POWER(1+E6,A6-C6)*(POWER(1+E6,C6)-1)/(POWER(1+E6,A6)-1),3)),0,ROUND(POWER(1+E6,A6-C6)*(POWER(1+E6,C6)-1)/(POWER(1+E6,A6)-1),4))</f>
        <v>0.432</v>
      </c>
      <c r="E6" s="2766">
        <v>0.04</v>
      </c>
      <c r="F6" s="2759"/>
      <c r="I6" s="2775" t="s">
        <v>2571</v>
      </c>
      <c r="J6" s="2775">
        <v>60</v>
      </c>
      <c r="K6" s="2775">
        <v>50</v>
      </c>
      <c r="L6" s="2775">
        <v>10</v>
      </c>
      <c r="M6" s="2775">
        <v>20</v>
      </c>
      <c r="N6" s="2763">
        <v>35</v>
      </c>
      <c r="O6" s="2763">
        <v>40</v>
      </c>
      <c r="P6" s="2763">
        <v>30</v>
      </c>
      <c r="Q6" s="2763">
        <v>10</v>
      </c>
      <c r="R6" s="2763">
        <v>255</v>
      </c>
    </row>
    <row r="7" spans="1:18">
      <c r="A7" s="2764">
        <v>70</v>
      </c>
      <c r="B7" s="2761">
        <v>57333</v>
      </c>
      <c r="C7" s="2763">
        <f>ROUNDDOWN(MIN((B7-B3)/365,A7),2)</f>
        <v>31.84</v>
      </c>
      <c r="D7" s="2765">
        <f>IF(ISERROR(ROUND(POWER(1+E7,A7-C7)*(POWER(1+E7,C7)-1)/(POWER(1+E7,A7)-1),3)),0,ROUND(POWER(1+E7,A7-C7)*(POWER(1+E7,C7)-1)/(POWER(1+E7,A7)-1),4))</f>
        <v>0.7621</v>
      </c>
      <c r="E7" s="2766">
        <v>0.04</v>
      </c>
      <c r="F7" s="2759"/>
    </row>
    <row r="8" spans="1:18">
      <c r="A8" s="2757"/>
      <c r="B8" s="2758"/>
      <c r="C8" s="2758"/>
      <c r="D8" s="2758"/>
      <c r="E8" s="2758"/>
      <c r="F8" s="2759"/>
    </row>
    <row r="9" spans="1:18">
      <c r="A9" s="2760" t="s">
        <v>2495</v>
      </c>
      <c r="B9" s="2763"/>
      <c r="C9" s="2763"/>
      <c r="D9" s="2763"/>
      <c r="E9" s="2763"/>
      <c r="F9" s="2767"/>
    </row>
    <row r="10" spans="1:18">
      <c r="A10" s="2760" t="s">
        <v>2496</v>
      </c>
      <c r="B10" s="2763"/>
      <c r="C10" s="2763"/>
      <c r="D10" s="2763" t="s">
        <v>2494</v>
      </c>
      <c r="E10" s="2763"/>
      <c r="F10" s="2767" t="s">
        <v>2493</v>
      </c>
    </row>
    <row r="11" spans="1:18">
      <c r="A11" s="2760" t="s">
        <v>2497</v>
      </c>
      <c r="B11" s="2768">
        <v>70</v>
      </c>
      <c r="C11" s="2763" t="s">
        <v>2498</v>
      </c>
      <c r="D11" s="2768">
        <v>4.4999999999999998E-2</v>
      </c>
      <c r="E11" s="2763" t="s">
        <v>2499</v>
      </c>
      <c r="F11" s="2769">
        <f>ROUND(1-(1/(POWER(1+D11,B11))),4)</f>
        <v>0.95409999999999995</v>
      </c>
    </row>
    <row r="12" spans="1:18">
      <c r="A12" s="2760" t="s">
        <v>2500</v>
      </c>
      <c r="B12" s="2768">
        <v>40</v>
      </c>
      <c r="C12" s="2763" t="s">
        <v>2501</v>
      </c>
      <c r="D12" s="2768">
        <v>4.4999999999999998E-2</v>
      </c>
      <c r="E12" s="2763" t="s">
        <v>2502</v>
      </c>
      <c r="F12" s="2769">
        <f>ROUND(1-(1/(POWER(1+D12,B12))),4)</f>
        <v>0.82809999999999995</v>
      </c>
    </row>
    <row r="13" spans="1:18">
      <c r="A13" s="2760" t="s">
        <v>2503</v>
      </c>
      <c r="B13" s="2763"/>
      <c r="C13" s="2763"/>
      <c r="D13" s="2758"/>
      <c r="E13" s="2758"/>
      <c r="F13" s="2759"/>
    </row>
    <row r="14" spans="1:18">
      <c r="A14" s="2760" t="s">
        <v>2504</v>
      </c>
      <c r="B14" s="2768">
        <v>5000</v>
      </c>
      <c r="C14" s="2762"/>
      <c r="D14" s="2758"/>
      <c r="E14" s="2758"/>
      <c r="F14" s="2759"/>
    </row>
    <row r="15" spans="1:18">
      <c r="A15" s="2760" t="s">
        <v>2505</v>
      </c>
      <c r="B15" s="2763">
        <f>ROUND(B14*F12/F11,2)</f>
        <v>4339.6899999999996</v>
      </c>
      <c r="C15" s="2763">
        <f>ROUND(F12/F11,4)</f>
        <v>0.8679</v>
      </c>
      <c r="D15" s="2758"/>
      <c r="E15" s="2758"/>
      <c r="F15" s="2759"/>
    </row>
    <row r="16" spans="1:18">
      <c r="A16" s="2760" t="s">
        <v>2506</v>
      </c>
      <c r="B16" s="2763"/>
      <c r="C16" s="2763"/>
      <c r="D16" s="2758"/>
      <c r="E16" s="2758"/>
      <c r="F16" s="2759"/>
    </row>
    <row r="17" spans="1:14">
      <c r="A17" s="2760" t="s">
        <v>2505</v>
      </c>
      <c r="B17" s="2768">
        <v>4810</v>
      </c>
      <c r="C17" s="2762"/>
      <c r="D17" s="2758"/>
      <c r="E17" s="2758"/>
      <c r="F17" s="2759"/>
    </row>
    <row r="18" spans="1:14" ht="14.25" thickBot="1">
      <c r="A18" s="2770" t="s">
        <v>2504</v>
      </c>
      <c r="B18" s="2771">
        <f>ROUND(B17*F11/F12,2)</f>
        <v>5541.87</v>
      </c>
      <c r="C18" s="2771">
        <f>ROUND(F11/F12,4)</f>
        <v>1.1521999999999999</v>
      </c>
      <c r="D18" s="2772"/>
      <c r="E18" s="2772"/>
      <c r="F18" s="2773"/>
    </row>
    <row r="19" spans="1:14" ht="14.25" thickBot="1"/>
    <row r="20" spans="1:14" s="2806" customFormat="1" ht="14.25" thickTop="1">
      <c r="A20" s="2803" t="s">
        <v>2507</v>
      </c>
      <c r="B20" s="2804"/>
      <c r="C20" s="2804"/>
      <c r="D20" s="2804"/>
      <c r="E20" s="2804"/>
      <c r="F20" s="2804"/>
      <c r="G20" s="2805"/>
      <c r="I20" s="2807" t="s">
        <v>2552</v>
      </c>
      <c r="J20" s="2807" t="s">
        <v>2557</v>
      </c>
      <c r="K20" s="2807"/>
      <c r="L20" s="2807"/>
      <c r="M20" s="2807"/>
    </row>
    <row r="21" spans="1:14">
      <c r="A21" s="2774"/>
      <c r="B21" s="2775" t="s">
        <v>2508</v>
      </c>
      <c r="C21" s="2775" t="s">
        <v>2509</v>
      </c>
      <c r="D21" s="2775" t="s">
        <v>2510</v>
      </c>
      <c r="E21" s="2775" t="s">
        <v>2511</v>
      </c>
      <c r="F21" s="2775" t="s">
        <v>2512</v>
      </c>
      <c r="G21" s="2776" t="s">
        <v>2513</v>
      </c>
      <c r="I21" s="2797">
        <v>5</v>
      </c>
      <c r="J21" s="2797">
        <v>54.2</v>
      </c>
    </row>
    <row r="22" spans="1:14">
      <c r="A22" s="2774" t="s">
        <v>2514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2515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2555</v>
      </c>
      <c r="N23" s="3149" t="s">
        <v>2556</v>
      </c>
    </row>
    <row r="24" spans="1:14">
      <c r="A24" s="2774" t="s">
        <v>2516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2554</v>
      </c>
      <c r="N24" s="3149">
        <v>10</v>
      </c>
    </row>
    <row r="25" spans="1:14">
      <c r="A25" s="2774" t="s">
        <v>2517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2558</v>
      </c>
      <c r="N25" s="3149">
        <v>8</v>
      </c>
    </row>
    <row r="26" spans="1:14">
      <c r="A26" s="2779"/>
      <c r="B26" s="2780"/>
      <c r="C26" s="2780"/>
      <c r="D26" s="2780"/>
      <c r="E26" s="2780"/>
      <c r="F26" s="2780"/>
      <c r="G26" s="2781"/>
      <c r="I26" s="2797">
        <v>30</v>
      </c>
      <c r="J26" s="2797">
        <v>90.5</v>
      </c>
      <c r="K26" s="2797">
        <f t="shared" si="2"/>
        <v>4.2000000000000028</v>
      </c>
      <c r="L26" s="2797" t="s">
        <v>2559</v>
      </c>
      <c r="N26" s="3149">
        <v>5</v>
      </c>
    </row>
    <row r="27" spans="1:14">
      <c r="A27" s="2779" t="s">
        <v>2518</v>
      </c>
      <c r="B27" s="2780"/>
      <c r="C27" s="2780"/>
      <c r="D27" s="2780"/>
      <c r="E27" s="2780"/>
      <c r="F27" s="2780"/>
      <c r="G27" s="2781"/>
      <c r="I27" s="2797">
        <v>35</v>
      </c>
      <c r="J27" s="2797">
        <v>93.8</v>
      </c>
      <c r="K27" s="2797">
        <f t="shared" si="2"/>
        <v>3.2999999999999972</v>
      </c>
      <c r="L27" s="2797" t="s">
        <v>2560</v>
      </c>
      <c r="N27" s="3149">
        <v>3</v>
      </c>
    </row>
    <row r="28" spans="1:14">
      <c r="A28" s="2779" t="s">
        <v>2519</v>
      </c>
      <c r="B28" s="2780"/>
      <c r="C28" s="2780"/>
      <c r="D28" s="2780"/>
      <c r="E28" s="2780"/>
      <c r="F28" s="2780"/>
      <c r="G28" s="2781"/>
      <c r="I28" s="2797">
        <v>40</v>
      </c>
      <c r="J28" s="2797">
        <v>96.4</v>
      </c>
      <c r="K28" s="2797">
        <f t="shared" si="2"/>
        <v>2.6000000000000085</v>
      </c>
      <c r="L28" s="2797" t="s">
        <v>2561</v>
      </c>
      <c r="N28" s="3149">
        <v>2</v>
      </c>
    </row>
    <row r="29" spans="1:14">
      <c r="A29" s="2779" t="s">
        <v>2520</v>
      </c>
      <c r="B29" s="2780"/>
      <c r="C29" s="2780"/>
      <c r="D29" s="2780"/>
      <c r="E29" s="2780"/>
      <c r="F29" s="2780"/>
      <c r="G29" s="2781"/>
      <c r="I29" s="2797">
        <v>45</v>
      </c>
      <c r="J29" s="2797">
        <v>98.4</v>
      </c>
      <c r="K29" s="2797">
        <f t="shared" si="2"/>
        <v>2</v>
      </c>
    </row>
    <row r="30" spans="1:14">
      <c r="A30" s="2779" t="s">
        <v>2521</v>
      </c>
      <c r="B30" s="2780"/>
      <c r="C30" s="2780"/>
      <c r="D30" s="2780"/>
      <c r="E30" s="2780"/>
      <c r="F30" s="2780"/>
      <c r="G30" s="2781"/>
      <c r="I30" s="2797">
        <v>50</v>
      </c>
      <c r="J30" s="2797">
        <v>100</v>
      </c>
      <c r="K30" s="2797">
        <f t="shared" si="2"/>
        <v>1.5999999999999943</v>
      </c>
    </row>
    <row r="31" spans="1:14">
      <c r="A31" s="2779" t="s">
        <v>2522</v>
      </c>
      <c r="B31" s="2780"/>
      <c r="C31" s="2780"/>
      <c r="D31" s="2780"/>
      <c r="E31" s="2780"/>
      <c r="F31" s="2780"/>
      <c r="G31" s="2781"/>
      <c r="I31" s="2797" t="s">
        <v>2553</v>
      </c>
    </row>
    <row r="32" spans="1:14">
      <c r="A32" s="2779" t="s">
        <v>2523</v>
      </c>
      <c r="B32" s="2780"/>
      <c r="C32" s="2780"/>
      <c r="D32" s="2780"/>
      <c r="E32" s="2780"/>
      <c r="F32" s="2780"/>
      <c r="G32" s="2781"/>
    </row>
    <row r="33" spans="1:14">
      <c r="A33" s="2779" t="s">
        <v>2524</v>
      </c>
      <c r="B33" s="2780"/>
      <c r="C33" s="2780"/>
      <c r="D33" s="2780"/>
      <c r="E33" s="2780"/>
      <c r="F33" s="2780"/>
      <c r="G33" s="2781"/>
      <c r="I33" s="2797" t="s">
        <v>2552</v>
      </c>
      <c r="J33" s="2797" t="s">
        <v>2562</v>
      </c>
    </row>
    <row r="34" spans="1:14">
      <c r="A34" s="2779" t="s">
        <v>2525</v>
      </c>
      <c r="B34" s="2780"/>
      <c r="C34" s="2780"/>
      <c r="D34" s="2780"/>
      <c r="E34" s="2780"/>
      <c r="F34" s="2780"/>
      <c r="G34" s="2781"/>
      <c r="I34" s="2797">
        <v>5</v>
      </c>
      <c r="J34" s="2797">
        <v>55.1</v>
      </c>
    </row>
    <row r="35" spans="1:14">
      <c r="A35" s="2779" t="s">
        <v>2526</v>
      </c>
      <c r="B35" s="2780"/>
      <c r="C35" s="2780"/>
      <c r="D35" s="2780"/>
      <c r="E35" s="2780"/>
      <c r="F35" s="2780"/>
      <c r="G35" s="2781"/>
      <c r="I35" s="2797">
        <v>10</v>
      </c>
      <c r="J35" s="2797">
        <v>67</v>
      </c>
      <c r="K35" s="2797">
        <f>J35-J34</f>
        <v>11.899999999999999</v>
      </c>
    </row>
    <row r="36" spans="1:14">
      <c r="A36" s="2779" t="s">
        <v>2527</v>
      </c>
      <c r="B36" s="2780"/>
      <c r="C36" s="2780"/>
      <c r="D36" s="2780"/>
      <c r="E36" s="2780"/>
      <c r="F36" s="2780"/>
      <c r="G36" s="2781"/>
      <c r="I36" s="2797">
        <v>15</v>
      </c>
      <c r="J36" s="2797">
        <v>76.3</v>
      </c>
      <c r="K36" s="2797">
        <f t="shared" ref="K36:K41" si="3">J36-J35</f>
        <v>9.2999999999999972</v>
      </c>
      <c r="L36" s="2797" t="s">
        <v>2555</v>
      </c>
      <c r="N36" s="3149" t="s">
        <v>2556</v>
      </c>
    </row>
    <row r="37" spans="1:14">
      <c r="A37" s="2779" t="s">
        <v>2528</v>
      </c>
      <c r="B37" s="2780"/>
      <c r="C37" s="2780"/>
      <c r="D37" s="2780"/>
      <c r="E37" s="2780"/>
      <c r="F37" s="2780"/>
      <c r="G37" s="2781"/>
      <c r="I37" s="2797">
        <v>20</v>
      </c>
      <c r="J37" s="2797">
        <v>83.6</v>
      </c>
      <c r="K37" s="2797">
        <f t="shared" si="3"/>
        <v>7.2999999999999972</v>
      </c>
      <c r="L37" s="2797" t="s">
        <v>2554</v>
      </c>
      <c r="N37" s="3149">
        <v>10</v>
      </c>
    </row>
    <row r="38" spans="1:14">
      <c r="A38" s="2779" t="s">
        <v>2529</v>
      </c>
      <c r="B38" s="2780"/>
      <c r="C38" s="2780"/>
      <c r="D38" s="2780"/>
      <c r="E38" s="2780"/>
      <c r="F38" s="2780"/>
      <c r="G38" s="2781"/>
      <c r="I38" s="2797">
        <v>25</v>
      </c>
      <c r="J38" s="2797">
        <v>89.3</v>
      </c>
      <c r="K38" s="2797">
        <f t="shared" si="3"/>
        <v>5.7000000000000028</v>
      </c>
      <c r="L38" s="2797" t="s">
        <v>2558</v>
      </c>
      <c r="N38" s="3149">
        <v>8</v>
      </c>
    </row>
    <row r="39" spans="1:14">
      <c r="A39" s="2779"/>
      <c r="B39" s="2780"/>
      <c r="C39" s="2780"/>
      <c r="D39" s="2780"/>
      <c r="E39" s="2780"/>
      <c r="F39" s="2780"/>
      <c r="G39" s="2781"/>
      <c r="I39" s="2797">
        <v>30</v>
      </c>
      <c r="J39" s="2797">
        <v>93.8</v>
      </c>
      <c r="K39" s="2797">
        <f t="shared" si="3"/>
        <v>4.5</v>
      </c>
      <c r="L39" s="2797" t="s">
        <v>2559</v>
      </c>
      <c r="N39" s="3149">
        <v>6</v>
      </c>
    </row>
    <row r="40" spans="1:14">
      <c r="A40" s="2782" t="s">
        <v>2530</v>
      </c>
      <c r="B40" s="2783"/>
      <c r="C40" s="2783"/>
      <c r="D40" s="2783"/>
      <c r="E40" s="2783"/>
      <c r="F40" s="2783"/>
      <c r="G40" s="2784"/>
      <c r="I40" s="2797">
        <v>35</v>
      </c>
      <c r="J40" s="2797">
        <v>97.2</v>
      </c>
      <c r="K40" s="2797">
        <f t="shared" si="3"/>
        <v>3.4000000000000057</v>
      </c>
      <c r="L40" s="2797" t="s">
        <v>2560</v>
      </c>
      <c r="N40" s="3149">
        <v>3</v>
      </c>
    </row>
    <row r="41" spans="1:14">
      <c r="A41" s="2785" t="s">
        <v>2531</v>
      </c>
      <c r="B41" s="2786" t="s">
        <v>2532</v>
      </c>
      <c r="C41" s="2787" t="s">
        <v>2533</v>
      </c>
      <c r="D41" s="2787" t="s">
        <v>2534</v>
      </c>
      <c r="E41" s="2788"/>
      <c r="F41" s="2789"/>
      <c r="G41" s="2790"/>
      <c r="I41" s="2797">
        <v>40</v>
      </c>
      <c r="J41" s="2797">
        <v>100</v>
      </c>
      <c r="K41" s="2797">
        <f t="shared" si="3"/>
        <v>2.7999999999999972</v>
      </c>
    </row>
    <row r="42" spans="1:14">
      <c r="A42" s="2785" t="s">
        <v>2535</v>
      </c>
      <c r="B42" s="2786" t="s">
        <v>2536</v>
      </c>
      <c r="C42" s="2787" t="s">
        <v>2537</v>
      </c>
      <c r="D42" s="2791" t="s">
        <v>2538</v>
      </c>
      <c r="E42" s="2783" t="s">
        <v>2539</v>
      </c>
      <c r="F42" s="2783"/>
      <c r="G42" s="2784"/>
    </row>
    <row r="43" spans="1:14">
      <c r="A43" s="2785" t="s">
        <v>2540</v>
      </c>
      <c r="B43" s="2786" t="s">
        <v>2541</v>
      </c>
      <c r="C43" s="2787" t="s">
        <v>2542</v>
      </c>
      <c r="D43" s="2787" t="s">
        <v>2543</v>
      </c>
      <c r="E43" s="2788" t="s">
        <v>2544</v>
      </c>
      <c r="F43" s="2789"/>
      <c r="G43" s="2790"/>
      <c r="I43" s="2797" t="s">
        <v>2552</v>
      </c>
      <c r="J43" s="2797" t="s">
        <v>2563</v>
      </c>
    </row>
    <row r="44" spans="1:14">
      <c r="A44" s="2785" t="s">
        <v>2545</v>
      </c>
      <c r="B44" s="2786" t="s">
        <v>2546</v>
      </c>
      <c r="C44" s="2787" t="s">
        <v>2547</v>
      </c>
      <c r="D44" s="2791">
        <v>0.5</v>
      </c>
      <c r="E44" s="2788" t="s">
        <v>2548</v>
      </c>
      <c r="F44" s="2789"/>
      <c r="G44" s="2790"/>
      <c r="I44" s="2797">
        <v>30</v>
      </c>
      <c r="J44" s="2797">
        <v>81.7</v>
      </c>
    </row>
    <row r="45" spans="1:14" ht="14.25" thickBot="1">
      <c r="A45" s="2792" t="s">
        <v>2549</v>
      </c>
      <c r="B45" s="2793" t="s">
        <v>2536</v>
      </c>
      <c r="C45" s="2794" t="s">
        <v>2536</v>
      </c>
      <c r="D45" s="2794" t="s">
        <v>2550</v>
      </c>
      <c r="E45" s="2795" t="s">
        <v>2551</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3376</v>
      </c>
    </row>
    <row r="50" spans="1:4">
      <c r="A50" s="3141" t="s">
        <v>3377</v>
      </c>
      <c r="B50" s="3141" t="s">
        <v>3378</v>
      </c>
      <c r="C50" s="3141" t="s">
        <v>3379</v>
      </c>
      <c r="D50" s="3141" t="s">
        <v>3380</v>
      </c>
    </row>
    <row r="51" spans="1:4">
      <c r="A51" s="3141" t="s">
        <v>3381</v>
      </c>
      <c r="B51" s="2762">
        <f>B52+B53</f>
        <v>15000</v>
      </c>
      <c r="C51" s="3142">
        <f>D51/B51</f>
        <v>2666.6666666666665</v>
      </c>
      <c r="D51" s="2762">
        <f>D52+D53</f>
        <v>40000000</v>
      </c>
    </row>
    <row r="52" spans="1:4">
      <c r="A52" s="3143" t="s">
        <v>3382</v>
      </c>
      <c r="B52" s="3144">
        <v>10000</v>
      </c>
      <c r="C52" s="3144">
        <v>1500</v>
      </c>
      <c r="D52" s="3145">
        <f>C52*B52</f>
        <v>15000000</v>
      </c>
    </row>
    <row r="53" spans="1:4">
      <c r="A53" s="3143" t="s">
        <v>3383</v>
      </c>
      <c r="B53" s="3144">
        <v>5000</v>
      </c>
      <c r="C53" s="3144">
        <v>5000</v>
      </c>
      <c r="D53" s="3145">
        <f>C53*B53</f>
        <v>25000000</v>
      </c>
    </row>
    <row r="54" spans="1:4">
      <c r="A54" s="3141" t="s">
        <v>3384</v>
      </c>
      <c r="B54" s="2762">
        <f>B51</f>
        <v>15000</v>
      </c>
      <c r="C54" s="2768">
        <v>700</v>
      </c>
      <c r="D54" s="2762">
        <f t="shared" ref="D54:D55" si="5">C54*B54</f>
        <v>10500000</v>
      </c>
    </row>
    <row r="55" spans="1:4">
      <c r="A55" s="3141" t="s">
        <v>3385</v>
      </c>
      <c r="B55" s="2762">
        <f>B51</f>
        <v>15000</v>
      </c>
      <c r="C55" s="2768">
        <v>1500</v>
      </c>
      <c r="D55" s="2762">
        <f t="shared" si="5"/>
        <v>22500000</v>
      </c>
    </row>
    <row r="56" spans="1:4">
      <c r="A56" s="3141" t="s">
        <v>3386</v>
      </c>
      <c r="B56" s="2762">
        <f>B51</f>
        <v>15000</v>
      </c>
      <c r="C56" s="3146">
        <f>C51+C54+C55</f>
        <v>4866.6666666666661</v>
      </c>
      <c r="D56" s="2762">
        <f>D51+D54+D55</f>
        <v>73000000</v>
      </c>
    </row>
    <row r="58" spans="1:4">
      <c r="A58" s="3141" t="s">
        <v>3387</v>
      </c>
      <c r="B58" s="3147">
        <v>0.05</v>
      </c>
      <c r="C58" s="2762">
        <f>C56*(1+B58)</f>
        <v>5110</v>
      </c>
      <c r="D58" s="2762">
        <f>D56*B58</f>
        <v>3650000</v>
      </c>
    </row>
    <row r="60" spans="1:4">
      <c r="A60" s="3141" t="s">
        <v>3388</v>
      </c>
      <c r="B60" s="2768">
        <v>3500</v>
      </c>
      <c r="C60" s="2768">
        <f>C53</f>
        <v>5000</v>
      </c>
      <c r="D60" s="2762">
        <f>C60*B60</f>
        <v>17500000</v>
      </c>
    </row>
    <row r="62" spans="1:4">
      <c r="A62" s="3141" t="s">
        <v>3389</v>
      </c>
      <c r="B62" s="2768">
        <f>B51</f>
        <v>15000</v>
      </c>
      <c r="C62" s="3148">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5" sqref="D15"/>
    </sheetView>
  </sheetViews>
  <sheetFormatPr defaultColWidth="10" defaultRowHeight="12.75"/>
  <cols>
    <col min="1" max="1" width="16.875" style="1616" customWidth="1"/>
    <col min="2" max="2" width="11.875" style="1616" customWidth="1"/>
    <col min="3" max="3" width="11.5" style="1616" customWidth="1"/>
    <col min="4" max="4" width="12.5"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10" customWidth="1"/>
    <col min="12" max="13" width="10" style="2411"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2158</v>
      </c>
      <c r="B1" s="3279" t="str">
        <f>IF(B10="北京市","北京市",C10)&amp;F10&amp;IF(结果表!G1="在建","出让国有建设用地使用权及在建建筑物",IF(结果表!G1="土地","出让国有建设用地使用权",))&amp;B9&amp;"预评估"</f>
        <v>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抵押价值预评估</v>
      </c>
      <c r="C1" s="3280"/>
      <c r="D1" s="3280"/>
      <c r="E1" s="3280"/>
      <c r="F1" s="3280"/>
      <c r="G1" s="3280"/>
      <c r="H1" s="3280"/>
      <c r="I1" s="3281"/>
      <c r="J1" s="2242"/>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抵押价值</v>
      </c>
      <c r="T1" s="1616"/>
      <c r="U1" s="1616"/>
      <c r="V1" s="1616"/>
      <c r="W1" s="1616"/>
      <c r="X1" s="1616"/>
      <c r="Y1" s="1616"/>
      <c r="Z1" s="1616"/>
      <c r="AA1" s="1616"/>
      <c r="AB1" s="1616"/>
    </row>
    <row r="2" spans="1:30">
      <c r="A2" s="2180" t="s">
        <v>2159</v>
      </c>
      <c r="B2" s="121"/>
      <c r="D2" s="2445"/>
      <c r="E2" s="2438"/>
      <c r="F2" s="2438"/>
      <c r="G2" s="2439"/>
      <c r="H2" s="2439"/>
      <c r="I2" s="2439"/>
      <c r="J2" s="2242"/>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v>
      </c>
      <c r="T2" s="1616"/>
      <c r="U2" s="1616"/>
      <c r="V2" s="1616"/>
      <c r="W2" s="1616"/>
      <c r="X2" s="1616"/>
      <c r="Y2" s="1616"/>
      <c r="Z2" s="1616"/>
      <c r="AA2" s="1616"/>
      <c r="AB2" s="1616"/>
    </row>
    <row r="3" spans="1:30">
      <c r="A3" s="293" t="s">
        <v>2160</v>
      </c>
      <c r="B3" s="2183">
        <v>45709</v>
      </c>
      <c r="C3" s="2184" t="s">
        <v>2161</v>
      </c>
      <c r="D3" s="2183">
        <f>B3</f>
        <v>45709</v>
      </c>
      <c r="E3" s="2439"/>
      <c r="F3" s="2439"/>
      <c r="G3" s="2439"/>
      <c r="H3" s="2439"/>
      <c r="I3" s="2439"/>
      <c r="J3" s="2242"/>
      <c r="K3" s="2181"/>
      <c r="L3" s="2182"/>
      <c r="M3" s="2182"/>
      <c r="N3" s="2180"/>
      <c r="O3" s="1464"/>
      <c r="P3" s="2180"/>
      <c r="Q3" s="2180"/>
      <c r="R3" s="2180"/>
      <c r="S3" s="1559"/>
      <c r="T3" s="1616"/>
      <c r="U3" s="1616"/>
      <c r="V3" s="1616"/>
      <c r="W3" s="1616"/>
      <c r="X3" s="1616"/>
      <c r="Y3" s="1616"/>
      <c r="Z3" s="1616"/>
      <c r="AA3" s="1616"/>
      <c r="AB3" s="1616"/>
    </row>
    <row r="4" spans="1:30" ht="13.5" thickBot="1">
      <c r="A4" s="1025" t="s">
        <v>2162</v>
      </c>
      <c r="B4" s="2185" t="s">
        <v>3885</v>
      </c>
      <c r="C4" s="2186">
        <f ca="1">SUMIF(注册房地产估价师,B4,估价师及机构信息!B3:B24)</f>
        <v>1120070131</v>
      </c>
      <c r="D4" s="2185" t="s">
        <v>3886</v>
      </c>
      <c r="E4" s="2186">
        <f ca="1">SUMIF(注册房地产估价师,D4,估价师及机构信息!B3:B24)</f>
        <v>1120100036</v>
      </c>
      <c r="F4" s="2185"/>
      <c r="G4" s="2186">
        <f>SUMIF(注册房地产估价师,F4,估价师及机构信息!B3:B24)</f>
        <v>0</v>
      </c>
      <c r="H4" s="2185"/>
      <c r="I4" s="2186">
        <f>SUMIF(注册房地产估价师,H4,估价师及机构信息!B3:B24)</f>
        <v>0</v>
      </c>
      <c r="J4" s="2242"/>
      <c r="K4" s="2187" t="str">
        <f ca="1">CONCATENATE(B4,"（注册号：",C4,")、",D4,"（注册号：",E4,")")</f>
        <v>郑燚（注册号：1120070131)、崔锴（注册号：1120100036)</v>
      </c>
      <c r="L4" s="2182"/>
      <c r="M4" s="2182"/>
      <c r="N4" s="2180"/>
      <c r="O4" s="1464"/>
      <c r="P4" s="2180"/>
      <c r="Q4" s="2180"/>
      <c r="R4" s="2180"/>
      <c r="S4" s="1559"/>
      <c r="T4" s="1616"/>
      <c r="U4" s="1616"/>
      <c r="V4" s="1616"/>
      <c r="W4" s="1616"/>
      <c r="X4" s="1616"/>
      <c r="Y4" s="1616"/>
      <c r="Z4" s="1616"/>
      <c r="AA4" s="1616"/>
      <c r="AB4" s="1616"/>
    </row>
    <row r="5" spans="1:30" ht="13.5" thickTop="1">
      <c r="A5" s="2188" t="s">
        <v>2163</v>
      </c>
      <c r="B5" s="3150" t="s">
        <v>3391</v>
      </c>
      <c r="C5" s="2189"/>
      <c r="D5" s="2190"/>
      <c r="E5" s="2439"/>
      <c r="F5" s="2439"/>
      <c r="G5" s="2439"/>
      <c r="H5" s="2439"/>
      <c r="I5" s="2439"/>
      <c r="J5" s="2242"/>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1" t="s">
        <v>2164</v>
      </c>
      <c r="B6" s="2192"/>
      <c r="C6" s="2193"/>
      <c r="D6" s="2194"/>
      <c r="E6" s="2438"/>
      <c r="F6" s="2439"/>
      <c r="G6" s="2439"/>
      <c r="H6" s="2439"/>
      <c r="I6" s="2439"/>
      <c r="J6" s="2242"/>
      <c r="K6" s="2398" t="str">
        <f>IF(COUNTIF(B6,"*上海银行*"),"上海银行","")</f>
        <v/>
      </c>
      <c r="L6" s="2396"/>
      <c r="M6" s="2396"/>
      <c r="N6" s="2242"/>
      <c r="O6" s="1668"/>
      <c r="P6" s="2242"/>
      <c r="Q6" s="2242"/>
      <c r="R6" s="2242"/>
    </row>
    <row r="7" spans="1:30">
      <c r="A7" s="2191" t="s">
        <v>2165</v>
      </c>
      <c r="B7" s="2195"/>
      <c r="C7" s="2193"/>
      <c r="D7" s="2194"/>
      <c r="E7" s="2438"/>
      <c r="F7" s="2439"/>
      <c r="G7" s="2439"/>
      <c r="H7" s="2439"/>
      <c r="I7" s="2439"/>
      <c r="J7" s="2242"/>
      <c r="K7" s="2399"/>
      <c r="L7" s="2396"/>
      <c r="M7" s="2396"/>
      <c r="N7" s="2242"/>
      <c r="O7" s="1668"/>
      <c r="P7" s="2242"/>
      <c r="Q7" s="2242"/>
      <c r="R7" s="2242"/>
    </row>
    <row r="8" spans="1:30">
      <c r="A8" s="2196" t="s">
        <v>2166</v>
      </c>
      <c r="B8" s="2197" t="s">
        <v>3392</v>
      </c>
      <c r="C8" s="2198"/>
      <c r="D8" s="3282" t="s">
        <v>2167</v>
      </c>
      <c r="E8" s="2199" t="s">
        <v>3393</v>
      </c>
      <c r="F8" s="2200"/>
      <c r="G8" s="2439"/>
      <c r="H8" s="2439"/>
      <c r="I8" s="2439"/>
      <c r="J8" s="2242"/>
      <c r="K8" s="2397"/>
      <c r="L8" s="2396"/>
      <c r="M8" s="2396"/>
      <c r="N8" s="2242"/>
      <c r="O8" s="1668"/>
      <c r="P8" s="2242"/>
      <c r="Q8" s="2242"/>
      <c r="R8" s="2242"/>
    </row>
    <row r="9" spans="1:30" ht="13.5" thickBot="1">
      <c r="A9" s="2201" t="s">
        <v>2168</v>
      </c>
      <c r="B9" s="2202" t="s">
        <v>3393</v>
      </c>
      <c r="C9" s="2203"/>
      <c r="D9" s="3283"/>
      <c r="E9" s="2202"/>
      <c r="F9" s="2204"/>
      <c r="G9" s="2440"/>
      <c r="H9" s="2440"/>
      <c r="I9" s="2440"/>
      <c r="J9" s="2242"/>
      <c r="K9" s="2399"/>
      <c r="L9" s="2396"/>
      <c r="M9" s="2396"/>
      <c r="N9" s="2242"/>
      <c r="O9" s="1668"/>
      <c r="P9" s="2242"/>
      <c r="Q9" s="2242"/>
      <c r="R9" s="2242"/>
    </row>
    <row r="10" spans="1:30" ht="13.5" thickTop="1">
      <c r="A10" s="2205" t="s">
        <v>2169</v>
      </c>
      <c r="B10" s="2206" t="s">
        <v>3394</v>
      </c>
      <c r="C10" s="2207"/>
      <c r="D10" s="2190"/>
      <c r="E10" s="2208" t="s">
        <v>2170</v>
      </c>
      <c r="F10" s="2441" t="s">
        <v>3414</v>
      </c>
      <c r="G10" s="2442"/>
      <c r="H10" s="2443"/>
      <c r="I10" s="2444"/>
      <c r="J10" s="2242"/>
      <c r="K10" s="2399"/>
      <c r="L10" s="2396"/>
      <c r="M10" s="2396"/>
      <c r="N10" s="2242"/>
      <c r="O10" s="1668"/>
      <c r="P10" s="2242"/>
      <c r="Q10" s="2242"/>
      <c r="R10" s="2242"/>
    </row>
    <row r="11" spans="1:30">
      <c r="A11" s="2209" t="s">
        <v>2171</v>
      </c>
      <c r="B11" s="2210" t="s">
        <v>3395</v>
      </c>
      <c r="C11" s="2211"/>
      <c r="D11" s="2212"/>
      <c r="E11" s="2180"/>
      <c r="F11" s="2180"/>
      <c r="G11" s="2180"/>
      <c r="H11" s="2180"/>
      <c r="I11" s="2180"/>
      <c r="J11" s="2799"/>
      <c r="K11" s="2396"/>
      <c r="L11" s="2396"/>
      <c r="M11" s="2396"/>
      <c r="N11" s="2242"/>
      <c r="O11" s="1668"/>
      <c r="P11" s="2242"/>
      <c r="Q11" s="2242"/>
      <c r="R11" s="2242"/>
    </row>
    <row r="12" spans="1:30">
      <c r="A12" s="2213" t="s">
        <v>2172</v>
      </c>
      <c r="B12" s="314" t="s">
        <v>2173</v>
      </c>
      <c r="C12" s="2214" t="s">
        <v>2174</v>
      </c>
      <c r="D12" s="2214" t="s">
        <v>2175</v>
      </c>
      <c r="E12" s="2214" t="s">
        <v>2176</v>
      </c>
      <c r="F12" s="2214" t="s">
        <v>2177</v>
      </c>
      <c r="G12" s="2214" t="s">
        <v>2178</v>
      </c>
      <c r="H12" s="2214" t="s">
        <v>2179</v>
      </c>
      <c r="I12" s="2798" t="s">
        <v>2564</v>
      </c>
      <c r="J12" s="2800"/>
      <c r="K12" s="2396"/>
      <c r="L12" s="2396"/>
      <c r="M12" s="2242"/>
      <c r="N12" s="1668"/>
      <c r="O12" s="2242"/>
      <c r="P12" s="2242"/>
      <c r="Q12" s="2242"/>
      <c r="AD12" s="1616"/>
    </row>
    <row r="13" spans="1:30">
      <c r="A13" s="3118" t="s">
        <v>3319</v>
      </c>
      <c r="B13" s="2215" t="s">
        <v>2180</v>
      </c>
      <c r="C13" s="801"/>
      <c r="D13" s="801">
        <v>58698</v>
      </c>
      <c r="E13" s="801"/>
      <c r="F13" s="801">
        <v>62350</v>
      </c>
      <c r="G13" s="801"/>
      <c r="H13" s="801"/>
      <c r="I13" s="801"/>
      <c r="J13" s="2800"/>
      <c r="K13" s="2396"/>
      <c r="L13" s="2396"/>
      <c r="M13" s="2242"/>
      <c r="N13" s="1668"/>
      <c r="O13" s="2242"/>
      <c r="P13" s="2242"/>
      <c r="Q13" s="2242"/>
      <c r="AD13" s="1616"/>
    </row>
    <row r="14" spans="1:30">
      <c r="A14" s="1016"/>
      <c r="B14" s="2215" t="s">
        <v>2181</v>
      </c>
      <c r="C14" s="2216"/>
      <c r="D14" s="2216">
        <v>40</v>
      </c>
      <c r="E14" s="2216"/>
      <c r="F14" s="2216">
        <v>50</v>
      </c>
      <c r="G14" s="2216"/>
      <c r="H14" s="2216"/>
      <c r="I14" s="2216"/>
      <c r="J14" s="2801"/>
      <c r="K14" s="2396"/>
      <c r="L14" s="2396"/>
      <c r="M14" s="2242"/>
      <c r="N14" s="1668"/>
      <c r="O14" s="2242"/>
      <c r="P14" s="2242"/>
      <c r="Q14" s="2242"/>
      <c r="AD14" s="1616"/>
    </row>
    <row r="15" spans="1:30">
      <c r="A15" s="311"/>
      <c r="B15" s="2217" t="s">
        <v>2182</v>
      </c>
      <c r="C15" s="2218" t="str">
        <f>IF(A13="出让",IF(C13="","",ROUNDDOWN(MIN((C13-$D$3)/365,C14),2)),C14)</f>
        <v/>
      </c>
      <c r="D15" s="2218">
        <f>IF(A13="出让",IF(D13="","",ROUNDDOWN(MIN((D13-$D$3)/365,D14),2)),D14)</f>
        <v>35.58</v>
      </c>
      <c r="E15" s="2218" t="str">
        <f>IF(A13="出让",IF(E13="","",ROUNDDOWN(MIN((E13-$D$3)/365,E14),2)),E14)</f>
        <v/>
      </c>
      <c r="F15" s="2218">
        <f>IF(A13="出让",IF(F13="","",ROUNDDOWN(MIN((F13-$D$3)/365,F14),2)),F14)</f>
        <v>45.59</v>
      </c>
      <c r="G15" s="2218" t="str">
        <f>IF(A13="出让",IF(G13="","",ROUNDDOWN(MIN((G13-$D$3)/365,G14),2)),G14)</f>
        <v/>
      </c>
      <c r="H15" s="2218" t="str">
        <f>IF(A13="出让",IF(H13="","",ROUNDDOWN(MIN((H13-$D$3)/365,H14),2)),H14)</f>
        <v/>
      </c>
      <c r="I15" s="2218" t="str">
        <f>IF(A13="出让",IF(I13="","",ROUNDDOWN(MIN((I13-$D$3)/365,I14),2)),I14)</f>
        <v/>
      </c>
      <c r="J15" s="2802"/>
      <c r="K15" s="1668"/>
      <c r="L15" s="1668"/>
      <c r="M15" s="2242"/>
      <c r="N15" s="1668"/>
      <c r="O15" s="2242"/>
      <c r="P15" s="2242"/>
      <c r="Q15" s="2242"/>
      <c r="AD15" s="1616"/>
    </row>
    <row r="16" spans="1:30">
      <c r="A16" s="2208" t="s">
        <v>2183</v>
      </c>
      <c r="B16" s="3289"/>
      <c r="C16" s="3290"/>
      <c r="D16" s="3291"/>
      <c r="E16" s="2219" t="s">
        <v>2184</v>
      </c>
      <c r="F16" s="3292"/>
      <c r="G16" s="3293"/>
      <c r="H16" s="3293"/>
      <c r="I16" s="3294"/>
      <c r="J16" s="2242"/>
      <c r="K16" s="2400"/>
      <c r="L16" s="1668"/>
      <c r="M16" s="1668"/>
      <c r="N16" s="2242"/>
      <c r="O16" s="1668"/>
      <c r="P16" s="2242"/>
      <c r="Q16" s="2242"/>
      <c r="R16" s="2242"/>
    </row>
    <row r="17" spans="1:28">
      <c r="A17" s="304" t="s">
        <v>2185</v>
      </c>
      <c r="B17" s="293" t="s">
        <v>2186</v>
      </c>
      <c r="C17" s="8">
        <f>'数据-汇总表'!E3</f>
        <v>23997.3</v>
      </c>
      <c r="D17" s="1254" t="s">
        <v>2187</v>
      </c>
      <c r="E17" s="3295" t="s">
        <v>2188</v>
      </c>
      <c r="F17" s="3296"/>
      <c r="G17" s="3296"/>
      <c r="H17" s="3296"/>
      <c r="I17" s="3297"/>
      <c r="J17" s="2242"/>
      <c r="K17" s="2401"/>
      <c r="L17" s="1668"/>
      <c r="M17" s="1668"/>
      <c r="N17" s="2242"/>
      <c r="O17" s="1668"/>
      <c r="P17" s="2242"/>
      <c r="Q17" s="2242"/>
      <c r="R17" s="2242"/>
      <c r="S17" s="2242"/>
      <c r="T17" s="2242"/>
      <c r="U17" s="2242"/>
      <c r="V17" s="2242"/>
    </row>
    <row r="18" spans="1:28" ht="24.75" thickBot="1">
      <c r="A18" s="2220" t="s">
        <v>2189</v>
      </c>
      <c r="B18" s="1025" t="s">
        <v>2190</v>
      </c>
      <c r="C18" s="2221">
        <f>'数据-汇总表'!D3</f>
        <v>6542.04</v>
      </c>
      <c r="D18" s="1027" t="s">
        <v>2191</v>
      </c>
      <c r="E18" s="3298" t="s">
        <v>2192</v>
      </c>
      <c r="F18" s="3299"/>
      <c r="G18" s="3299"/>
      <c r="H18" s="3299"/>
      <c r="I18" s="3300"/>
      <c r="J18" s="2242"/>
      <c r="K18" s="2401"/>
      <c r="L18" s="1668"/>
      <c r="M18" s="1668"/>
      <c r="N18" s="2242"/>
      <c r="O18" s="1668"/>
      <c r="P18" s="2242"/>
      <c r="Q18" s="2242"/>
      <c r="R18" s="2242"/>
      <c r="S18" s="2242"/>
      <c r="T18" s="2242"/>
      <c r="U18" s="2242"/>
      <c r="V18" s="2242"/>
    </row>
    <row r="19" spans="1:28" ht="25.5" thickTop="1" thickBot="1">
      <c r="A19" s="318" t="s">
        <v>1049</v>
      </c>
      <c r="B19" s="298" t="s">
        <v>2193</v>
      </c>
      <c r="C19" s="1453"/>
      <c r="D19" s="1454" t="s">
        <v>2194</v>
      </c>
      <c r="E19" s="1455"/>
      <c r="F19" s="1456" t="str">
        <f>IF(AND(C19="是",E19="否"),"是否提供他项权证或相关说明","")</f>
        <v/>
      </c>
      <c r="G19" s="1457"/>
      <c r="H19" s="2439"/>
      <c r="I19" s="2439"/>
      <c r="J19" s="2242"/>
      <c r="K19" s="2399"/>
      <c r="L19" s="2396"/>
      <c r="M19" s="2396"/>
      <c r="N19" s="2242"/>
      <c r="O19" s="1668"/>
      <c r="P19" s="2242"/>
      <c r="Q19" s="2242"/>
      <c r="R19" s="2242"/>
      <c r="S19" s="2242"/>
      <c r="T19" s="2242"/>
      <c r="U19" s="2242"/>
      <c r="V19" s="2242"/>
    </row>
    <row r="20" spans="1:28">
      <c r="A20" s="2414" t="s">
        <v>2195</v>
      </c>
      <c r="B20" s="3285" t="s">
        <v>2196</v>
      </c>
      <c r="C20" s="3286"/>
      <c r="D20" s="3287" t="s">
        <v>2197</v>
      </c>
      <c r="E20" s="3288"/>
      <c r="F20" s="2427" t="s">
        <v>1050</v>
      </c>
      <c r="G20" s="2439"/>
      <c r="H20" s="2439"/>
      <c r="I20" s="2439"/>
      <c r="J20" s="2242"/>
      <c r="K20" s="3284" t="s">
        <v>2198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24.75" thickBot="1">
      <c r="A21" s="2414"/>
      <c r="B21" s="2415" t="s">
        <v>2199</v>
      </c>
      <c r="C21" s="2293" t="s">
        <v>1051</v>
      </c>
      <c r="D21" s="1458" t="s">
        <v>2200</v>
      </c>
      <c r="E21" s="2416" t="s">
        <v>1051</v>
      </c>
      <c r="F21" s="2428"/>
      <c r="G21" s="2439"/>
      <c r="H21" s="2439"/>
      <c r="I21" s="2439"/>
      <c r="J21" s="2242"/>
      <c r="K21" s="328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4"/>
      <c r="B22" s="2417" t="s">
        <v>2201</v>
      </c>
      <c r="C22" s="2293" t="s">
        <v>1052</v>
      </c>
      <c r="D22" s="2439"/>
      <c r="E22" s="2439"/>
      <c r="F22" s="2439"/>
      <c r="G22" s="2439"/>
      <c r="H22" s="2439"/>
      <c r="I22" s="2439"/>
      <c r="J22" s="2242"/>
      <c r="K22" s="328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8" t="s">
        <v>2202</v>
      </c>
      <c r="B23" s="2290" t="s">
        <v>2203</v>
      </c>
      <c r="C23" s="2419"/>
      <c r="D23" s="2420" t="s">
        <v>2203</v>
      </c>
      <c r="E23" s="2421"/>
      <c r="F23" s="2439"/>
      <c r="G23" s="2439"/>
      <c r="H23" s="2439"/>
      <c r="I23" s="2439"/>
      <c r="J23" s="2242"/>
      <c r="K23" s="2398"/>
      <c r="L23" s="120"/>
      <c r="M23" s="2396"/>
      <c r="N23" s="2242"/>
      <c r="O23" s="1668"/>
      <c r="P23" s="2242"/>
      <c r="Q23" s="2242"/>
      <c r="R23" s="2242"/>
      <c r="S23" s="2242"/>
      <c r="T23" s="2242"/>
      <c r="U23" s="2242"/>
      <c r="V23" s="2242"/>
    </row>
    <row r="24" spans="1:28">
      <c r="A24" s="2418"/>
      <c r="B24" s="2290" t="s">
        <v>1053</v>
      </c>
      <c r="C24" s="2268"/>
      <c r="D24" s="2418" t="s">
        <v>1053</v>
      </c>
      <c r="E24" s="2422"/>
      <c r="F24" s="2439"/>
      <c r="G24" s="2439"/>
      <c r="H24" s="2439"/>
      <c r="I24" s="2439"/>
      <c r="J24" s="2242"/>
      <c r="K24" s="2398"/>
      <c r="L24" s="120"/>
      <c r="M24" s="2396"/>
      <c r="N24" s="2242"/>
      <c r="O24" s="1668"/>
      <c r="P24" s="2242"/>
      <c r="Q24" s="2242"/>
      <c r="R24" s="2242"/>
      <c r="S24" s="2242"/>
      <c r="T24" s="2242"/>
      <c r="U24" s="2242"/>
      <c r="V24" s="2242"/>
    </row>
    <row r="25" spans="1:28">
      <c r="A25" s="2418"/>
      <c r="B25" s="2290" t="s">
        <v>1054</v>
      </c>
      <c r="C25" s="2268"/>
      <c r="D25" s="2418" t="s">
        <v>1054</v>
      </c>
      <c r="E25" s="2422"/>
      <c r="F25" s="2439"/>
      <c r="G25" s="2439"/>
      <c r="H25" s="2439"/>
      <c r="I25" s="2439"/>
      <c r="J25" s="2242"/>
      <c r="K25" s="2399"/>
      <c r="L25" s="2396"/>
      <c r="M25" s="2396"/>
      <c r="N25" s="2242"/>
      <c r="O25" s="1668"/>
      <c r="P25" s="2242"/>
      <c r="Q25" s="2242"/>
      <c r="R25" s="2242"/>
      <c r="S25" s="2242"/>
      <c r="T25" s="2242"/>
      <c r="U25" s="2242"/>
      <c r="V25" s="2242"/>
    </row>
    <row r="26" spans="1:28" ht="13.5" thickBot="1">
      <c r="A26" s="2423"/>
      <c r="B26" s="2424" t="s">
        <v>1055</v>
      </c>
      <c r="C26" s="2425"/>
      <c r="D26" s="2423" t="s">
        <v>1055</v>
      </c>
      <c r="E26" s="2426"/>
      <c r="F26" s="2440"/>
      <c r="G26" s="2440"/>
      <c r="H26" s="2440"/>
      <c r="I26" s="2440"/>
      <c r="J26" s="2242"/>
      <c r="K26" s="2399"/>
      <c r="L26" s="2396"/>
      <c r="M26" s="2396"/>
      <c r="N26" s="2242"/>
      <c r="O26" s="1668"/>
      <c r="P26" s="2242"/>
      <c r="Q26" s="2242"/>
      <c r="R26" s="2242"/>
      <c r="S26" s="2242"/>
      <c r="T26" s="2242"/>
      <c r="U26" s="2242"/>
      <c r="V26" s="2242"/>
    </row>
    <row r="27" spans="1:28" ht="13.5" thickTop="1">
      <c r="A27" s="3273" t="s">
        <v>2204</v>
      </c>
      <c r="B27" s="311" t="s">
        <v>2205</v>
      </c>
      <c r="C27" s="2222" t="s">
        <v>3396</v>
      </c>
      <c r="D27" s="2223"/>
      <c r="E27" s="2439"/>
      <c r="F27" s="2439"/>
      <c r="G27" s="2439"/>
      <c r="H27" s="2439"/>
      <c r="I27" s="2439"/>
      <c r="J27" s="2242"/>
      <c r="K27" s="2400"/>
      <c r="L27" s="1668"/>
      <c r="M27" s="1668"/>
      <c r="N27" s="2242"/>
      <c r="O27" s="1668"/>
      <c r="P27" s="2242"/>
      <c r="Q27" s="2242"/>
      <c r="R27" s="2242"/>
      <c r="S27" s="2242"/>
      <c r="T27" s="2242"/>
      <c r="U27" s="2242"/>
      <c r="V27" s="2242"/>
    </row>
    <row r="28" spans="1:28">
      <c r="A28" s="3273"/>
      <c r="B28" s="293" t="s">
        <v>2206</v>
      </c>
      <c r="C28" s="2224" t="s">
        <v>3397</v>
      </c>
      <c r="D28" s="2225"/>
      <c r="E28" s="2439"/>
      <c r="F28" s="2439"/>
      <c r="G28" s="2439"/>
      <c r="H28" s="2439"/>
      <c r="I28" s="2439"/>
      <c r="J28" s="2242"/>
      <c r="K28" s="2399"/>
      <c r="L28" s="2396"/>
      <c r="M28" s="2396"/>
      <c r="N28" s="2242"/>
      <c r="O28" s="1668"/>
      <c r="P28" s="2242"/>
      <c r="Q28" s="2242"/>
      <c r="R28" s="2242"/>
      <c r="S28" s="2242"/>
      <c r="T28" s="2242"/>
      <c r="U28" s="2242"/>
      <c r="V28" s="2242"/>
    </row>
    <row r="29" spans="1:28">
      <c r="A29" s="3273"/>
      <c r="B29" s="293" t="s">
        <v>2207</v>
      </c>
      <c r="C29" s="2226" t="s">
        <v>3398</v>
      </c>
      <c r="D29" s="2227"/>
      <c r="E29" s="2439"/>
      <c r="F29" s="2439"/>
      <c r="G29" s="2439"/>
      <c r="H29" s="2439"/>
      <c r="I29" s="2439"/>
      <c r="J29" s="2242"/>
      <c r="K29" s="2399"/>
      <c r="L29" s="2396"/>
      <c r="M29" s="2396"/>
      <c r="N29" s="2242"/>
      <c r="O29" s="1668"/>
      <c r="P29" s="2242"/>
      <c r="Q29" s="2242"/>
      <c r="R29" s="2242"/>
      <c r="S29" s="2242"/>
      <c r="T29" s="2242"/>
      <c r="U29" s="2242"/>
      <c r="V29" s="2242"/>
    </row>
    <row r="30" spans="1:28">
      <c r="A30" s="3274"/>
      <c r="B30" s="293" t="s">
        <v>2208</v>
      </c>
      <c r="C30" s="3275"/>
      <c r="D30" s="3276"/>
      <c r="E30" s="2439"/>
      <c r="F30" s="2439"/>
      <c r="G30" s="2439"/>
      <c r="H30" s="2439"/>
      <c r="I30" s="2439"/>
      <c r="J30" s="2242"/>
      <c r="K30" s="2399"/>
      <c r="L30" s="2396"/>
      <c r="M30" s="2396"/>
      <c r="N30" s="2242"/>
      <c r="O30" s="1668"/>
      <c r="P30" s="2242"/>
      <c r="Q30" s="2242"/>
      <c r="R30" s="2242"/>
      <c r="S30" s="2242"/>
      <c r="T30" s="2242"/>
      <c r="U30" s="2242"/>
      <c r="V30" s="2242"/>
    </row>
    <row r="31" spans="1:28">
      <c r="A31" s="3277" t="s">
        <v>2209</v>
      </c>
      <c r="B31" s="2228"/>
      <c r="C31" s="12" t="str">
        <f>IF(B31="现房","成新及维护状况正常否",IF(B31="在建","工程状态是否正常",IF(B31="土地","是否闲置","-")))</f>
        <v>-</v>
      </c>
      <c r="D31" s="1279"/>
      <c r="E31" s="2229"/>
      <c r="F31" s="2439"/>
      <c r="G31" s="2439"/>
      <c r="H31" s="2439"/>
      <c r="I31" s="2439"/>
      <c r="J31" s="2242"/>
      <c r="K31" s="2398"/>
      <c r="L31" s="2396"/>
      <c r="M31" s="2396"/>
      <c r="N31" s="2242"/>
      <c r="O31" s="1668"/>
      <c r="P31" s="2242"/>
      <c r="Q31" s="2242"/>
      <c r="R31" s="2242"/>
      <c r="S31" s="2242"/>
      <c r="T31" s="2242"/>
      <c r="U31" s="2242"/>
      <c r="V31" s="2242"/>
    </row>
    <row r="32" spans="1:28">
      <c r="A32" s="3278"/>
      <c r="B32" s="2228"/>
      <c r="C32" s="12" t="str">
        <f>IF(B32="现房","成新及维护状况是否正常",IF(B32="在建","工程状态是否正常",IF(B32="土地","是否闲置","-")))</f>
        <v>-</v>
      </c>
      <c r="D32" s="1279"/>
      <c r="E32" s="2229"/>
      <c r="F32" s="2439"/>
      <c r="G32" s="2439"/>
      <c r="H32" s="2439"/>
      <c r="I32" s="2439"/>
      <c r="J32" s="2242"/>
      <c r="K32" s="2399"/>
      <c r="L32" s="2396"/>
      <c r="M32" s="2396"/>
      <c r="N32" s="2242"/>
      <c r="O32" s="1668"/>
      <c r="P32" s="2242"/>
      <c r="Q32" s="2242"/>
      <c r="R32" s="2242"/>
      <c r="S32" s="2242"/>
      <c r="T32" s="2242"/>
      <c r="U32" s="2242"/>
      <c r="V32" s="2242"/>
    </row>
    <row r="33" spans="1:30">
      <c r="A33" s="3278"/>
      <c r="B33" s="2231"/>
      <c r="C33" s="1476" t="str">
        <f>IF(B33="现房","成新及维护状况是否正常",IF(B33="在建","工程状态是否正常",IF(B33="土地","是否闲置","-")))</f>
        <v>-</v>
      </c>
      <c r="D33" s="1272"/>
      <c r="E33" s="2232"/>
      <c r="F33" s="2439"/>
      <c r="G33" s="2439"/>
      <c r="H33" s="2439"/>
      <c r="I33" s="2439"/>
      <c r="J33" s="2242"/>
      <c r="K33" s="2399"/>
      <c r="L33" s="2396"/>
      <c r="M33" s="2396"/>
      <c r="N33" s="2242"/>
      <c r="O33" s="1668"/>
      <c r="P33" s="2242"/>
      <c r="Q33" s="2242"/>
      <c r="R33" s="2242"/>
      <c r="S33" s="2242"/>
      <c r="T33" s="2242"/>
      <c r="U33" s="2242"/>
      <c r="V33" s="2242"/>
    </row>
    <row r="34" spans="1:30">
      <c r="A34" s="293" t="s">
        <v>2210</v>
      </c>
      <c r="B34" s="1868"/>
      <c r="C34" s="1868"/>
      <c r="D34" s="1868"/>
      <c r="E34" s="1868"/>
      <c r="F34" s="1868"/>
      <c r="G34" s="1868"/>
      <c r="H34" s="1868"/>
      <c r="I34" s="2439"/>
      <c r="J34" s="2242"/>
      <c r="K34" s="8">
        <f>COUNTIF(B34:H34,"——")</f>
        <v>0</v>
      </c>
      <c r="L34" s="314" t="s">
        <v>2211</v>
      </c>
      <c r="M34" s="314" t="s">
        <v>2212</v>
      </c>
      <c r="N34" s="314" t="s">
        <v>2213</v>
      </c>
      <c r="O34" s="314" t="s">
        <v>2214</v>
      </c>
      <c r="P34" s="314" t="s">
        <v>2215</v>
      </c>
      <c r="Q34" s="314" t="s">
        <v>2216</v>
      </c>
      <c r="R34" s="314" t="s">
        <v>2217</v>
      </c>
      <c r="S34" s="3272" t="s">
        <v>2218</v>
      </c>
      <c r="T34" s="314" t="str">
        <f>NUMBERSTRING(7-K34,1)&amp;"通"</f>
        <v>七通</v>
      </c>
      <c r="U34" s="2242"/>
      <c r="V34" s="2242"/>
    </row>
    <row r="35" spans="1:30">
      <c r="A35" s="2233"/>
      <c r="B35" s="3272" t="s">
        <v>2219</v>
      </c>
      <c r="C35" s="3272"/>
      <c r="D35" s="3272"/>
      <c r="E35" s="3272"/>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72"/>
      <c r="T35" s="137" t="str">
        <f>IF(T34="一通",L35,IF(T34="二通",M35,IF(T34="三通",N35,IF(T34="四通",O35,IF(T34="五通",P35,IF(T34="六通",Q35,R35))))))</f>
        <v>、、、、、、</v>
      </c>
      <c r="U35" s="2242"/>
      <c r="V35" s="2242"/>
    </row>
    <row r="36" spans="1:30">
      <c r="A36" s="2181"/>
      <c r="B36" s="8" t="s">
        <v>2175</v>
      </c>
      <c r="C36" s="8" t="s">
        <v>2176</v>
      </c>
      <c r="D36" s="8" t="s">
        <v>2174</v>
      </c>
      <c r="E36" s="8" t="s">
        <v>2179</v>
      </c>
      <c r="F36" s="2798" t="s">
        <v>2567</v>
      </c>
      <c r="G36" s="2439"/>
      <c r="H36" s="2439"/>
      <c r="I36" s="2439"/>
      <c r="J36" s="2242"/>
      <c r="K36" s="2399"/>
      <c r="L36" s="2396"/>
      <c r="M36" s="2396"/>
      <c r="N36" s="2242"/>
      <c r="O36" s="1668"/>
      <c r="P36" s="2242"/>
      <c r="Q36" s="2242"/>
      <c r="R36" s="2242"/>
      <c r="S36" s="2242"/>
      <c r="T36" s="2242"/>
      <c r="U36" s="2242"/>
      <c r="V36" s="2242"/>
    </row>
    <row r="37" spans="1:30">
      <c r="A37" s="2412" t="s">
        <v>2220</v>
      </c>
      <c r="B37" s="2234" t="s">
        <v>304</v>
      </c>
      <c r="C37" s="2234" t="s">
        <v>304</v>
      </c>
      <c r="D37" s="2234" t="s">
        <v>304</v>
      </c>
      <c r="E37" s="2234"/>
      <c r="F37" s="2234"/>
      <c r="G37" s="2439"/>
      <c r="H37" s="2439"/>
      <c r="I37" s="2439"/>
      <c r="J37" s="2242"/>
      <c r="K37" s="2399"/>
      <c r="L37" s="2396"/>
      <c r="M37" s="2396"/>
      <c r="N37" s="2242"/>
      <c r="O37" s="1668"/>
      <c r="P37" s="2242"/>
      <c r="Q37" s="2242"/>
      <c r="R37" s="2242"/>
      <c r="S37" s="2242"/>
      <c r="T37" s="2242"/>
      <c r="U37" s="2242"/>
      <c r="V37" s="2242"/>
    </row>
    <row r="38" spans="1:30" ht="13.5" thickBot="1">
      <c r="A38" s="2413" t="s">
        <v>2221</v>
      </c>
      <c r="B38" s="2235" t="s">
        <v>3795</v>
      </c>
      <c r="C38" s="2235" t="s">
        <v>3795</v>
      </c>
      <c r="D38" s="2235" t="s">
        <v>3795</v>
      </c>
      <c r="E38" s="2235"/>
      <c r="F38" s="2235"/>
      <c r="G38" s="2440"/>
      <c r="H38" s="2440"/>
      <c r="I38" s="2440"/>
      <c r="J38" s="2242"/>
      <c r="K38" s="2399"/>
      <c r="L38" s="2396"/>
      <c r="M38" s="2396"/>
      <c r="N38" s="2242"/>
      <c r="O38" s="1668"/>
      <c r="P38" s="2242"/>
      <c r="Q38" s="2242"/>
      <c r="R38" s="2242"/>
      <c r="S38" s="2242"/>
      <c r="T38" s="2242"/>
      <c r="U38" s="2242"/>
      <c r="V38" s="2242"/>
    </row>
    <row r="39" spans="1:30" s="2238" customFormat="1" ht="14.25" thickTop="1" thickBot="1">
      <c r="A39" s="2236" t="s">
        <v>2222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4"/>
      <c r="J40" s="2242"/>
      <c r="K40" s="2398"/>
      <c r="L40" s="1668"/>
      <c r="M40" s="1668"/>
      <c r="N40" s="2242"/>
      <c r="O40" s="1668"/>
      <c r="P40" s="2242"/>
      <c r="Q40" s="2242"/>
      <c r="R40" s="2242"/>
      <c r="S40" s="2242"/>
      <c r="T40" s="2242"/>
      <c r="U40" s="2242"/>
      <c r="V40" s="2242"/>
    </row>
    <row r="41" spans="1:30">
      <c r="A41" s="2239" t="s">
        <v>2223</v>
      </c>
      <c r="B41" s="1625"/>
      <c r="C41" s="1279"/>
      <c r="D41" s="2180"/>
      <c r="E41" s="2180"/>
      <c r="F41" s="2180"/>
      <c r="G41" s="2180"/>
      <c r="H41" s="2180"/>
      <c r="I41" s="1464"/>
      <c r="J41" s="2242"/>
      <c r="K41" s="2399"/>
      <c r="L41" s="2396"/>
      <c r="M41" s="2396"/>
      <c r="N41" s="2242"/>
      <c r="O41" s="1668"/>
      <c r="P41" s="2242"/>
      <c r="Q41" s="2242"/>
      <c r="R41" s="2242"/>
      <c r="S41" s="2242"/>
      <c r="T41" s="2242"/>
      <c r="U41" s="2242"/>
      <c r="V41" s="2242"/>
    </row>
    <row r="42" spans="1:30" ht="25.5">
      <c r="A42" s="314" t="s">
        <v>2224</v>
      </c>
      <c r="B42" s="8" t="s">
        <v>2225</v>
      </c>
      <c r="C42" s="8" t="s">
        <v>2226</v>
      </c>
      <c r="D42" s="8" t="s">
        <v>2227</v>
      </c>
      <c r="E42" s="8" t="s">
        <v>2228</v>
      </c>
      <c r="F42" s="8" t="s">
        <v>2229</v>
      </c>
      <c r="G42" s="8" t="s">
        <v>2230</v>
      </c>
      <c r="H42" s="8" t="s">
        <v>2231</v>
      </c>
      <c r="I42" s="8" t="s">
        <v>2232</v>
      </c>
      <c r="J42" s="2408" t="s">
        <v>2233</v>
      </c>
      <c r="K42" s="2409" t="s">
        <v>2234</v>
      </c>
      <c r="L42" s="2409" t="s">
        <v>2235</v>
      </c>
      <c r="M42" s="2409" t="s">
        <v>2236</v>
      </c>
      <c r="N42" s="2402" t="s">
        <v>2237</v>
      </c>
      <c r="O42" s="2402" t="s">
        <v>2238</v>
      </c>
      <c r="P42" s="2402" t="s">
        <v>2239</v>
      </c>
      <c r="Q42" s="2403" t="s">
        <v>2240</v>
      </c>
      <c r="R42" s="2403" t="s">
        <v>2241</v>
      </c>
      <c r="S42" s="2242"/>
      <c r="T42" s="2242"/>
      <c r="U42" s="2242"/>
      <c r="V42" s="2242"/>
    </row>
    <row r="43" spans="1:30" s="1614" customFormat="1">
      <c r="A43" s="1460"/>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4" customFormat="1">
      <c r="A44" s="1460"/>
      <c r="B44" s="1460"/>
      <c r="C44" s="627"/>
      <c r="D44" s="627"/>
      <c r="E44" s="627"/>
      <c r="F44" s="627"/>
      <c r="G44" s="627"/>
      <c r="H44" s="627"/>
      <c r="I44" s="627"/>
      <c r="J44" s="2240"/>
      <c r="K44" s="2241"/>
      <c r="L44" s="2241"/>
      <c r="M44" s="627"/>
      <c r="N44" s="627"/>
      <c r="O44" s="627"/>
      <c r="P44" s="627"/>
      <c r="Q44" s="627"/>
      <c r="R44" s="627"/>
      <c r="S44" s="2242"/>
      <c r="T44" s="2242"/>
      <c r="U44" s="2242"/>
      <c r="V44" s="2242"/>
    </row>
    <row r="45" spans="1:30" s="1614" customFormat="1">
      <c r="A45" s="1460"/>
      <c r="B45" s="1460"/>
      <c r="C45" s="627"/>
      <c r="D45" s="627"/>
      <c r="E45" s="627"/>
      <c r="F45" s="627"/>
      <c r="G45" s="627"/>
      <c r="H45" s="627"/>
      <c r="I45" s="627"/>
      <c r="J45" s="2240"/>
      <c r="K45" s="2241"/>
      <c r="L45" s="2241"/>
      <c r="M45" s="627"/>
      <c r="N45" s="627"/>
      <c r="O45" s="627"/>
      <c r="P45" s="627"/>
      <c r="Q45" s="627"/>
      <c r="R45" s="627"/>
      <c r="S45" s="2242"/>
      <c r="T45" s="2242"/>
      <c r="U45" s="2242"/>
      <c r="V45" s="2242"/>
    </row>
    <row r="46" spans="1:30" s="1614" customFormat="1">
      <c r="A46" s="1460"/>
      <c r="B46" s="1460"/>
      <c r="C46" s="627"/>
      <c r="D46" s="627"/>
      <c r="E46" s="627"/>
      <c r="F46" s="627"/>
      <c r="G46" s="627"/>
      <c r="H46" s="627"/>
      <c r="I46" s="627"/>
      <c r="J46" s="2240"/>
      <c r="K46" s="2241"/>
      <c r="L46" s="2241"/>
      <c r="M46" s="627"/>
      <c r="N46" s="627"/>
      <c r="O46" s="627"/>
      <c r="P46" s="627"/>
      <c r="Q46" s="627"/>
      <c r="R46" s="627"/>
      <c r="S46" s="2242"/>
      <c r="T46" s="2242"/>
      <c r="U46" s="2242"/>
      <c r="V46" s="2242"/>
    </row>
    <row r="47" spans="1:30" s="1614" customFormat="1">
      <c r="A47" s="1460"/>
      <c r="B47" s="1460"/>
      <c r="C47" s="627"/>
      <c r="D47" s="627"/>
      <c r="E47" s="627"/>
      <c r="F47" s="627"/>
      <c r="G47" s="627"/>
      <c r="H47" s="627"/>
      <c r="I47" s="627"/>
      <c r="J47" s="2240"/>
      <c r="K47" s="2241"/>
      <c r="L47" s="2241"/>
      <c r="M47" s="627"/>
      <c r="N47" s="627"/>
      <c r="O47" s="627"/>
      <c r="P47" s="627"/>
      <c r="Q47" s="627"/>
      <c r="R47" s="627"/>
      <c r="S47" s="2242"/>
      <c r="T47" s="2242"/>
      <c r="U47" s="2242"/>
      <c r="V47" s="2242"/>
    </row>
    <row r="48" spans="1:30" s="1614" customFormat="1">
      <c r="A48" s="1460"/>
      <c r="B48" s="1460"/>
      <c r="C48" s="627"/>
      <c r="D48" s="627"/>
      <c r="E48" s="627"/>
      <c r="F48" s="627"/>
      <c r="G48" s="627"/>
      <c r="H48" s="627"/>
      <c r="I48" s="627"/>
      <c r="J48" s="2240"/>
      <c r="K48" s="2241"/>
      <c r="L48" s="2241"/>
      <c r="M48" s="627"/>
      <c r="N48" s="627"/>
      <c r="O48" s="627"/>
      <c r="P48" s="627"/>
      <c r="Q48" s="627"/>
      <c r="R48" s="627"/>
      <c r="S48" s="2242"/>
      <c r="T48" s="2242"/>
      <c r="U48" s="2242"/>
      <c r="V48" s="2242"/>
    </row>
    <row r="49" spans="1:22" s="1614" customFormat="1">
      <c r="A49" s="1460"/>
      <c r="B49" s="1460"/>
      <c r="C49" s="627"/>
      <c r="D49" s="627"/>
      <c r="E49" s="627"/>
      <c r="F49" s="627"/>
      <c r="G49" s="627"/>
      <c r="H49" s="627"/>
      <c r="I49" s="627"/>
      <c r="J49" s="2240"/>
      <c r="K49" s="2241"/>
      <c r="L49" s="2241"/>
      <c r="M49" s="627"/>
      <c r="N49" s="627"/>
      <c r="O49" s="627"/>
      <c r="P49" s="627"/>
      <c r="Q49" s="627"/>
      <c r="R49" s="627"/>
      <c r="S49" s="2242"/>
      <c r="T49" s="2242"/>
      <c r="U49" s="2242"/>
      <c r="V49" s="2242"/>
    </row>
    <row r="50" spans="1:22" s="1614" customFormat="1">
      <c r="A50" s="1460"/>
      <c r="B50" s="1460"/>
      <c r="C50" s="627"/>
      <c r="D50" s="627"/>
      <c r="E50" s="627"/>
      <c r="F50" s="627"/>
      <c r="G50" s="627"/>
      <c r="H50" s="627"/>
      <c r="I50" s="627"/>
      <c r="J50" s="2240"/>
      <c r="K50" s="2241"/>
      <c r="L50" s="2241"/>
      <c r="M50" s="627"/>
      <c r="N50" s="627"/>
      <c r="O50" s="627"/>
      <c r="P50" s="627"/>
      <c r="Q50" s="627"/>
      <c r="R50" s="627"/>
      <c r="S50" s="2242"/>
      <c r="T50" s="2242"/>
      <c r="U50" s="2242"/>
      <c r="V50" s="2242"/>
    </row>
    <row r="51" spans="1:22" s="1614" customFormat="1">
      <c r="A51" s="1460"/>
      <c r="B51" s="1460"/>
      <c r="C51" s="627"/>
      <c r="D51" s="627"/>
      <c r="E51" s="627"/>
      <c r="F51" s="627"/>
      <c r="G51" s="627"/>
      <c r="H51" s="627"/>
      <c r="I51" s="627"/>
      <c r="J51" s="2240"/>
      <c r="K51" s="2241"/>
      <c r="L51" s="2241"/>
      <c r="M51" s="627"/>
      <c r="N51" s="627"/>
      <c r="O51" s="627"/>
      <c r="P51" s="627"/>
      <c r="Q51" s="627"/>
      <c r="R51" s="627"/>
    </row>
    <row r="52" spans="1:22" s="1614" customFormat="1">
      <c r="A52" s="1460"/>
      <c r="B52" s="1460"/>
      <c r="C52" s="1460"/>
      <c r="D52" s="1460"/>
      <c r="E52" s="1460"/>
      <c r="F52" s="627"/>
      <c r="G52" s="1460"/>
      <c r="H52" s="1460"/>
      <c r="I52" s="1460"/>
      <c r="J52" s="2243"/>
      <c r="K52" s="2241"/>
      <c r="L52" s="2241"/>
      <c r="M52" s="2241"/>
      <c r="N52" s="1460"/>
      <c r="O52" s="1460"/>
      <c r="P52" s="1460"/>
      <c r="Q52" s="1460"/>
      <c r="R52" s="1460"/>
    </row>
    <row r="53" spans="1:22" s="1614" customFormat="1">
      <c r="A53" s="1460"/>
      <c r="B53" s="1460"/>
      <c r="C53" s="1460"/>
      <c r="D53" s="1460"/>
      <c r="E53" s="1460"/>
      <c r="F53" s="627"/>
      <c r="G53" s="1460"/>
      <c r="H53" s="1460"/>
      <c r="I53" s="1460"/>
      <c r="J53" s="2243"/>
      <c r="K53" s="2241"/>
      <c r="L53" s="2241"/>
      <c r="M53" s="2241"/>
      <c r="N53" s="1460"/>
      <c r="O53" s="1460"/>
      <c r="P53" s="1460"/>
      <c r="Q53" s="1460"/>
      <c r="R53" s="1460"/>
    </row>
    <row r="54" spans="1:22" s="1614" customFormat="1">
      <c r="A54" s="1460"/>
      <c r="B54" s="1460"/>
      <c r="C54" s="1460"/>
      <c r="D54" s="1460"/>
      <c r="E54" s="1460"/>
      <c r="F54" s="627"/>
      <c r="G54" s="1460"/>
      <c r="H54" s="1460"/>
      <c r="I54" s="1460"/>
      <c r="J54" s="2243"/>
      <c r="K54" s="2241"/>
      <c r="L54" s="2241"/>
      <c r="M54" s="2241"/>
      <c r="N54" s="1460"/>
      <c r="O54" s="1460"/>
      <c r="P54" s="1460"/>
      <c r="Q54" s="1460"/>
      <c r="R54" s="1460"/>
    </row>
    <row r="55" spans="1:22" s="1614" customFormat="1">
      <c r="A55" s="1460"/>
      <c r="B55" s="1460"/>
      <c r="C55" s="1460"/>
      <c r="D55" s="1460"/>
      <c r="E55" s="1460"/>
      <c r="F55" s="627"/>
      <c r="G55" s="1460"/>
      <c r="H55" s="1460"/>
      <c r="I55" s="1460"/>
      <c r="J55" s="2243"/>
      <c r="K55" s="2241"/>
      <c r="L55" s="2241"/>
      <c r="M55" s="2241"/>
      <c r="N55" s="1460"/>
      <c r="O55" s="1460"/>
      <c r="P55" s="1460"/>
      <c r="Q55" s="1460"/>
      <c r="R55" s="1460"/>
    </row>
    <row r="56" spans="1:22" s="1614" customFormat="1">
      <c r="A56" s="1460"/>
      <c r="B56" s="1460"/>
      <c r="C56" s="1460"/>
      <c r="D56" s="1460"/>
      <c r="E56" s="1460"/>
      <c r="F56" s="627"/>
      <c r="G56" s="1460"/>
      <c r="H56" s="1460"/>
      <c r="I56" s="1460"/>
      <c r="J56" s="2243"/>
      <c r="K56" s="2241"/>
      <c r="L56" s="2241"/>
      <c r="M56" s="2241"/>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hidden="1" customWidth="1"/>
    <col min="16" max="16" width="9.75" style="1461" hidden="1" customWidth="1"/>
    <col min="17" max="17" width="9.375" style="1461" hidden="1" customWidth="1"/>
    <col min="18" max="18" width="9.25" style="1461" hidden="1" customWidth="1"/>
    <col min="19" max="19" width="10.875" style="1461" hidden="1" customWidth="1"/>
    <col min="20" max="21" width="10.75" style="1461" hidden="1" customWidth="1"/>
    <col min="22" max="22" width="10.875" style="1461" hidden="1" customWidth="1"/>
    <col min="23" max="27" width="10.75" style="1461" hidden="1" customWidth="1"/>
    <col min="28" max="28" width="10.875" style="1461" hidden="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1056</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1057</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1058</v>
      </c>
      <c r="B2" s="8" t="s">
        <v>1059</v>
      </c>
      <c r="C2" s="8" t="s">
        <v>1060</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1061</v>
      </c>
      <c r="AZ2" s="985" t="s">
        <v>1062</v>
      </c>
      <c r="BA2" s="8" t="s">
        <v>1063</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f>面积指标!C77</f>
        <v>6542.04</v>
      </c>
      <c r="B3" s="11">
        <f>IF(C3="否",G5-AT5,G5)</f>
        <v>23997.3</v>
      </c>
      <c r="C3" s="1467" t="s">
        <v>1064</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7"/>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1065</v>
      </c>
      <c r="B5" s="1257"/>
      <c r="C5" s="1257"/>
      <c r="D5" s="1258"/>
      <c r="E5" s="13" t="s">
        <v>0</v>
      </c>
      <c r="F5" s="13">
        <f>SUM(F13:F587)</f>
        <v>0</v>
      </c>
      <c r="G5" s="13">
        <f>SUM(G13:G587)</f>
        <v>23997.3</v>
      </c>
      <c r="H5" s="13">
        <f t="shared" ref="H5:AT5" si="0">SUM(H13:H656)</f>
        <v>21279.739999999998</v>
      </c>
      <c r="I5" s="13">
        <f t="shared" si="0"/>
        <v>17801.5</v>
      </c>
      <c r="J5" s="13">
        <f t="shared" si="0"/>
        <v>0</v>
      </c>
      <c r="K5" s="13">
        <f t="shared" si="0"/>
        <v>3478.24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2717.5600000000004</v>
      </c>
      <c r="AD5" s="13">
        <f t="shared" si="0"/>
        <v>0</v>
      </c>
      <c r="AE5" s="13">
        <f t="shared" si="0"/>
        <v>0</v>
      </c>
      <c r="AF5" s="13">
        <f t="shared" si="0"/>
        <v>0</v>
      </c>
      <c r="AG5" s="13">
        <f t="shared" si="0"/>
        <v>0</v>
      </c>
      <c r="AH5" s="13">
        <f t="shared" si="0"/>
        <v>0</v>
      </c>
      <c r="AI5" s="13">
        <f t="shared" si="0"/>
        <v>0</v>
      </c>
      <c r="AJ5" s="13">
        <f t="shared" si="0"/>
        <v>0</v>
      </c>
      <c r="AK5" s="13">
        <f t="shared" si="0"/>
        <v>0</v>
      </c>
      <c r="AL5" s="13">
        <f t="shared" si="0"/>
        <v>433.3</v>
      </c>
      <c r="AM5" s="13">
        <f t="shared" si="0"/>
        <v>0</v>
      </c>
      <c r="AN5" s="13">
        <f t="shared" si="0"/>
        <v>2284.2600000000002</v>
      </c>
      <c r="AO5" s="13">
        <f t="shared" si="0"/>
        <v>0</v>
      </c>
      <c r="AP5" s="13">
        <f t="shared" si="0"/>
        <v>0</v>
      </c>
      <c r="AQ5" s="13">
        <f t="shared" si="0"/>
        <v>0</v>
      </c>
      <c r="AR5" s="13">
        <f t="shared" si="0"/>
        <v>0</v>
      </c>
      <c r="AS5" s="13">
        <f t="shared" si="0"/>
        <v>0</v>
      </c>
      <c r="AT5" s="13">
        <f t="shared" si="0"/>
        <v>0</v>
      </c>
      <c r="AU5" s="1256"/>
      <c r="AV5" s="12" t="s">
        <v>1065</v>
      </c>
      <c r="AW5" s="1257"/>
      <c r="AX5" s="1257"/>
      <c r="AY5" s="14" t="s">
        <v>2</v>
      </c>
      <c r="AZ5" s="15">
        <f t="shared" ref="AZ5:BT5" si="1">SUM(AZ13:AZ656)</f>
        <v>23997.3</v>
      </c>
      <c r="BA5" s="15">
        <f t="shared" si="1"/>
        <v>21279.739999999998</v>
      </c>
      <c r="BB5" s="15">
        <f t="shared" si="1"/>
        <v>17801.5</v>
      </c>
      <c r="BC5" s="15">
        <f t="shared" si="1"/>
        <v>3478.24</v>
      </c>
      <c r="BD5" s="15">
        <f t="shared" si="1"/>
        <v>0</v>
      </c>
      <c r="BE5" s="15">
        <f t="shared" si="1"/>
        <v>0</v>
      </c>
      <c r="BF5" s="15">
        <f t="shared" si="1"/>
        <v>0</v>
      </c>
      <c r="BG5" s="15">
        <f t="shared" si="1"/>
        <v>0</v>
      </c>
      <c r="BH5" s="15">
        <f t="shared" si="1"/>
        <v>0</v>
      </c>
      <c r="BI5" s="15">
        <f t="shared" si="1"/>
        <v>0</v>
      </c>
      <c r="BJ5" s="15">
        <f t="shared" si="1"/>
        <v>0</v>
      </c>
      <c r="BK5" s="15">
        <f t="shared" si="1"/>
        <v>0</v>
      </c>
      <c r="BL5" s="15">
        <f t="shared" si="1"/>
        <v>2717.5600000000004</v>
      </c>
      <c r="BM5" s="15">
        <f t="shared" si="1"/>
        <v>0</v>
      </c>
      <c r="BN5" s="15">
        <f t="shared" si="1"/>
        <v>0</v>
      </c>
      <c r="BO5" s="15">
        <f t="shared" si="1"/>
        <v>0</v>
      </c>
      <c r="BP5" s="15">
        <f t="shared" si="1"/>
        <v>0</v>
      </c>
      <c r="BQ5" s="15">
        <f t="shared" si="1"/>
        <v>433.3</v>
      </c>
      <c r="BR5" s="15">
        <f t="shared" si="1"/>
        <v>2284.2600000000002</v>
      </c>
      <c r="BS5" s="15">
        <f t="shared" si="1"/>
        <v>0</v>
      </c>
      <c r="BT5" s="16">
        <f t="shared" si="1"/>
        <v>0</v>
      </c>
    </row>
    <row r="6" spans="1:72" s="1475" customFormat="1" ht="12.75">
      <c r="A6" s="12" t="s">
        <v>1066</v>
      </c>
      <c r="B6" s="1472"/>
      <c r="C6" s="1472"/>
      <c r="D6" s="1473"/>
      <c r="E6" s="13">
        <f>H6+AC6+AT6</f>
        <v>6542.0400000000009</v>
      </c>
      <c r="F6" s="13" t="s">
        <v>0</v>
      </c>
      <c r="G6" s="13" t="s">
        <v>1</v>
      </c>
      <c r="H6" s="17">
        <f>SUMIF(I$12:AB$12,"总值",I6:AB6)</f>
        <v>5801.1900000000005</v>
      </c>
      <c r="I6" s="13">
        <f t="shared" ref="I6:AB6" si="2">ROUND($A$3*I5/$B$3,2)</f>
        <v>4852.97</v>
      </c>
      <c r="J6" s="13">
        <f t="shared" si="2"/>
        <v>0</v>
      </c>
      <c r="K6" s="13">
        <f t="shared" si="2"/>
        <v>948.22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740.85</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118.12</v>
      </c>
      <c r="AM6" s="13">
        <f t="shared" si="3"/>
        <v>0</v>
      </c>
      <c r="AN6" s="13">
        <f t="shared" si="3"/>
        <v>622.73</v>
      </c>
      <c r="AO6" s="13">
        <f t="shared" si="3"/>
        <v>0</v>
      </c>
      <c r="AP6" s="13">
        <f t="shared" si="3"/>
        <v>0</v>
      </c>
      <c r="AQ6" s="13">
        <f t="shared" si="3"/>
        <v>0</v>
      </c>
      <c r="AR6" s="13">
        <f t="shared" si="3"/>
        <v>0</v>
      </c>
      <c r="AS6" s="13">
        <f t="shared" si="3"/>
        <v>0</v>
      </c>
      <c r="AT6" s="17">
        <f>IF(C3="是",ROUND($A$3*AT5/$B$3,2),0)</f>
        <v>0</v>
      </c>
      <c r="AU6" s="1474"/>
      <c r="AV6" s="12" t="s">
        <v>1066</v>
      </c>
      <c r="AW6" s="1472"/>
      <c r="AX6" s="1472"/>
      <c r="AY6" s="18">
        <f>IF(AY3&gt;0,AY3,ROUND($A$3*AZ5/$B$3,2))</f>
        <v>6542.04</v>
      </c>
      <c r="AZ6" s="13" t="s">
        <v>2</v>
      </c>
      <c r="BA6" s="13">
        <f>ROUND($AY$6*BA5/$AZ$5,2)</f>
        <v>5801.19</v>
      </c>
      <c r="BB6" s="13">
        <f>ROUND($AY$6*BB5/$AZ$5,2)</f>
        <v>4852.97</v>
      </c>
      <c r="BC6" s="13">
        <f t="shared" ref="BC6:BH6" si="4">ROUND($AY$6*BC5/$AZ$5,2)</f>
        <v>948.22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740.85</v>
      </c>
      <c r="BM6" s="13">
        <f t="shared" si="5"/>
        <v>0</v>
      </c>
      <c r="BN6" s="13">
        <f t="shared" si="5"/>
        <v>0</v>
      </c>
      <c r="BO6" s="13">
        <f t="shared" si="5"/>
        <v>0</v>
      </c>
      <c r="BP6" s="13">
        <f t="shared" si="5"/>
        <v>0</v>
      </c>
      <c r="BQ6" s="13">
        <f t="shared" si="5"/>
        <v>118.12</v>
      </c>
      <c r="BR6" s="13">
        <f t="shared" si="5"/>
        <v>622.73</v>
      </c>
      <c r="BS6" s="13">
        <f t="shared" si="5"/>
        <v>0</v>
      </c>
      <c r="BT6" s="19">
        <f t="shared" si="5"/>
        <v>0</v>
      </c>
    </row>
    <row r="7" spans="1:72" s="1466" customFormat="1" ht="24.75">
      <c r="A7" s="1459" t="s">
        <v>1067</v>
      </c>
      <c r="B7" s="1459" t="s">
        <v>1068</v>
      </c>
      <c r="C7" s="1459" t="s">
        <v>1069</v>
      </c>
      <c r="D7" s="1459" t="s">
        <v>1070</v>
      </c>
      <c r="E7" s="1459" t="s">
        <v>1071</v>
      </c>
      <c r="F7" s="1459" t="s">
        <v>1072</v>
      </c>
      <c r="G7" s="1476" t="s">
        <v>1073</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1074</v>
      </c>
      <c r="AV7" s="20" t="s">
        <v>1075</v>
      </c>
      <c r="AW7" s="1464" t="s">
        <v>1076</v>
      </c>
      <c r="AX7" s="20" t="s">
        <v>1069</v>
      </c>
      <c r="AY7" s="1257" t="s">
        <v>1077</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1078</v>
      </c>
      <c r="H8" s="1482" t="s">
        <v>1079</v>
      </c>
      <c r="I8" s="1483"/>
      <c r="J8" s="1267"/>
      <c r="K8" s="1267"/>
      <c r="L8" s="1267"/>
      <c r="M8" s="1267"/>
      <c r="N8" s="1267"/>
      <c r="O8" s="1267"/>
      <c r="P8" s="1267"/>
      <c r="Q8" s="1267"/>
      <c r="R8" s="1267"/>
      <c r="S8" s="1267"/>
      <c r="T8" s="1267"/>
      <c r="U8" s="1267"/>
      <c r="V8" s="1484"/>
      <c r="W8" s="1267"/>
      <c r="X8" s="1267"/>
      <c r="Y8" s="1267"/>
      <c r="Z8" s="1267"/>
      <c r="AA8" s="1484"/>
      <c r="AB8" s="1485"/>
      <c r="AC8" s="759" t="s">
        <v>1080</v>
      </c>
      <c r="AD8" s="1486"/>
      <c r="AE8" s="1478"/>
      <c r="AF8" s="1267"/>
      <c r="AG8" s="1267"/>
      <c r="AH8" s="1267"/>
      <c r="AI8" s="1267"/>
      <c r="AJ8" s="1267"/>
      <c r="AK8" s="1267"/>
      <c r="AL8" s="1267"/>
      <c r="AM8" s="1267"/>
      <c r="AN8" s="1267"/>
      <c r="AO8" s="1267"/>
      <c r="AP8" s="1267"/>
      <c r="AQ8" s="1267"/>
      <c r="AR8" s="1267"/>
      <c r="AS8" s="1267"/>
      <c r="AT8" s="1005" t="s">
        <v>1081</v>
      </c>
      <c r="AU8" s="1480" t="s">
        <v>1082</v>
      </c>
      <c r="AV8" s="1005"/>
      <c r="AW8" s="1465"/>
      <c r="AX8" s="1005"/>
      <c r="AY8" s="1464" t="s">
        <v>1083</v>
      </c>
      <c r="AZ8" s="1266" t="s">
        <v>1084</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1085</v>
      </c>
      <c r="I9" s="1489" t="s">
        <v>3415</v>
      </c>
      <c r="J9" s="759"/>
      <c r="K9" s="1489" t="s">
        <v>3420</v>
      </c>
      <c r="L9" s="759"/>
      <c r="M9" s="1489"/>
      <c r="N9" s="759"/>
      <c r="O9" s="1489"/>
      <c r="P9" s="759"/>
      <c r="Q9" s="1489"/>
      <c r="R9" s="759"/>
      <c r="S9" s="1489"/>
      <c r="T9" s="759"/>
      <c r="U9" s="1489"/>
      <c r="V9" s="759"/>
      <c r="W9" s="1489"/>
      <c r="X9" s="1490"/>
      <c r="Y9" s="1489"/>
      <c r="Z9" s="759"/>
      <c r="AA9" s="1489"/>
      <c r="AB9" s="759"/>
      <c r="AC9" s="1481" t="s">
        <v>1085</v>
      </c>
      <c r="AD9" s="12" t="s">
        <v>1086</v>
      </c>
      <c r="AE9" s="1011"/>
      <c r="AF9" s="12" t="s">
        <v>1087</v>
      </c>
      <c r="AG9" s="1011"/>
      <c r="AH9" s="12" t="s">
        <v>1086</v>
      </c>
      <c r="AI9" s="1011"/>
      <c r="AJ9" s="12" t="s">
        <v>1087</v>
      </c>
      <c r="AK9" s="1011"/>
      <c r="AL9" s="12" t="s">
        <v>1086</v>
      </c>
      <c r="AM9" s="1011"/>
      <c r="AN9" s="12" t="s">
        <v>1087</v>
      </c>
      <c r="AO9" s="1011"/>
      <c r="AP9" s="12" t="s">
        <v>1086</v>
      </c>
      <c r="AQ9" s="1011"/>
      <c r="AR9" s="12" t="s">
        <v>1087</v>
      </c>
      <c r="AS9" s="1491"/>
      <c r="AT9" s="1480"/>
      <c r="AU9" s="1480" t="s">
        <v>1088</v>
      </c>
      <c r="AV9" s="1005"/>
      <c r="AW9" s="1465"/>
      <c r="AX9" s="1005"/>
      <c r="AY9" s="25"/>
      <c r="AZ9" s="25" t="s">
        <v>1078</v>
      </c>
      <c r="BA9" s="1492" t="s">
        <v>1089</v>
      </c>
      <c r="BB9" s="1493"/>
      <c r="BC9" s="1023"/>
      <c r="BD9" s="1023"/>
      <c r="BE9" s="1023"/>
      <c r="BF9" s="1023"/>
      <c r="BG9" s="1023"/>
      <c r="BH9" s="1023"/>
      <c r="BI9" s="1023"/>
      <c r="BJ9" s="1023"/>
      <c r="BK9" s="1494"/>
      <c r="BL9" s="12" t="s">
        <v>1090</v>
      </c>
      <c r="BM9" s="1267"/>
      <c r="BN9" s="1483"/>
      <c r="BO9" s="1267"/>
      <c r="BP9" s="1267"/>
      <c r="BQ9" s="1267"/>
      <c r="BR9" s="1267"/>
      <c r="BS9" s="1267"/>
      <c r="BT9" s="23"/>
    </row>
    <row r="10" spans="1:72" s="1487" customFormat="1" ht="12.75">
      <c r="A10" s="1480"/>
      <c r="B10" s="1480"/>
      <c r="C10" s="1480"/>
      <c r="D10" s="1480"/>
      <c r="E10" s="1480"/>
      <c r="F10" s="1480"/>
      <c r="G10" s="1005"/>
      <c r="H10" s="25"/>
      <c r="I10" s="1489" t="s">
        <v>667</v>
      </c>
      <c r="J10" s="759"/>
      <c r="K10" s="1495" t="s">
        <v>3320</v>
      </c>
      <c r="L10" s="759"/>
      <c r="M10" s="1495"/>
      <c r="N10" s="759"/>
      <c r="O10" s="1495"/>
      <c r="P10" s="759"/>
      <c r="Q10" s="1495"/>
      <c r="R10" s="759"/>
      <c r="S10" s="1495"/>
      <c r="T10" s="759"/>
      <c r="U10" s="1495"/>
      <c r="V10" s="759"/>
      <c r="W10" s="1495"/>
      <c r="X10" s="759"/>
      <c r="Y10" s="1495"/>
      <c r="Z10" s="759"/>
      <c r="AA10" s="1495"/>
      <c r="AB10" s="759"/>
      <c r="AC10" s="1005"/>
      <c r="AD10" s="12" t="s">
        <v>1091</v>
      </c>
      <c r="AE10" s="1496"/>
      <c r="AF10" s="12" t="s">
        <v>1091</v>
      </c>
      <c r="AG10" s="1496"/>
      <c r="AH10" s="12" t="s">
        <v>1092</v>
      </c>
      <c r="AI10" s="1496"/>
      <c r="AJ10" s="12" t="s">
        <v>1092</v>
      </c>
      <c r="AK10" s="1496"/>
      <c r="AL10" s="12" t="s">
        <v>1093</v>
      </c>
      <c r="AM10" s="1011"/>
      <c r="AN10" s="12" t="s">
        <v>1093</v>
      </c>
      <c r="AO10" s="1011"/>
      <c r="AP10" s="12" t="s">
        <v>1094</v>
      </c>
      <c r="AQ10" s="1011"/>
      <c r="AR10" s="12" t="s">
        <v>1094</v>
      </c>
      <c r="AS10" s="1011"/>
      <c r="AT10" s="1480"/>
      <c r="AU10" s="1480"/>
      <c r="AV10" s="1005"/>
      <c r="AW10" s="1465"/>
      <c r="AX10" s="1005"/>
      <c r="AY10" s="25"/>
      <c r="AZ10" s="25"/>
      <c r="BA10" s="1497" t="s">
        <v>1085</v>
      </c>
      <c r="BB10" s="1498" t="str">
        <f>I9</f>
        <v>地上</v>
      </c>
      <c r="BC10" s="26" t="str">
        <f>K9</f>
        <v>地下</v>
      </c>
      <c r="BD10" s="26">
        <f>M9</f>
        <v>0</v>
      </c>
      <c r="BE10" s="26">
        <f>O9</f>
        <v>0</v>
      </c>
      <c r="BF10" s="26">
        <f>Q9</f>
        <v>0</v>
      </c>
      <c r="BG10" s="26">
        <f>S9</f>
        <v>0</v>
      </c>
      <c r="BH10" s="26">
        <f>U9</f>
        <v>0</v>
      </c>
      <c r="BI10" s="26">
        <f>W9</f>
        <v>0</v>
      </c>
      <c r="BJ10" s="26">
        <f>Y9</f>
        <v>0</v>
      </c>
      <c r="BK10" s="26">
        <f>AA9</f>
        <v>0</v>
      </c>
      <c r="BL10" s="22" t="s">
        <v>1085</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t="s">
        <v>3868</v>
      </c>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1095</v>
      </c>
      <c r="AE11" s="1268"/>
      <c r="AF11" s="1502" t="s">
        <v>1095</v>
      </c>
      <c r="AG11" s="1268"/>
      <c r="AH11" s="1502" t="s">
        <v>1096</v>
      </c>
      <c r="AI11" s="1503"/>
      <c r="AJ11" s="1502" t="s">
        <v>1096</v>
      </c>
      <c r="AK11" s="1268"/>
      <c r="AL11" s="1266"/>
      <c r="AM11" s="1268"/>
      <c r="AN11" s="1266"/>
      <c r="AO11" s="1268"/>
      <c r="AP11" s="1266"/>
      <c r="AQ11" s="1268"/>
      <c r="AR11" s="1266"/>
      <c r="AS11" s="1268"/>
      <c r="AT11" s="1465"/>
      <c r="AU11" s="1480"/>
      <c r="AV11" s="1005"/>
      <c r="AW11" s="1465"/>
      <c r="AX11" s="1005"/>
      <c r="AY11" s="25"/>
      <c r="AZ11" s="25"/>
      <c r="BA11" s="25"/>
      <c r="BB11" s="1485" t="str">
        <f>I10</f>
        <v>商业</v>
      </c>
      <c r="BC11" s="1485" t="str">
        <f>K10</f>
        <v>车库</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256" t="s">
        <v>1098</v>
      </c>
      <c r="W12" s="8" t="s">
        <v>1097</v>
      </c>
      <c r="X12" s="8" t="s">
        <v>1098</v>
      </c>
      <c r="Y12" s="8" t="s">
        <v>1097</v>
      </c>
      <c r="Z12" s="8" t="s">
        <v>1098</v>
      </c>
      <c r="AA12" s="8" t="s">
        <v>1097</v>
      </c>
      <c r="AB12" s="8" t="s">
        <v>1098</v>
      </c>
      <c r="AC12" s="1507"/>
      <c r="AD12" s="1258"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505" t="s">
        <v>1098</v>
      </c>
      <c r="AT12" s="1508"/>
      <c r="AU12" s="1505"/>
      <c r="AV12" s="28"/>
      <c r="AW12" s="1464"/>
      <c r="AX12" s="28"/>
      <c r="AY12" s="1509"/>
      <c r="AZ12" s="25"/>
      <c r="BA12" s="1497"/>
      <c r="BB12" s="21" t="str">
        <f>I11</f>
        <v>独立商业</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3411</v>
      </c>
      <c r="E13" s="13">
        <f>IF($C$3="是",ROUND($A$3*G13/$B$3,2),ROUND($A$3*(G13-AT13)/$B$3,2))</f>
        <v>6542.04</v>
      </c>
      <c r="F13" s="29"/>
      <c r="G13" s="30">
        <f>H13+AC13+AT13</f>
        <v>23997.3</v>
      </c>
      <c r="H13" s="17">
        <f>SUMIF(I$12:AB$12,"总值",I13:AB13)</f>
        <v>21279.739999999998</v>
      </c>
      <c r="I13" s="1512">
        <f>面积指标!D67</f>
        <v>17801.5</v>
      </c>
      <c r="J13" s="1512"/>
      <c r="K13" s="1512">
        <f>面积指标!I68</f>
        <v>3478.24</v>
      </c>
      <c r="L13" s="1512"/>
      <c r="M13" s="1512"/>
      <c r="N13" s="1512"/>
      <c r="O13" s="1512"/>
      <c r="P13" s="1512"/>
      <c r="Q13" s="1512"/>
      <c r="R13" s="1512"/>
      <c r="S13" s="1512"/>
      <c r="T13" s="1512"/>
      <c r="U13" s="1512"/>
      <c r="V13" s="1512"/>
      <c r="W13" s="1512"/>
      <c r="X13" s="1512"/>
      <c r="Y13" s="1512"/>
      <c r="Z13" s="1512"/>
      <c r="AA13" s="1512"/>
      <c r="AB13" s="1512"/>
      <c r="AC13" s="13">
        <f>SUMIF(AD$12:AS$12,"总值",AD13:AS13)</f>
        <v>2717.5600000000004</v>
      </c>
      <c r="AD13" s="987"/>
      <c r="AE13" s="987"/>
      <c r="AF13" s="987"/>
      <c r="AG13" s="987"/>
      <c r="AH13" s="987"/>
      <c r="AI13" s="987"/>
      <c r="AJ13" s="987"/>
      <c r="AK13" s="987"/>
      <c r="AL13" s="987">
        <f>面积指标!E67</f>
        <v>433.3</v>
      </c>
      <c r="AM13" s="987"/>
      <c r="AN13" s="987">
        <f>面积指标!H68</f>
        <v>2284.2600000000002</v>
      </c>
      <c r="AO13" s="987"/>
      <c r="AP13" s="987"/>
      <c r="AQ13" s="987"/>
      <c r="AR13" s="987"/>
      <c r="AS13" s="987"/>
      <c r="AT13" s="29"/>
      <c r="AU13" s="1513"/>
      <c r="AV13" s="8">
        <f t="shared" ref="AV13:AX17" si="6">A13</f>
        <v>0</v>
      </c>
      <c r="AW13" s="8">
        <f t="shared" si="6"/>
        <v>0</v>
      </c>
      <c r="AX13" s="8">
        <f t="shared" si="6"/>
        <v>0</v>
      </c>
      <c r="AY13" s="1258">
        <f>ROUND($AY$6*AZ13/$AZ$5,2)</f>
        <v>6542.04</v>
      </c>
      <c r="AZ13" s="13">
        <f>BA13+BL13</f>
        <v>23997.3</v>
      </c>
      <c r="BA13" s="13">
        <f>SUM(BB13:BK13)</f>
        <v>21279.739999999998</v>
      </c>
      <c r="BB13" s="13">
        <f>IF($D13="是",I13-J13,0)</f>
        <v>17801.5</v>
      </c>
      <c r="BC13" s="13">
        <f>IF($D13="是",K13-L13,0)</f>
        <v>3478.24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2717.5600000000004</v>
      </c>
      <c r="BM13" s="13">
        <f>IF($D13="是",AD13-AE13,0)</f>
        <v>0</v>
      </c>
      <c r="BN13" s="13">
        <f>IF($D13="是",AF13-AG13,0)</f>
        <v>0</v>
      </c>
      <c r="BO13" s="13">
        <f>IF($D13="是",AH13-AI13,0)</f>
        <v>0</v>
      </c>
      <c r="BP13" s="13">
        <f>IF($D13="是",AJ13-AK13,0)</f>
        <v>0</v>
      </c>
      <c r="BQ13" s="13">
        <f>IF($D13="是",AL13-AM13,0)</f>
        <v>433.3</v>
      </c>
      <c r="BR13" s="13">
        <f>IF($D13="是",AN13-AO13,0)</f>
        <v>2284.2600000000002</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O84"/>
  <sheetViews>
    <sheetView topLeftCell="A52" workbookViewId="0">
      <selection activeCell="B79" sqref="B79"/>
    </sheetView>
  </sheetViews>
  <sheetFormatPr defaultRowHeight="13.5"/>
  <cols>
    <col min="1" max="1" width="15" style="2811" customWidth="1"/>
    <col min="2" max="2" width="14.625" style="2811" customWidth="1"/>
    <col min="3" max="3" width="16.875" style="2811" customWidth="1"/>
    <col min="4" max="4" width="21" style="2811" customWidth="1"/>
    <col min="5" max="5" width="11" style="2811" customWidth="1"/>
    <col min="6" max="6" width="19.75" style="2811" customWidth="1"/>
    <col min="7" max="10" width="9" style="2811"/>
    <col min="11" max="11" width="5" style="2811" customWidth="1"/>
    <col min="12" max="12" width="5.25" style="2811" customWidth="1"/>
    <col min="13" max="16384" width="9" style="2811"/>
  </cols>
  <sheetData>
    <row r="14" spans="14:14">
      <c r="N14" s="2811">
        <v>28107.3</v>
      </c>
    </row>
    <row r="15" spans="14:14">
      <c r="N15" s="2811">
        <f>4060+50</f>
        <v>4110</v>
      </c>
    </row>
    <row r="16" spans="14:14">
      <c r="N16" s="2811">
        <f>N14-N15</f>
        <v>23997.3</v>
      </c>
    </row>
    <row r="24" spans="14:15">
      <c r="N24" s="2811">
        <f>7538.24-N25</f>
        <v>3478.24</v>
      </c>
      <c r="O24" s="2811">
        <f>N24/N26*O26</f>
        <v>84.438532071146582</v>
      </c>
    </row>
    <row r="25" spans="14:15">
      <c r="N25" s="2811">
        <v>4060</v>
      </c>
      <c r="O25" s="2811">
        <f>N25/N26*O26</f>
        <v>98.561467928853418</v>
      </c>
    </row>
    <row r="26" spans="14:15">
      <c r="N26" s="2811">
        <v>7538.24</v>
      </c>
      <c r="O26" s="2811">
        <v>183</v>
      </c>
    </row>
    <row r="64" spans="1:12" ht="14.25" thickBot="1">
      <c r="A64" s="3302" t="s">
        <v>3862</v>
      </c>
      <c r="B64" s="3302"/>
      <c r="C64" s="3303"/>
      <c r="D64" s="3303"/>
      <c r="E64" s="3303"/>
      <c r="F64" s="3303"/>
      <c r="G64" s="3302"/>
      <c r="H64" s="3302"/>
      <c r="I64" s="3302"/>
      <c r="J64" s="3302"/>
      <c r="K64" s="3303"/>
      <c r="L64" s="3303"/>
    </row>
    <row r="65" spans="1:14">
      <c r="A65" s="3303" t="s">
        <v>3401</v>
      </c>
      <c r="B65" s="3305" t="s">
        <v>3399</v>
      </c>
      <c r="C65" s="3306" t="s">
        <v>3400</v>
      </c>
      <c r="D65" s="3307"/>
      <c r="E65" s="3307"/>
      <c r="F65" s="3308"/>
      <c r="G65" s="3309" t="s">
        <v>3403</v>
      </c>
      <c r="H65" s="3302"/>
      <c r="I65" s="3302"/>
      <c r="J65" s="3305"/>
      <c r="K65" s="3306" t="s">
        <v>3408</v>
      </c>
      <c r="L65" s="3308"/>
      <c r="N65" s="1419"/>
    </row>
    <row r="66" spans="1:14">
      <c r="A66" s="3304"/>
      <c r="B66" s="3305"/>
      <c r="C66" s="3157" t="s">
        <v>3404</v>
      </c>
      <c r="D66" s="1427" t="s">
        <v>3847</v>
      </c>
      <c r="E66" s="3152" t="s">
        <v>3405</v>
      </c>
      <c r="F66" s="3158" t="s">
        <v>3402</v>
      </c>
      <c r="G66" s="3155" t="s">
        <v>3404</v>
      </c>
      <c r="H66" s="1427" t="s">
        <v>3405</v>
      </c>
      <c r="I66" s="1427" t="s">
        <v>3406</v>
      </c>
      <c r="J66" s="3153" t="s">
        <v>3407</v>
      </c>
      <c r="K66" s="3157" t="s">
        <v>3409</v>
      </c>
      <c r="L66" s="3158" t="s">
        <v>3410</v>
      </c>
      <c r="M66" s="1419"/>
    </row>
    <row r="67" spans="1:14">
      <c r="A67" s="1427" t="s">
        <v>3863</v>
      </c>
      <c r="B67" s="3153">
        <f>C67+G67</f>
        <v>18234.8</v>
      </c>
      <c r="C67" s="3159">
        <f>SUM(D67:F67)</f>
        <v>18234.8</v>
      </c>
      <c r="D67" s="3151">
        <v>17801.5</v>
      </c>
      <c r="E67" s="3151">
        <v>433.3</v>
      </c>
      <c r="F67" s="3160"/>
      <c r="G67" s="3156">
        <f>SUM(H67:J67)</f>
        <v>0</v>
      </c>
      <c r="H67" s="3151"/>
      <c r="I67" s="3151"/>
      <c r="J67" s="3154"/>
      <c r="K67" s="3159">
        <v>4</v>
      </c>
      <c r="L67" s="3160">
        <v>2</v>
      </c>
      <c r="N67" s="3168"/>
    </row>
    <row r="68" spans="1:14">
      <c r="A68" s="1427" t="s">
        <v>3899</v>
      </c>
      <c r="B68" s="3153">
        <f>C68+G68</f>
        <v>9872.5</v>
      </c>
      <c r="C68" s="3159">
        <f>SUM(D68:F68)</f>
        <v>50</v>
      </c>
      <c r="D68" s="3151"/>
      <c r="E68" s="3151"/>
      <c r="F68" s="3160">
        <v>50</v>
      </c>
      <c r="G68" s="3156">
        <f t="shared" ref="G68:G69" si="0">SUM(H68:J68)</f>
        <v>9822.5</v>
      </c>
      <c r="H68" s="3151">
        <v>2284.2600000000002</v>
      </c>
      <c r="I68" s="3151">
        <f>7538.24-J68</f>
        <v>3478.24</v>
      </c>
      <c r="J68" s="3154">
        <v>4060</v>
      </c>
      <c r="K68" s="3159">
        <v>1</v>
      </c>
      <c r="L68" s="3160">
        <v>2</v>
      </c>
      <c r="N68" s="3168"/>
    </row>
    <row r="69" spans="1:14" ht="14.25" thickBot="1">
      <c r="A69" s="1427" t="s">
        <v>3404</v>
      </c>
      <c r="B69" s="3153">
        <f>C69+G69</f>
        <v>28107.3</v>
      </c>
      <c r="C69" s="3161">
        <f>SUM(D69:F69)</f>
        <v>18284.8</v>
      </c>
      <c r="D69" s="3162">
        <f>SUM(D67:D68)</f>
        <v>17801.5</v>
      </c>
      <c r="E69" s="3215">
        <f>SUM(E67:E68)</f>
        <v>433.3</v>
      </c>
      <c r="F69" s="3165">
        <f>SUM(F67:F68)</f>
        <v>50</v>
      </c>
      <c r="G69" s="3156">
        <f t="shared" si="0"/>
        <v>9822.5</v>
      </c>
      <c r="H69" s="3151">
        <f>SUM(H67:H68)</f>
        <v>2284.2600000000002</v>
      </c>
      <c r="I69" s="3151">
        <f>SUM(I67:I68)</f>
        <v>3478.24</v>
      </c>
      <c r="J69" s="3164">
        <f>SUM(J67:J68)</f>
        <v>4060</v>
      </c>
      <c r="K69" s="3161"/>
      <c r="L69" s="3163"/>
    </row>
    <row r="70" spans="1:14">
      <c r="A70" s="1419"/>
      <c r="B70" s="1419"/>
    </row>
    <row r="72" spans="1:14">
      <c r="A72" s="1419" t="s">
        <v>3412</v>
      </c>
      <c r="B72" s="2811">
        <v>7662.49</v>
      </c>
    </row>
    <row r="73" spans="1:14">
      <c r="A73" s="3302" t="s">
        <v>3865</v>
      </c>
      <c r="B73" s="3302"/>
      <c r="C73" s="3302"/>
      <c r="D73" s="1403"/>
      <c r="E73" s="1403"/>
    </row>
    <row r="74" spans="1:14" ht="27">
      <c r="A74" s="1427" t="s">
        <v>3413</v>
      </c>
      <c r="B74" s="3152" t="s">
        <v>3866</v>
      </c>
      <c r="C74" s="3213" t="s">
        <v>3867</v>
      </c>
      <c r="D74" s="1419" t="s">
        <v>3417</v>
      </c>
      <c r="E74" s="1419" t="s">
        <v>3418</v>
      </c>
      <c r="F74" s="1419" t="s">
        <v>3419</v>
      </c>
    </row>
    <row r="75" spans="1:14" ht="42" customHeight="1">
      <c r="A75" s="1427" t="s">
        <v>3863</v>
      </c>
      <c r="B75" s="3151">
        <v>18234.8</v>
      </c>
      <c r="C75" s="3151">
        <v>4971.09</v>
      </c>
      <c r="D75" s="3166" t="s">
        <v>3936</v>
      </c>
      <c r="E75" s="3167">
        <v>0.82</v>
      </c>
      <c r="F75" s="2811">
        <f>B75*E75</f>
        <v>14952.535999999998</v>
      </c>
    </row>
    <row r="76" spans="1:14" ht="40.5">
      <c r="A76" s="1427" t="s">
        <v>3864</v>
      </c>
      <c r="B76" s="3151">
        <v>5762.5</v>
      </c>
      <c r="C76" s="3151">
        <v>1570.95</v>
      </c>
      <c r="D76" s="3166" t="s">
        <v>3869</v>
      </c>
      <c r="E76" s="3167">
        <v>0.95</v>
      </c>
      <c r="F76" s="2811">
        <f>B76*E76</f>
        <v>5474.375</v>
      </c>
      <c r="G76" s="1419" t="s">
        <v>3887</v>
      </c>
    </row>
    <row r="77" spans="1:14">
      <c r="A77" s="1427" t="s">
        <v>2580</v>
      </c>
      <c r="B77" s="1427">
        <f>SUM(B75:B76)</f>
        <v>23997.3</v>
      </c>
      <c r="C77" s="3151">
        <f>SUM(C75:C76)</f>
        <v>6542.04</v>
      </c>
      <c r="F77" s="3168">
        <f>(F75+F76)/B77</f>
        <v>0.85121705358519506</v>
      </c>
    </row>
    <row r="79" spans="1:14">
      <c r="A79" s="1419" t="s">
        <v>3979</v>
      </c>
      <c r="B79" s="2811">
        <f>B69-B77</f>
        <v>4110</v>
      </c>
      <c r="C79" s="2811">
        <f>B72-C77</f>
        <v>1120.4499999999998</v>
      </c>
    </row>
    <row r="80" spans="1:14">
      <c r="A80" s="1419"/>
    </row>
    <row r="81" spans="1:6">
      <c r="A81" s="3301" t="s">
        <v>3435</v>
      </c>
      <c r="B81" s="3301"/>
      <c r="C81" s="3301"/>
      <c r="D81" s="3301"/>
      <c r="E81" s="3301"/>
      <c r="F81" s="3301"/>
    </row>
    <row r="82" spans="1:6" ht="24">
      <c r="A82" s="3169" t="s">
        <v>3421</v>
      </c>
      <c r="B82" s="3169" t="s">
        <v>3422</v>
      </c>
      <c r="C82" s="3169" t="s">
        <v>3423</v>
      </c>
      <c r="D82" s="3169" t="s">
        <v>3424</v>
      </c>
      <c r="E82" s="3169" t="s">
        <v>3425</v>
      </c>
      <c r="F82" s="3169" t="s">
        <v>3426</v>
      </c>
    </row>
    <row r="83" spans="1:6" ht="48">
      <c r="A83" s="3170">
        <v>1</v>
      </c>
      <c r="B83" s="3170" t="s">
        <v>3888</v>
      </c>
      <c r="C83" s="3170" t="s">
        <v>3427</v>
      </c>
      <c r="D83" s="3170" t="s">
        <v>3428</v>
      </c>
      <c r="E83" s="3170" t="s">
        <v>3429</v>
      </c>
      <c r="F83" s="3170" t="s">
        <v>3430</v>
      </c>
    </row>
    <row r="84" spans="1:6" ht="48">
      <c r="A84" s="3214">
        <v>2</v>
      </c>
      <c r="B84" s="3214" t="s">
        <v>3431</v>
      </c>
      <c r="C84" s="3214" t="s">
        <v>3432</v>
      </c>
      <c r="D84" s="3214" t="s">
        <v>3433</v>
      </c>
      <c r="E84" s="3214" t="s">
        <v>3429</v>
      </c>
      <c r="F84" s="3214" t="s">
        <v>3434</v>
      </c>
    </row>
  </sheetData>
  <mergeCells count="8">
    <mergeCell ref="A81:F81"/>
    <mergeCell ref="A64:L64"/>
    <mergeCell ref="A65:A66"/>
    <mergeCell ref="B65:B66"/>
    <mergeCell ref="C65:F65"/>
    <mergeCell ref="G65:J65"/>
    <mergeCell ref="K65:L65"/>
    <mergeCell ref="A73:C73"/>
  </mergeCells>
  <phoneticPr fontId="134" type="noConversion"/>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1124</v>
      </c>
      <c r="B1" s="1069"/>
      <c r="C1" s="1069"/>
      <c r="D1" s="1069"/>
      <c r="E1" s="1069"/>
      <c r="F1" s="1069"/>
      <c r="G1" s="1069"/>
      <c r="H1" s="1069"/>
      <c r="I1" s="1069"/>
      <c r="J1" s="1069"/>
      <c r="K1" s="1069"/>
      <c r="L1" s="1069"/>
      <c r="M1" s="1069"/>
      <c r="N1" s="1069"/>
      <c r="O1" s="1069"/>
      <c r="P1" s="1069"/>
    </row>
    <row r="2" spans="1:16" ht="15">
      <c r="A2" s="3319" t="s">
        <v>1125</v>
      </c>
      <c r="B2" s="3319"/>
      <c r="C2" s="3319"/>
      <c r="D2" s="746" t="s">
        <v>1101</v>
      </c>
      <c r="E2" s="1521" t="s">
        <v>1102</v>
      </c>
      <c r="F2" s="2436"/>
      <c r="G2" s="2429"/>
      <c r="H2" s="2430"/>
      <c r="I2" s="2144" t="s">
        <v>1126</v>
      </c>
      <c r="J2" s="2436"/>
      <c r="K2" s="2436"/>
      <c r="L2" s="2436"/>
      <c r="M2" s="2436"/>
      <c r="N2" s="2437"/>
      <c r="O2" s="2436"/>
      <c r="P2" s="2436"/>
    </row>
    <row r="3" spans="1:16" ht="15.75" thickBot="1">
      <c r="A3" s="3320" t="s">
        <v>1099</v>
      </c>
      <c r="B3" s="3320"/>
      <c r="C3" s="3320"/>
      <c r="D3" s="41">
        <f>'数据-基础表'!AY6</f>
        <v>6542.04</v>
      </c>
      <c r="E3" s="41">
        <f>'数据-基础表'!AZ5</f>
        <v>23997.3</v>
      </c>
      <c r="F3" s="2436"/>
      <c r="G3" s="42"/>
      <c r="H3" s="43" t="s">
        <v>1100</v>
      </c>
      <c r="I3" s="800">
        <f>ROUND('数据-基础表'!B3/'数据-基础表'!A3,2)</f>
        <v>3.67</v>
      </c>
      <c r="J3" s="2436"/>
      <c r="K3" s="2436"/>
      <c r="L3" s="2436"/>
      <c r="M3" s="2436"/>
      <c r="N3" s="2437"/>
      <c r="O3" s="2436"/>
      <c r="P3" s="2436"/>
    </row>
    <row r="4" spans="1:16" ht="15">
      <c r="A4" s="3321"/>
      <c r="B4" s="3322"/>
      <c r="C4" s="3323"/>
      <c r="D4" s="1522" t="s">
        <v>1101</v>
      </c>
      <c r="E4" s="1523" t="s">
        <v>1102</v>
      </c>
      <c r="F4" s="2436"/>
      <c r="G4" s="2431" t="s">
        <v>1127</v>
      </c>
      <c r="H4" s="43" t="s">
        <v>1107</v>
      </c>
      <c r="I4" s="800">
        <f>ROUND(SUMIF('数据-基础表'!I9:AS9,"地上",'数据-基础表'!I5:AS5)/'数据-基础表'!A3,2)</f>
        <v>2.79</v>
      </c>
      <c r="J4" s="2436"/>
      <c r="K4" s="2436"/>
      <c r="L4" s="2436"/>
      <c r="M4" s="2436"/>
      <c r="N4" s="2437"/>
      <c r="O4" s="2436"/>
      <c r="P4" s="2436"/>
    </row>
    <row r="5" spans="1:16">
      <c r="A5" s="42" t="s">
        <v>1103</v>
      </c>
      <c r="B5" s="3324" t="s">
        <v>1104</v>
      </c>
      <c r="C5" s="3324"/>
      <c r="D5" s="43">
        <f>ROUND($D$3*E5/$E$3,2)</f>
        <v>0</v>
      </c>
      <c r="E5" s="44">
        <f>SUMIF('数据-基础表'!$11:$11,"住宅",'数据-基础表'!$5:$5)</f>
        <v>0</v>
      </c>
      <c r="F5" s="2436"/>
      <c r="G5" s="42"/>
      <c r="H5" s="43" t="s">
        <v>1100</v>
      </c>
      <c r="I5" s="800">
        <f>ROUND(E31/D31,2)</f>
        <v>3.67</v>
      </c>
      <c r="J5" s="2436"/>
      <c r="K5" s="2436"/>
      <c r="L5" s="2436"/>
      <c r="M5" s="2436"/>
      <c r="N5" s="2436"/>
      <c r="O5" s="2436"/>
      <c r="P5" s="2436"/>
    </row>
    <row r="6" spans="1:16" ht="15" thickBot="1">
      <c r="A6" s="1525"/>
      <c r="B6" s="3324" t="s">
        <v>1105</v>
      </c>
      <c r="C6" s="3324"/>
      <c r="D6" s="43">
        <f>ROUND($D$3*E6/$E$3,2)</f>
        <v>6542.04</v>
      </c>
      <c r="E6" s="44">
        <f>E3-E5</f>
        <v>23997.3</v>
      </c>
      <c r="F6" s="2436"/>
      <c r="G6" s="1527" t="s">
        <v>1106</v>
      </c>
      <c r="H6" s="45" t="s">
        <v>1107</v>
      </c>
      <c r="I6" s="2432">
        <f>ROUND(F31/D31,2)</f>
        <v>2.79</v>
      </c>
      <c r="J6" s="2436"/>
      <c r="K6" s="2436"/>
      <c r="L6" s="2436"/>
      <c r="M6" s="2436"/>
      <c r="N6" s="2436"/>
      <c r="O6" s="2436"/>
      <c r="P6" s="2436"/>
    </row>
    <row r="7" spans="1:16" ht="15.75" thickBot="1">
      <c r="A7" s="3316"/>
      <c r="B7" s="3317"/>
      <c r="C7" s="3318"/>
      <c r="D7" s="1522" t="s">
        <v>1101</v>
      </c>
      <c r="E7" s="1526" t="s">
        <v>1108</v>
      </c>
      <c r="F7" s="2436"/>
      <c r="G7" s="2433" t="s">
        <v>1109</v>
      </c>
      <c r="H7" s="94"/>
      <c r="I7" s="2434">
        <v>2.39</v>
      </c>
      <c r="J7" s="2436"/>
      <c r="K7" s="2436"/>
      <c r="L7" s="2436"/>
      <c r="M7" s="2436"/>
      <c r="N7" s="2436"/>
      <c r="O7" s="2436"/>
      <c r="P7" s="2436"/>
    </row>
    <row r="8" spans="1:16">
      <c r="A8" s="42" t="s">
        <v>1110</v>
      </c>
      <c r="B8" s="45" t="s">
        <v>1111</v>
      </c>
      <c r="C8" s="43" t="s">
        <v>1112</v>
      </c>
      <c r="D8" s="43">
        <f t="shared" ref="D8:D15" si="0">ROUND($D$3*E8/$E$3,2)</f>
        <v>4852.97</v>
      </c>
      <c r="E8" s="46">
        <f>SUMIF('数据-基础表'!BB10:BK10,"地上",'数据-基础表'!BB5:BK5)</f>
        <v>17801.5</v>
      </c>
      <c r="F8" s="2436"/>
      <c r="G8" s="2436"/>
      <c r="H8" s="2436"/>
      <c r="I8" s="2436"/>
      <c r="J8" s="2436"/>
      <c r="K8" s="2436"/>
      <c r="L8" s="2436"/>
      <c r="M8" s="2436"/>
      <c r="N8" s="2436"/>
      <c r="O8" s="2436"/>
      <c r="P8" s="2436"/>
    </row>
    <row r="9" spans="1:16">
      <c r="A9" s="1527"/>
      <c r="B9" s="1528"/>
      <c r="C9" s="43" t="s">
        <v>1113</v>
      </c>
      <c r="D9" s="43">
        <f t="shared" si="0"/>
        <v>0</v>
      </c>
      <c r="E9" s="47">
        <v>0</v>
      </c>
      <c r="F9" s="2436"/>
      <c r="G9" s="2436"/>
      <c r="H9" s="2436"/>
      <c r="I9" s="2436"/>
      <c r="J9" s="2436"/>
      <c r="K9" s="2436"/>
      <c r="L9" s="2436"/>
      <c r="M9" s="2436"/>
      <c r="N9" s="2436"/>
      <c r="O9" s="2436"/>
      <c r="P9" s="2436"/>
    </row>
    <row r="10" spans="1:16">
      <c r="A10" s="1527"/>
      <c r="B10" s="1528"/>
      <c r="C10" s="43" t="s">
        <v>1122</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7"/>
      <c r="B11" s="1528"/>
      <c r="C11" s="43" t="s">
        <v>1114</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7"/>
      <c r="B12" s="1528"/>
      <c r="C12" s="43" t="s">
        <v>1115</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7"/>
      <c r="B13" s="1528"/>
      <c r="C13" s="43" t="s">
        <v>1116</v>
      </c>
      <c r="D13" s="43">
        <f t="shared" si="0"/>
        <v>948.22</v>
      </c>
      <c r="E13" s="46">
        <f>SUMPRODUCT(('数据-基础表'!BB10:BK10="地下")*('数据-基础表'!BB11:BK11="车库")*('数据-基础表'!BB5:BK5))</f>
        <v>3478.24</v>
      </c>
      <c r="F13" s="2436"/>
      <c r="G13" s="2436"/>
      <c r="H13" s="2436"/>
      <c r="I13" s="2436"/>
      <c r="J13" s="2436"/>
      <c r="K13" s="2436"/>
      <c r="L13" s="2436"/>
      <c r="M13" s="2436"/>
      <c r="N13" s="2436"/>
      <c r="O13" s="2436"/>
      <c r="P13" s="2436"/>
    </row>
    <row r="14" spans="1:16">
      <c r="A14" s="1527"/>
      <c r="B14" s="1528"/>
      <c r="C14" s="43" t="s">
        <v>1128</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7"/>
      <c r="B15" s="1528"/>
      <c r="C15" s="43" t="s">
        <v>1123</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5"/>
      <c r="B16" s="1528"/>
      <c r="C16" s="45" t="s">
        <v>1117</v>
      </c>
      <c r="D16" s="45">
        <f>SUM(D8:D15)</f>
        <v>5801.1900000000005</v>
      </c>
      <c r="E16" s="48">
        <f>SUM(E8:E15)</f>
        <v>21279.739999999998</v>
      </c>
      <c r="F16" s="2436"/>
      <c r="G16" s="2436"/>
      <c r="H16" s="1529" t="s">
        <v>1129</v>
      </c>
      <c r="I16" s="1530"/>
      <c r="J16" s="1069"/>
      <c r="K16" s="3313" t="s">
        <v>1129</v>
      </c>
      <c r="L16" s="3314"/>
      <c r="M16" s="3314"/>
      <c r="N16" s="3314"/>
      <c r="O16" s="3314"/>
      <c r="P16" s="3315"/>
    </row>
    <row r="17" spans="1:19" ht="15">
      <c r="A17" s="1531" t="s">
        <v>1130</v>
      </c>
      <c r="B17" s="1532" t="s">
        <v>1131</v>
      </c>
      <c r="C17" s="1533" t="s">
        <v>1132</v>
      </c>
      <c r="D17" s="1534" t="s">
        <v>1120</v>
      </c>
      <c r="E17" s="1535" t="s">
        <v>1121</v>
      </c>
      <c r="F17" s="1536"/>
      <c r="G17" s="1537"/>
      <c r="H17" s="1538" t="s">
        <v>1133</v>
      </c>
      <c r="I17" s="1539" t="s">
        <v>1118</v>
      </c>
      <c r="J17" s="1069"/>
      <c r="K17" s="3310" t="s">
        <v>1134</v>
      </c>
      <c r="L17" s="3311"/>
      <c r="M17" s="3312"/>
      <c r="N17" s="3310" t="s">
        <v>1135</v>
      </c>
      <c r="O17" s="3311"/>
      <c r="P17" s="3312"/>
      <c r="R17" s="767" t="s">
        <v>1136</v>
      </c>
      <c r="S17" s="54"/>
    </row>
    <row r="18" spans="1:19" ht="15">
      <c r="A18" s="1527"/>
      <c r="B18" s="1524"/>
      <c r="C18" s="1540"/>
      <c r="D18" s="1541"/>
      <c r="E18" s="1542" t="s">
        <v>1137</v>
      </c>
      <c r="F18" s="1543" t="s">
        <v>1138</v>
      </c>
      <c r="G18" s="1544" t="s">
        <v>1139</v>
      </c>
      <c r="H18" s="978" t="s">
        <v>1140</v>
      </c>
      <c r="I18" s="1545" t="s">
        <v>1141</v>
      </c>
      <c r="J18" s="1069"/>
      <c r="K18" s="978" t="s">
        <v>1142</v>
      </c>
      <c r="L18" s="1546" t="s">
        <v>1143</v>
      </c>
      <c r="M18" s="800" t="s">
        <v>1144</v>
      </c>
      <c r="N18" s="978" t="s">
        <v>1142</v>
      </c>
      <c r="O18" s="1546" t="s">
        <v>1143</v>
      </c>
      <c r="P18" s="800" t="s">
        <v>1144</v>
      </c>
      <c r="R18" s="43" t="s">
        <v>1145</v>
      </c>
      <c r="S18" s="43" t="s">
        <v>1146</v>
      </c>
    </row>
    <row r="19" spans="1:19">
      <c r="A19" s="1547"/>
      <c r="B19" s="45" t="s">
        <v>1119</v>
      </c>
      <c r="C19" s="3112" t="s">
        <v>3970</v>
      </c>
      <c r="D19" s="43">
        <f>ROUND($D$3*E19/$E$3,2)</f>
        <v>5801.19</v>
      </c>
      <c r="E19" s="51">
        <f t="shared" ref="E19:E26" si="1">SUM(F19:G19)</f>
        <v>21279.739999999998</v>
      </c>
      <c r="F19" s="2555">
        <f>'数据-基础表'!I13</f>
        <v>17801.5</v>
      </c>
      <c r="G19" s="1241">
        <f>'数据-基础表'!K13</f>
        <v>3478.24</v>
      </c>
      <c r="H19" s="636">
        <f>ROUND($D$3*I19/$E$3,2)</f>
        <v>740.85</v>
      </c>
      <c r="I19" s="46">
        <f t="shared" ref="I19:I26" si="2">IF($I$17="自定义",P19,M19)</f>
        <v>2717.56</v>
      </c>
      <c r="J19" s="1069"/>
      <c r="K19" s="636">
        <f t="shared" ref="K19:K26" si="3">ROUND(E$28*E19/E$27,2)</f>
        <v>2717.56</v>
      </c>
      <c r="L19" s="43">
        <f t="shared" ref="L19:L26" si="4">ROUND(IF(COUNTIF(C19,"*住宅*")&gt;0,E$29*E19/E$32,0),2)</f>
        <v>0</v>
      </c>
      <c r="M19" s="46">
        <f>K19+L19</f>
        <v>2717.56</v>
      </c>
      <c r="N19" s="1548"/>
      <c r="O19" s="1549"/>
      <c r="P19" s="46">
        <f>N19+O19</f>
        <v>0</v>
      </c>
      <c r="R19" s="43">
        <f t="shared" ref="R19:S26" si="5">D19+H19</f>
        <v>6542.04</v>
      </c>
      <c r="S19" s="51">
        <f t="shared" si="5"/>
        <v>23997.3</v>
      </c>
    </row>
    <row r="20" spans="1:19">
      <c r="A20" s="1547"/>
      <c r="B20" s="45" t="s">
        <v>1147</v>
      </c>
      <c r="C20" s="3112"/>
      <c r="D20" s="43">
        <f t="shared" ref="D20:D26" si="6">ROUND($D$3*E20/$E$3,2)</f>
        <v>0</v>
      </c>
      <c r="E20" s="51">
        <f t="shared" si="1"/>
        <v>0</v>
      </c>
      <c r="F20" s="2555"/>
      <c r="G20" s="1241"/>
      <c r="H20" s="636">
        <f t="shared" ref="H20:H26" si="7">ROUND($D$3*I20/$E$3,2)</f>
        <v>0</v>
      </c>
      <c r="I20" s="46">
        <f t="shared" si="2"/>
        <v>0</v>
      </c>
      <c r="J20" s="1069"/>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1147</v>
      </c>
      <c r="C21" s="3112"/>
      <c r="D21" s="43">
        <f t="shared" si="6"/>
        <v>0</v>
      </c>
      <c r="E21" s="51">
        <f t="shared" si="1"/>
        <v>0</v>
      </c>
      <c r="F21" s="2555"/>
      <c r="G21" s="1241"/>
      <c r="H21" s="636">
        <f t="shared" si="7"/>
        <v>0</v>
      </c>
      <c r="I21" s="46">
        <f t="shared" si="2"/>
        <v>0</v>
      </c>
      <c r="J21" s="1069"/>
      <c r="K21" s="636">
        <f t="shared" si="3"/>
        <v>0</v>
      </c>
      <c r="L21" s="43">
        <f t="shared" si="4"/>
        <v>0</v>
      </c>
      <c r="M21" s="46">
        <f t="shared" si="8"/>
        <v>0</v>
      </c>
      <c r="N21" s="1548"/>
      <c r="O21" s="1549"/>
      <c r="P21" s="46">
        <f t="shared" si="9"/>
        <v>0</v>
      </c>
      <c r="R21" s="43">
        <f t="shared" si="5"/>
        <v>0</v>
      </c>
      <c r="S21" s="51">
        <f t="shared" si="5"/>
        <v>0</v>
      </c>
    </row>
    <row r="22" spans="1:19">
      <c r="A22" s="1547"/>
      <c r="B22" s="45" t="s">
        <v>1147</v>
      </c>
      <c r="C22" s="3113"/>
      <c r="D22" s="43">
        <f t="shared" si="6"/>
        <v>0</v>
      </c>
      <c r="E22" s="51">
        <f t="shared" si="1"/>
        <v>0</v>
      </c>
      <c r="F22" s="2556"/>
      <c r="G22" s="2557"/>
      <c r="H22" s="636">
        <f t="shared" si="7"/>
        <v>0</v>
      </c>
      <c r="I22" s="46">
        <f t="shared" si="2"/>
        <v>0</v>
      </c>
      <c r="J22" s="1069"/>
      <c r="K22" s="636">
        <f t="shared" si="3"/>
        <v>0</v>
      </c>
      <c r="L22" s="43">
        <f t="shared" si="4"/>
        <v>0</v>
      </c>
      <c r="M22" s="46">
        <f t="shared" si="8"/>
        <v>0</v>
      </c>
      <c r="N22" s="1548"/>
      <c r="O22" s="1549"/>
      <c r="P22" s="46">
        <f t="shared" si="9"/>
        <v>0</v>
      </c>
      <c r="R22" s="43">
        <f t="shared" si="5"/>
        <v>0</v>
      </c>
      <c r="S22" s="51">
        <f t="shared" si="5"/>
        <v>0</v>
      </c>
    </row>
    <row r="23" spans="1:19">
      <c r="A23" s="1547"/>
      <c r="B23" s="45" t="s">
        <v>1147</v>
      </c>
      <c r="C23" s="3113"/>
      <c r="D23" s="43">
        <f>ROUND($D$3*E23/$E$3,2)</f>
        <v>0</v>
      </c>
      <c r="E23" s="51">
        <f>SUM(F23:G23)</f>
        <v>0</v>
      </c>
      <c r="F23" s="2556"/>
      <c r="G23" s="2557"/>
      <c r="H23" s="636">
        <f>ROUND($D$3*I23/$E$3,2)</f>
        <v>0</v>
      </c>
      <c r="I23" s="46">
        <f t="shared" si="2"/>
        <v>0</v>
      </c>
      <c r="J23" s="1069"/>
      <c r="K23" s="636">
        <f t="shared" si="3"/>
        <v>0</v>
      </c>
      <c r="L23" s="43">
        <f t="shared" si="4"/>
        <v>0</v>
      </c>
      <c r="M23" s="46">
        <f t="shared" si="8"/>
        <v>0</v>
      </c>
      <c r="N23" s="1548"/>
      <c r="O23" s="1549"/>
      <c r="P23" s="46">
        <f t="shared" si="9"/>
        <v>0</v>
      </c>
      <c r="R23" s="43">
        <f t="shared" si="5"/>
        <v>0</v>
      </c>
      <c r="S23" s="51">
        <f t="shared" si="5"/>
        <v>0</v>
      </c>
    </row>
    <row r="24" spans="1:19">
      <c r="A24" s="1547"/>
      <c r="B24" s="45" t="s">
        <v>1147</v>
      </c>
      <c r="C24" s="3113"/>
      <c r="D24" s="43">
        <f>ROUND($D$3*E24/$E$3,2)</f>
        <v>0</v>
      </c>
      <c r="E24" s="51">
        <f>SUM(F24:G24)</f>
        <v>0</v>
      </c>
      <c r="F24" s="2556"/>
      <c r="G24" s="2557"/>
      <c r="H24" s="636">
        <f>ROUND($D$3*I24/$E$3,2)</f>
        <v>0</v>
      </c>
      <c r="I24" s="46">
        <f t="shared" si="2"/>
        <v>0</v>
      </c>
      <c r="J24" s="1069"/>
      <c r="K24" s="636">
        <f t="shared" si="3"/>
        <v>0</v>
      </c>
      <c r="L24" s="43">
        <f t="shared" si="4"/>
        <v>0</v>
      </c>
      <c r="M24" s="46">
        <f t="shared" si="8"/>
        <v>0</v>
      </c>
      <c r="N24" s="1548"/>
      <c r="O24" s="1549"/>
      <c r="P24" s="46">
        <f t="shared" si="9"/>
        <v>0</v>
      </c>
      <c r="R24" s="43">
        <f t="shared" si="5"/>
        <v>0</v>
      </c>
      <c r="S24" s="51">
        <f t="shared" si="5"/>
        <v>0</v>
      </c>
    </row>
    <row r="25" spans="1:19">
      <c r="A25" s="1547"/>
      <c r="B25" s="45" t="s">
        <v>1147</v>
      </c>
      <c r="C25" s="3113"/>
      <c r="D25" s="43">
        <f t="shared" si="6"/>
        <v>0</v>
      </c>
      <c r="E25" s="51">
        <f t="shared" si="1"/>
        <v>0</v>
      </c>
      <c r="F25" s="2556"/>
      <c r="G25" s="2557"/>
      <c r="H25" s="42">
        <f t="shared" si="7"/>
        <v>0</v>
      </c>
      <c r="I25" s="46">
        <f t="shared" si="2"/>
        <v>0</v>
      </c>
      <c r="J25" s="1069"/>
      <c r="K25" s="636">
        <f t="shared" si="3"/>
        <v>0</v>
      </c>
      <c r="L25" s="43">
        <f t="shared" si="4"/>
        <v>0</v>
      </c>
      <c r="M25" s="46">
        <f t="shared" si="8"/>
        <v>0</v>
      </c>
      <c r="N25" s="1548"/>
      <c r="O25" s="1549"/>
      <c r="P25" s="46">
        <f t="shared" si="9"/>
        <v>0</v>
      </c>
      <c r="R25" s="43">
        <f t="shared" si="5"/>
        <v>0</v>
      </c>
      <c r="S25" s="51">
        <f t="shared" si="5"/>
        <v>0</v>
      </c>
    </row>
    <row r="26" spans="1:19">
      <c r="A26" s="1547"/>
      <c r="B26" s="45" t="s">
        <v>1147</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1148</v>
      </c>
      <c r="D27" s="1070">
        <f>SUM(D19:D26)</f>
        <v>5801.19</v>
      </c>
      <c r="E27" s="1071">
        <f>IF(SUM(E19:E26)='数据-基础表'!BA5,SUM(E19:E26),IF(F27="地上面积有误","面积有误","地下面积有误"))</f>
        <v>21279.739999999998</v>
      </c>
      <c r="F27" s="1070">
        <f>IF(SUM(F19:F26)=E8,SUM(F19:F26),"地上面积有误")</f>
        <v>17801.5</v>
      </c>
      <c r="G27" s="1072">
        <f>SUM(G19:G26)</f>
        <v>3478.24</v>
      </c>
      <c r="H27" s="1073">
        <f>SUM(H19:H26)</f>
        <v>740.85</v>
      </c>
      <c r="I27" s="1074">
        <f>SUM(I19:I26)</f>
        <v>2717.56</v>
      </c>
      <c r="J27" s="1069"/>
      <c r="K27" s="1075">
        <f>SUM(K19:K26)</f>
        <v>2717.56</v>
      </c>
      <c r="L27" s="783">
        <f>SUM(L19:L26)</f>
        <v>0</v>
      </c>
      <c r="M27" s="1076">
        <f>SUM(M19:M26)</f>
        <v>2717.56</v>
      </c>
      <c r="N27" s="1075">
        <f t="shared" ref="N27:O27" si="10">SUM(N19:N26)</f>
        <v>0</v>
      </c>
      <c r="O27" s="783">
        <f t="shared" si="10"/>
        <v>0</v>
      </c>
      <c r="P27" s="93">
        <f>SUM(P19:P26)</f>
        <v>0</v>
      </c>
      <c r="R27" s="966">
        <f>IF(SUM(R19:R26)=$D$3,SUM(R19:R26),SUM(R19:R26)&amp;"误差"&amp;ROUND(SUM(R19:R26)-$D$3,2))</f>
        <v>6542.04</v>
      </c>
      <c r="S27" s="43">
        <f>IF(SUM(S19:S26)=$E$3,SUM(S19:S26),SUM(S19:S26)&amp;"误差"&amp;ROUND(SUM(S19:S26)-E3,2))</f>
        <v>23997.3</v>
      </c>
    </row>
    <row r="28" spans="1:19">
      <c r="A28" s="1547"/>
      <c r="B28" s="45" t="s">
        <v>1149</v>
      </c>
      <c r="C28" s="54" t="s">
        <v>1150</v>
      </c>
      <c r="D28" s="43">
        <f>ROUND($D$3*E28/$E$3,2)</f>
        <v>740.85</v>
      </c>
      <c r="E28" s="51">
        <f>SUM(F28:G28)</f>
        <v>2717.5600000000004</v>
      </c>
      <c r="F28" s="54">
        <f>'数据-基础表'!BQ5+'数据-基础表'!BS5</f>
        <v>433.3</v>
      </c>
      <c r="G28" s="55">
        <f>'数据-基础表'!BR5+'数据-基础表'!BT5</f>
        <v>2284.2600000000002</v>
      </c>
      <c r="H28" s="2436"/>
      <c r="I28" s="2436"/>
      <c r="J28" s="2436"/>
      <c r="K28" s="2436"/>
      <c r="L28" s="2436"/>
      <c r="M28" s="2436"/>
      <c r="N28" s="2436"/>
      <c r="O28" s="2436"/>
      <c r="P28" s="2436"/>
    </row>
    <row r="29" spans="1:19">
      <c r="A29" s="1547"/>
      <c r="B29" s="45" t="s">
        <v>1149</v>
      </c>
      <c r="C29" s="1553" t="s">
        <v>1151</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7"/>
      <c r="B30" s="45"/>
      <c r="C30" s="1554" t="s">
        <v>1148</v>
      </c>
      <c r="D30" s="1070">
        <f>SUM(D28:D29)</f>
        <v>740.85</v>
      </c>
      <c r="E30" s="1070">
        <f>SUM(E28:E29)</f>
        <v>2717.5600000000004</v>
      </c>
      <c r="F30" s="1070">
        <f>SUM(F28:F29)</f>
        <v>433.3</v>
      </c>
      <c r="G30" s="1072">
        <f>SUM(G28:G29)</f>
        <v>2284.2600000000002</v>
      </c>
      <c r="H30" s="2436"/>
      <c r="I30" s="2436"/>
      <c r="J30" s="2436"/>
      <c r="K30" s="2436"/>
      <c r="L30" s="2436"/>
      <c r="M30" s="2436"/>
      <c r="N30" s="2436"/>
      <c r="O30" s="2436"/>
      <c r="P30" s="2436"/>
    </row>
    <row r="31" spans="1:19" ht="15.75" thickBot="1">
      <c r="A31" s="1555"/>
      <c r="B31" s="95"/>
      <c r="C31" s="783" t="s">
        <v>1152</v>
      </c>
      <c r="D31" s="642">
        <f>D27+D30</f>
        <v>6542.04</v>
      </c>
      <c r="E31" s="642">
        <f>E27+E30</f>
        <v>23997.3</v>
      </c>
      <c r="F31" s="643">
        <f>F27+F30</f>
        <v>18234.8</v>
      </c>
      <c r="G31" s="644">
        <f>G27+G30</f>
        <v>5762.5</v>
      </c>
      <c r="H31" s="2436"/>
      <c r="I31" s="2436"/>
      <c r="J31" s="2436"/>
      <c r="K31" s="2436"/>
      <c r="L31" s="2436"/>
      <c r="M31" s="2436"/>
      <c r="N31" s="2436"/>
      <c r="O31" s="2436"/>
      <c r="P31" s="2436"/>
    </row>
    <row r="32" spans="1:19">
      <c r="A32" s="1524"/>
      <c r="B32" s="1524" t="s">
        <v>1153</v>
      </c>
      <c r="C32" s="1524"/>
      <c r="D32" s="1524"/>
      <c r="E32" s="988">
        <f>SUMIF(C19:C26,"*住宅*",E19:E26)</f>
        <v>0</v>
      </c>
      <c r="F32" s="1524"/>
      <c r="G32" s="1524"/>
      <c r="H32" s="2436"/>
      <c r="I32" s="2436"/>
      <c r="J32" s="2436"/>
      <c r="K32" s="2436"/>
      <c r="L32" s="2436"/>
      <c r="M32" s="2436"/>
      <c r="N32" s="2436"/>
      <c r="O32" s="2436"/>
      <c r="P32" s="2436"/>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20" activePane="bottomRight" state="frozen"/>
      <selection activeCell="C50" sqref="C50"/>
      <selection pane="topRight" activeCell="C50" sqref="C50"/>
      <selection pane="bottomLeft" activeCell="C50" sqref="C50"/>
      <selection pane="bottomRight" activeCell="O25" sqref="O25"/>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12.625" style="1559" customWidth="1"/>
    <col min="16" max="17" width="10.875" style="1559" customWidth="1"/>
    <col min="18" max="19" width="12.5" style="1559" customWidth="1"/>
    <col min="20" max="20" width="12.125" style="1559" customWidth="1"/>
    <col min="21" max="21" width="12.5" style="1559" customWidth="1"/>
    <col min="22" max="22" width="17" style="1559" customWidth="1"/>
    <col min="23" max="26" width="6.75" style="1559" customWidth="1"/>
    <col min="27" max="27" width="10" style="1559" customWidth="1"/>
    <col min="28" max="30" width="6.75" style="1559" customWidth="1"/>
    <col min="31" max="31" width="8" style="1559" customWidth="1"/>
    <col min="32" max="33" width="7.25" style="1559" customWidth="1"/>
    <col min="34" max="34" width="10.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1154</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49" customFormat="1" ht="15.75" thickBot="1">
      <c r="A2" s="1560" t="s">
        <v>1155</v>
      </c>
      <c r="B2" s="982">
        <f>项目基本情况!D3</f>
        <v>45709</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1156</v>
      </c>
      <c r="B4" s="1562"/>
      <c r="C4" s="1563"/>
      <c r="D4" s="1564"/>
      <c r="E4" s="1563" t="s">
        <v>1157</v>
      </c>
      <c r="F4" s="1563"/>
      <c r="G4" s="1563"/>
      <c r="H4" s="1563"/>
      <c r="I4" s="1563"/>
      <c r="J4" s="1565"/>
      <c r="K4" s="1566"/>
      <c r="L4" s="1567"/>
      <c r="M4" s="1563"/>
      <c r="N4" s="1563" t="s">
        <v>1158</v>
      </c>
      <c r="O4" s="1563"/>
      <c r="P4" s="1563"/>
      <c r="Q4" s="1563"/>
      <c r="R4" s="1563"/>
      <c r="S4" s="1565"/>
      <c r="T4" s="2435" t="str">
        <f>'数据-汇总表'!I17</f>
        <v>按面积比例</v>
      </c>
      <c r="U4" s="1562" t="s">
        <v>1159</v>
      </c>
      <c r="V4" s="1563"/>
      <c r="W4" s="1563"/>
      <c r="X4" s="1563"/>
      <c r="Y4" s="1565"/>
      <c r="Z4" s="1533" t="s">
        <v>1160</v>
      </c>
      <c r="AA4" s="1533"/>
      <c r="AB4" s="1533"/>
      <c r="AC4" s="1533"/>
      <c r="AD4" s="1533"/>
      <c r="AE4" s="1531" t="s">
        <v>1161</v>
      </c>
      <c r="AF4" s="1533"/>
      <c r="AG4" s="1568"/>
      <c r="AH4" s="1562"/>
      <c r="AI4" s="1563"/>
      <c r="AJ4" s="1563"/>
      <c r="AK4" s="1563"/>
      <c r="AL4" s="1563"/>
      <c r="AM4" s="1565"/>
      <c r="AN4" s="2436"/>
      <c r="AO4" s="2436"/>
      <c r="AP4" s="2436"/>
      <c r="AQ4" s="2436"/>
      <c r="AR4" s="2436"/>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1162</v>
      </c>
      <c r="B5" s="1570" t="s">
        <v>1163</v>
      </c>
      <c r="C5" s="1571" t="s">
        <v>1164</v>
      </c>
      <c r="D5" s="1572" t="s">
        <v>1165</v>
      </c>
      <c r="E5" s="503" t="s">
        <v>1166</v>
      </c>
      <c r="F5" s="1573" t="s">
        <v>1167</v>
      </c>
      <c r="G5" s="503" t="s">
        <v>1168</v>
      </c>
      <c r="H5" s="503" t="s">
        <v>1169</v>
      </c>
      <c r="I5" s="503" t="s">
        <v>1170</v>
      </c>
      <c r="J5" s="1245" t="s">
        <v>1171</v>
      </c>
      <c r="K5" s="1574" t="s">
        <v>1172</v>
      </c>
      <c r="L5" s="1575" t="s">
        <v>1173</v>
      </c>
      <c r="M5" s="1576" t="s">
        <v>1174</v>
      </c>
      <c r="N5" s="1577" t="s">
        <v>3416</v>
      </c>
      <c r="O5" s="1575" t="s">
        <v>1175</v>
      </c>
      <c r="P5" s="1578" t="s">
        <v>1176</v>
      </c>
      <c r="Q5" s="58" t="s">
        <v>1177</v>
      </c>
      <c r="R5" s="1579" t="s">
        <v>1178</v>
      </c>
      <c r="S5" s="1580" t="s">
        <v>1179</v>
      </c>
      <c r="T5" s="1581" t="s">
        <v>1180</v>
      </c>
      <c r="U5" s="983" t="s">
        <v>1181</v>
      </c>
      <c r="V5" s="503" t="s">
        <v>1182</v>
      </c>
      <c r="W5" s="503" t="s">
        <v>1183</v>
      </c>
      <c r="X5" s="60"/>
      <c r="Y5" s="59" t="s">
        <v>1184</v>
      </c>
      <c r="Z5" s="1099" t="s">
        <v>1181</v>
      </c>
      <c r="AA5" s="503" t="s">
        <v>1182</v>
      </c>
      <c r="AB5" s="503" t="s">
        <v>1183</v>
      </c>
      <c r="AC5" s="60"/>
      <c r="AD5" s="60" t="s">
        <v>1184</v>
      </c>
      <c r="AE5" s="983" t="s">
        <v>1185</v>
      </c>
      <c r="AF5" s="503" t="s">
        <v>1186</v>
      </c>
      <c r="AG5" s="59" t="s">
        <v>1187</v>
      </c>
      <c r="AH5" s="983" t="s">
        <v>1188</v>
      </c>
      <c r="AI5" s="1099" t="s">
        <v>1189</v>
      </c>
      <c r="AJ5" s="1099" t="s">
        <v>1190</v>
      </c>
      <c r="AK5" s="503" t="s">
        <v>1191</v>
      </c>
      <c r="AL5" s="503" t="s">
        <v>1192</v>
      </c>
      <c r="AM5" s="59" t="s">
        <v>1193</v>
      </c>
      <c r="AN5" s="1582" t="s">
        <v>1194</v>
      </c>
      <c r="AO5" s="1452" t="s">
        <v>1195</v>
      </c>
      <c r="AP5" s="966" t="s">
        <v>1196</v>
      </c>
      <c r="AQ5" s="1583" t="s">
        <v>1197</v>
      </c>
      <c r="AR5" s="1583" t="s">
        <v>1198</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商业-独立商业</v>
      </c>
      <c r="B6" s="1585" t="str">
        <f>IF(A6=0,"","经营性")</f>
        <v>经营性</v>
      </c>
      <c r="C6" s="1586" t="s">
        <v>667</v>
      </c>
      <c r="D6" s="803">
        <f>SUMIF(项目基本情况!C$12:I$12,C6,项目基本情况!C$14:I$14)</f>
        <v>40</v>
      </c>
      <c r="E6" s="802">
        <f>IF(B6="","",SUMIF(项目基本情况!C$12:I$12,C6,项目基本情况!C$13:I$13))</f>
        <v>58698</v>
      </c>
      <c r="F6" s="61">
        <f>SUMIF(项目基本情况!C$12:I$12,C6,项目基本情况!C$15:I$15)</f>
        <v>35.58</v>
      </c>
      <c r="G6" s="62">
        <f>IF(ISERROR(ROUND(POWER(1+H6,D6-F6)*(POWER(1+H6,F6)-1)/(POWER(1+H6,D6)-1),3)),0,ROUND(POWER(1+H6,D6-F6)*(POWER(1+H6,F6)-1)/(POWER(1+H6,D6)-1),3))</f>
        <v>0.96</v>
      </c>
      <c r="H6" s="690">
        <v>0.05</v>
      </c>
      <c r="I6" s="690">
        <v>5.5E-2</v>
      </c>
      <c r="J6" s="63">
        <v>7.0000000000000007E-2</v>
      </c>
      <c r="K6" s="968">
        <f>SUMIF('数据-汇总表'!C$19:C$33,A6,'数据-汇总表'!E$19:E$33)</f>
        <v>21279.739999999998</v>
      </c>
      <c r="L6" s="3224">
        <v>5000</v>
      </c>
      <c r="M6" s="64">
        <f t="shared" ref="M6:M14" si="0">ROUND(K6*L6/10000,0)</f>
        <v>10640</v>
      </c>
      <c r="N6" s="3226">
        <v>0.85</v>
      </c>
      <c r="O6" s="64">
        <f>IF($N$5="成新度","——",ROUND(M6*N6,0))</f>
        <v>9044</v>
      </c>
      <c r="P6" s="65">
        <f>IF($N$5="成新度","——",M6-O6)</f>
        <v>1596</v>
      </c>
      <c r="Q6" s="691">
        <v>0.15</v>
      </c>
      <c r="R6" s="66">
        <f ca="1">SUMIF('数据-汇总表'!C$19:C$33,A6,'数据-汇总表'!R$19:R$27)</f>
        <v>6542.04</v>
      </c>
      <c r="S6" s="49">
        <f>IF('数据-汇总表'!$I$17="按面积比例",SUMIF('数据-汇总表'!C$19:C$33,A6,'数据-汇总表'!K$19:K$33),SUMIF('数据-汇总表'!C$19:C$33,A6,'数据-汇总表'!N$19:N$33))</f>
        <v>2717.56</v>
      </c>
      <c r="T6" s="1090">
        <f>ROUND($L$14*S6/10000,0)</f>
        <v>1359</v>
      </c>
      <c r="U6" s="3123">
        <v>3</v>
      </c>
      <c r="V6" s="67">
        <v>0.02</v>
      </c>
      <c r="W6" s="67">
        <v>0.1</v>
      </c>
      <c r="X6" s="977"/>
      <c r="Y6" s="68">
        <v>1</v>
      </c>
      <c r="Z6" s="69"/>
      <c r="AA6" s="63"/>
      <c r="AB6" s="63"/>
      <c r="AC6" s="977"/>
      <c r="AD6" s="70"/>
      <c r="AE6" s="978">
        <f ca="1">IF(AN6="",0,SUMIF(INDIRECT("'"&amp;AN6&amp;"'"&amp;"!E:E"),$AE$5,INDIRECT("'"&amp;AN6&amp;"'"&amp;"!F:F")))</f>
        <v>35.28</v>
      </c>
      <c r="AF6" s="74"/>
      <c r="AG6" s="129">
        <f>IF(AF6="",0,AE6-AF6)</f>
        <v>0</v>
      </c>
      <c r="AH6" s="71">
        <f>'数据-汇总表'!F19+'数据-汇总表'!G19</f>
        <v>21279.739999999998</v>
      </c>
      <c r="AI6" s="73">
        <v>365</v>
      </c>
      <c r="AJ6" s="694"/>
      <c r="AK6" s="694">
        <v>3.0000000000000001E-3</v>
      </c>
      <c r="AL6" s="695">
        <v>1E-3</v>
      </c>
      <c r="AM6" s="105">
        <v>0.01</v>
      </c>
      <c r="AN6" s="1587" t="s">
        <v>3870</v>
      </c>
      <c r="AO6" s="50">
        <f ca="1">SUMIF(INDIRECT("'"&amp;AN6&amp;"'"&amp;"!A:A"),"总价",INDIRECT("'"&amp;AN6&amp;"'"&amp;"!B:B"))</f>
        <v>32944</v>
      </c>
      <c r="AP6" s="1588">
        <f>IF(C6="住宅",K6*L6,0)</f>
        <v>0</v>
      </c>
      <c r="AQ6" s="50">
        <f>ROUND($L$14*$N$14*S6/10000,0)</f>
        <v>1155</v>
      </c>
      <c r="AR6" s="50">
        <f>ROUND($L$14*(1-$N$14)*S6/10000,0)</f>
        <v>204</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hidden="1">
      <c r="A7" s="1584">
        <f>'数据-汇总表'!C20</f>
        <v>0</v>
      </c>
      <c r="B7" s="1585" t="str">
        <f t="shared" ref="B7:B13" si="1">IF(A7=0,"","经营性")</f>
        <v/>
      </c>
      <c r="C7" s="1586"/>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90"/>
      <c r="K7" s="968">
        <f>SUMIF('数据-汇总表'!C$19:C$33,A7,'数据-汇总表'!E$19:E$33)</f>
        <v>0</v>
      </c>
      <c r="L7" s="3224"/>
      <c r="M7" s="64">
        <f t="shared" si="0"/>
        <v>0</v>
      </c>
      <c r="N7" s="689"/>
      <c r="O7" s="64">
        <f t="shared" ref="O7:O14" si="3">IF($N$5="成新度","——",ROUND(M7*N7,0))</f>
        <v>0</v>
      </c>
      <c r="P7" s="65">
        <f t="shared" ref="P7:P14" si="4">IF($N$5="成新度","——",M7-O7)</f>
        <v>0</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3"/>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hidden="1">
      <c r="A8" s="1584">
        <f>'数据-汇总表'!C21</f>
        <v>0</v>
      </c>
      <c r="B8" s="1585" t="str">
        <f t="shared" si="1"/>
        <v/>
      </c>
      <c r="C8" s="1586"/>
      <c r="D8" s="803">
        <f>SUMIF(项目基本情况!C$12:I$12,C8,项目基本情况!C$14:I$14)</f>
        <v>0</v>
      </c>
      <c r="E8" s="802" t="str">
        <f>IF(B8="","",SUMIF(项目基本情况!C$12:I$12,C8,项目基本情况!C$13:I$13))</f>
        <v/>
      </c>
      <c r="F8" s="61">
        <f>SUMIF(项目基本情况!C$12:I$12,C8,项目基本情况!C$15:I$15)</f>
        <v>0</v>
      </c>
      <c r="G8" s="62">
        <f t="shared" si="2"/>
        <v>0</v>
      </c>
      <c r="H8" s="690"/>
      <c r="I8" s="690"/>
      <c r="J8" s="63"/>
      <c r="K8" s="968">
        <f>SUMIF('数据-汇总表'!C$19:C$33,A8,'数据-汇总表'!E$19:E$33)</f>
        <v>0</v>
      </c>
      <c r="L8" s="3224"/>
      <c r="M8" s="64">
        <f>ROUND(K8*L8/10000,0)</f>
        <v>0</v>
      </c>
      <c r="N8" s="689"/>
      <c r="O8" s="64">
        <f t="shared" si="3"/>
        <v>0</v>
      </c>
      <c r="P8" s="65">
        <f t="shared" si="4"/>
        <v>0</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4"/>
      <c r="V8" s="692"/>
      <c r="W8" s="692"/>
      <c r="X8" s="977"/>
      <c r="Y8" s="68"/>
      <c r="Z8" s="69"/>
      <c r="AA8" s="63"/>
      <c r="AB8" s="63"/>
      <c r="AC8" s="977"/>
      <c r="AD8" s="70"/>
      <c r="AE8" s="978">
        <f t="shared" ca="1" si="6"/>
        <v>0</v>
      </c>
      <c r="AF8" s="74"/>
      <c r="AG8" s="129">
        <f t="shared" si="7"/>
        <v>0</v>
      </c>
      <c r="AH8" s="693"/>
      <c r="AI8" s="73">
        <v>365</v>
      </c>
      <c r="AJ8" s="74"/>
      <c r="AK8" s="694"/>
      <c r="AL8" s="695"/>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hidden="1">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3224"/>
      <c r="M9" s="64">
        <f t="shared" si="0"/>
        <v>0</v>
      </c>
      <c r="N9" s="689"/>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3"/>
      <c r="V9" s="67"/>
      <c r="W9" s="67"/>
      <c r="X9" s="977"/>
      <c r="Y9" s="68"/>
      <c r="Z9" s="69"/>
      <c r="AA9" s="63"/>
      <c r="AB9" s="63"/>
      <c r="AC9" s="977"/>
      <c r="AD9" s="70"/>
      <c r="AE9" s="978">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hidden="1">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3224"/>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3"/>
      <c r="V10" s="67"/>
      <c r="W10" s="67"/>
      <c r="X10" s="977"/>
      <c r="Y10" s="68"/>
      <c r="Z10" s="69"/>
      <c r="AA10" s="63"/>
      <c r="AB10" s="63"/>
      <c r="AC10" s="977"/>
      <c r="AD10" s="70"/>
      <c r="AE10" s="978">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hidden="1">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3225"/>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3"/>
      <c r="V11" s="63"/>
      <c r="W11" s="63"/>
      <c r="X11" s="977"/>
      <c r="Y11" s="68"/>
      <c r="Z11" s="80"/>
      <c r="AA11" s="63"/>
      <c r="AB11" s="63"/>
      <c r="AC11" s="977"/>
      <c r="AD11" s="70"/>
      <c r="AE11" s="978">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hidden="1">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3225"/>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3"/>
      <c r="V12" s="63"/>
      <c r="W12" s="63"/>
      <c r="X12" s="977"/>
      <c r="Y12" s="68"/>
      <c r="Z12" s="80"/>
      <c r="AA12" s="63"/>
      <c r="AB12" s="63"/>
      <c r="AC12" s="977"/>
      <c r="AD12" s="70"/>
      <c r="AE12" s="978">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hidden="1">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3225"/>
      <c r="M13" s="64">
        <f>ROUND(K13*L13/10000,0)</f>
        <v>0</v>
      </c>
      <c r="N13" s="79"/>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5"/>
      <c r="V13" s="67"/>
      <c r="W13" s="67"/>
      <c r="X13" s="977"/>
      <c r="Y13" s="68"/>
      <c r="Z13" s="69"/>
      <c r="AA13" s="63"/>
      <c r="AB13" s="63"/>
      <c r="AC13" s="977"/>
      <c r="AD13" s="70"/>
      <c r="AE13" s="978">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1199</v>
      </c>
      <c r="B14" s="1585" t="s">
        <v>1200</v>
      </c>
      <c r="C14" s="1590" t="s">
        <v>1199</v>
      </c>
      <c r="D14" s="803"/>
      <c r="E14" s="802"/>
      <c r="F14" s="61"/>
      <c r="G14" s="62"/>
      <c r="H14" s="967"/>
      <c r="I14" s="967"/>
      <c r="J14" s="967"/>
      <c r="K14" s="968">
        <f>SUMIF('数据-汇总表'!C$19:C$33,A14,'数据-汇总表'!E$19:E$33)</f>
        <v>2717.5600000000004</v>
      </c>
      <c r="L14" s="3225">
        <f>L6</f>
        <v>5000</v>
      </c>
      <c r="M14" s="64">
        <f t="shared" si="0"/>
        <v>1359</v>
      </c>
      <c r="N14" s="79">
        <f>N6</f>
        <v>0.85</v>
      </c>
      <c r="O14" s="64">
        <f t="shared" si="3"/>
        <v>1155</v>
      </c>
      <c r="P14" s="65">
        <f t="shared" si="4"/>
        <v>204</v>
      </c>
      <c r="Q14" s="971"/>
      <c r="R14" s="66"/>
      <c r="S14" s="49"/>
      <c r="T14" s="1090"/>
      <c r="U14" s="636"/>
      <c r="V14" s="973"/>
      <c r="W14" s="973"/>
      <c r="X14" s="974"/>
      <c r="Y14" s="975"/>
      <c r="Z14" s="54"/>
      <c r="AA14" s="976"/>
      <c r="AB14" s="976"/>
      <c r="AC14" s="977"/>
      <c r="AD14" s="974"/>
      <c r="AE14" s="978"/>
      <c r="AF14" s="50"/>
      <c r="AG14" s="129"/>
      <c r="AH14" s="978"/>
      <c r="AI14" s="1264"/>
      <c r="AJ14" s="50"/>
      <c r="AK14" s="979"/>
      <c r="AL14" s="980"/>
      <c r="AM14" s="981"/>
      <c r="AN14" s="2446"/>
      <c r="AO14" s="2436"/>
      <c r="AP14" s="2436"/>
      <c r="AQ14" s="2436"/>
      <c r="AR14" s="2436"/>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1201</v>
      </c>
      <c r="B15" s="1585" t="s">
        <v>1200</v>
      </c>
      <c r="C15" s="1590" t="s">
        <v>1202</v>
      </c>
      <c r="D15" s="803"/>
      <c r="E15" s="802"/>
      <c r="F15" s="61"/>
      <c r="G15" s="62"/>
      <c r="H15" s="967"/>
      <c r="I15" s="967"/>
      <c r="J15" s="967"/>
      <c r="K15" s="968">
        <f>SUMIF('数据-汇总表'!C$19:C$33,A15,'数据-汇总表'!E$19:E$33)</f>
        <v>0</v>
      </c>
      <c r="L15" s="969"/>
      <c r="M15" s="64"/>
      <c r="N15" s="970"/>
      <c r="O15" s="64"/>
      <c r="P15" s="65"/>
      <c r="Q15" s="971"/>
      <c r="R15" s="66"/>
      <c r="S15" s="49"/>
      <c r="T15" s="1090"/>
      <c r="U15" s="636"/>
      <c r="V15" s="973"/>
      <c r="W15" s="973"/>
      <c r="X15" s="974"/>
      <c r="Y15" s="975"/>
      <c r="Z15" s="54"/>
      <c r="AA15" s="976"/>
      <c r="AB15" s="976"/>
      <c r="AC15" s="977"/>
      <c r="AD15" s="974"/>
      <c r="AE15" s="978"/>
      <c r="AF15" s="50"/>
      <c r="AG15" s="129"/>
      <c r="AH15" s="978"/>
      <c r="AI15" s="1264"/>
      <c r="AJ15" s="50"/>
      <c r="AK15" s="979"/>
      <c r="AL15" s="980"/>
      <c r="AM15" s="981"/>
      <c r="AN15" s="2446"/>
      <c r="AO15" s="2436"/>
      <c r="AP15" s="2436"/>
      <c r="AQ15" s="2436"/>
      <c r="AR15" s="2436"/>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1203</v>
      </c>
      <c r="B16" s="81"/>
      <c r="C16" s="781"/>
      <c r="D16" s="1592"/>
      <c r="E16" s="81"/>
      <c r="F16" s="81"/>
      <c r="G16" s="82">
        <f>ROUND(SUMPRODUCT(G6:G13,K6:K13)/SUMPRODUCT((G6:G13&gt;0)*(K6:K13)),3)</f>
        <v>0.96</v>
      </c>
      <c r="H16" s="83">
        <f>ROUND(SUMPRODUCT(H6:H13,K6:K13)/SUMPRODUCT((H6:H13&gt;0)*(K6:K13)),3)</f>
        <v>0.05</v>
      </c>
      <c r="I16" s="84"/>
      <c r="J16" s="84"/>
      <c r="K16" s="85">
        <f>SUM(K6:K15)</f>
        <v>23997.3</v>
      </c>
      <c r="L16" s="86">
        <f>ROUND(M16*10000/SUM(K6:K14),0)</f>
        <v>5000</v>
      </c>
      <c r="M16" s="86">
        <f>SUM(M6:M14)</f>
        <v>11999</v>
      </c>
      <c r="N16" s="87">
        <f>ROUND(SUMPRODUCT(M6:M14,N6:N14)/M16,3)</f>
        <v>0.85</v>
      </c>
      <c r="O16" s="86">
        <f>SUM(O6:O14)</f>
        <v>10199</v>
      </c>
      <c r="P16" s="86">
        <f>SUM(P6:P14)</f>
        <v>1800</v>
      </c>
      <c r="Q16" s="88">
        <f>ROUND(SUMPRODUCT(Q6:Q13,K6:K13)/SUMPRODUCT((Q6:Q13&gt;0)*(K6:K13)),2)</f>
        <v>0.15</v>
      </c>
      <c r="R16" s="972">
        <f ca="1">SUM(R6:R13)</f>
        <v>6542.04</v>
      </c>
      <c r="S16" s="89">
        <f>SUM(S6:S13)</f>
        <v>2717.56</v>
      </c>
      <c r="T16" s="90">
        <f>IF(SUMIF(T6:T13,"&lt;9E307")=M14,SUMIF(T6:T13,"&lt;9E307"),"有误，请检查")</f>
        <v>1359</v>
      </c>
      <c r="U16" s="91"/>
      <c r="V16" s="92"/>
      <c r="W16" s="92"/>
      <c r="X16" s="95"/>
      <c r="Y16" s="93"/>
      <c r="Z16" s="94"/>
      <c r="AA16" s="92"/>
      <c r="AB16" s="92"/>
      <c r="AC16" s="95"/>
      <c r="AD16" s="95"/>
      <c r="AE16" s="91"/>
      <c r="AF16" s="92"/>
      <c r="AG16" s="93"/>
      <c r="AH16" s="91"/>
      <c r="AI16" s="94"/>
      <c r="AJ16" s="94"/>
      <c r="AK16" s="92"/>
      <c r="AL16" s="92"/>
      <c r="AM16" s="93"/>
      <c r="AN16" s="2446"/>
      <c r="AO16" s="2436"/>
      <c r="AP16" s="2436"/>
      <c r="AQ16" s="2436"/>
      <c r="AR16" s="2436"/>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1204</v>
      </c>
      <c r="B18" s="2458"/>
      <c r="C18" s="2436"/>
      <c r="D18" s="2449"/>
      <c r="E18" s="2436"/>
      <c r="F18" s="2436"/>
      <c r="G18" s="2436"/>
      <c r="H18" s="2436"/>
      <c r="I18" s="2436"/>
      <c r="J18" s="2436"/>
      <c r="K18" s="2447"/>
      <c r="L18" s="2447"/>
      <c r="M18" s="2446"/>
      <c r="N18" s="2446"/>
      <c r="O18" s="2446"/>
      <c r="P18" s="2446"/>
      <c r="Q18" s="2446">
        <f>Q16/B20</f>
        <v>7.4999999999999997E-2</v>
      </c>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4" t="s">
        <v>1205</v>
      </c>
      <c r="B19" s="96">
        <v>0</v>
      </c>
      <c r="C19" s="2558" t="s">
        <v>2292</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5" t="s">
        <v>1206</v>
      </c>
      <c r="B20" s="97">
        <v>2</v>
      </c>
      <c r="C20" s="2559" t="s">
        <v>2290</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3171" t="s">
        <v>3871</v>
      </c>
      <c r="AA20" s="3171" t="s">
        <v>3875</v>
      </c>
      <c r="AB20" s="3171" t="s">
        <v>3876</v>
      </c>
      <c r="AC20" s="3171" t="s">
        <v>3872</v>
      </c>
      <c r="AD20" s="2447"/>
      <c r="AE20" s="2446"/>
      <c r="AF20" s="2446"/>
      <c r="AG20" s="2446"/>
      <c r="AH20" s="2446"/>
      <c r="AI20" s="2446"/>
      <c r="AJ20" s="2446"/>
      <c r="AK20" s="2446"/>
      <c r="AL20" s="2446"/>
      <c r="AM20" s="2446"/>
      <c r="AN20" s="2446"/>
      <c r="AO20" s="2446"/>
      <c r="AP20" s="2446"/>
      <c r="AQ20" s="2446"/>
      <c r="AR20" s="2446"/>
    </row>
    <row r="21" spans="1:44" ht="14.25">
      <c r="A21" s="1596" t="s">
        <v>1207</v>
      </c>
      <c r="B21" s="97">
        <f>N16*B20</f>
        <v>1.7</v>
      </c>
      <c r="C21" s="2436"/>
      <c r="D21" s="2449"/>
      <c r="E21" s="2436"/>
      <c r="F21" s="2436"/>
      <c r="G21" s="2436"/>
      <c r="H21" s="2436"/>
      <c r="I21" s="2436"/>
      <c r="J21" s="2436"/>
      <c r="K21" s="2447"/>
      <c r="L21" s="2447"/>
      <c r="M21" s="3172" t="s">
        <v>3450</v>
      </c>
      <c r="N21" s="2446"/>
      <c r="O21" s="2446"/>
      <c r="P21" s="2446"/>
      <c r="Q21" s="2446"/>
      <c r="R21" s="2446"/>
      <c r="S21" s="2446"/>
      <c r="T21" s="2446"/>
      <c r="U21" s="2446"/>
      <c r="V21" s="2446"/>
      <c r="W21" s="2446"/>
      <c r="X21" s="2446"/>
      <c r="Y21" s="2446"/>
      <c r="Z21" s="2447">
        <v>1</v>
      </c>
      <c r="AA21" s="2447">
        <f>ROUND('数据-基础表'!I13/4,2)</f>
        <v>4450.38</v>
      </c>
      <c r="AB21" s="2447">
        <v>1</v>
      </c>
      <c r="AC21" s="2447">
        <v>5</v>
      </c>
      <c r="AD21" s="2447">
        <f>AA21*AC21</f>
        <v>22251.9</v>
      </c>
      <c r="AE21" s="2446"/>
      <c r="AF21" s="2446"/>
      <c r="AG21" s="2446"/>
      <c r="AH21" s="2446"/>
      <c r="AI21" s="2446"/>
      <c r="AJ21" s="2446"/>
      <c r="AK21" s="2446"/>
      <c r="AL21" s="2446"/>
      <c r="AM21" s="2446"/>
      <c r="AN21" s="2446"/>
      <c r="AO21" s="2446"/>
      <c r="AP21" s="2446"/>
      <c r="AQ21" s="2446"/>
      <c r="AR21" s="2446"/>
    </row>
    <row r="22" spans="1:44" ht="14.25">
      <c r="A22" s="1595" t="s">
        <v>1208</v>
      </c>
      <c r="B22" s="98">
        <f>B19+B20</f>
        <v>2</v>
      </c>
      <c r="C22" s="2436"/>
      <c r="D22" s="2449"/>
      <c r="E22" s="2436"/>
      <c r="F22" s="2436"/>
      <c r="G22" s="2436"/>
      <c r="H22" s="2436"/>
      <c r="I22" s="2436"/>
      <c r="J22" s="2436"/>
      <c r="K22" s="2447"/>
      <c r="L22" s="2436"/>
      <c r="M22" s="2447"/>
      <c r="N22" s="3171" t="s">
        <v>3441</v>
      </c>
      <c r="O22" s="3172" t="s">
        <v>3443</v>
      </c>
      <c r="P22" s="3172" t="s">
        <v>3442</v>
      </c>
      <c r="Q22" s="2446"/>
      <c r="R22" s="2446"/>
      <c r="S22" s="2446"/>
      <c r="T22" s="2446"/>
      <c r="U22" s="2446"/>
      <c r="V22" s="2446"/>
      <c r="W22" s="2446"/>
      <c r="X22" s="2446"/>
      <c r="Y22" s="2446"/>
      <c r="Z22" s="2447">
        <v>2</v>
      </c>
      <c r="AA22" s="2447">
        <f>AA21</f>
        <v>4450.38</v>
      </c>
      <c r="AB22" s="2447">
        <v>0.7</v>
      </c>
      <c r="AC22" s="2447">
        <f>$AC$21*AB22</f>
        <v>3.5</v>
      </c>
      <c r="AD22" s="2447">
        <f t="shared" ref="AD22:AD25" si="12">AA22*AC22</f>
        <v>15576.33</v>
      </c>
      <c r="AE22" s="2446"/>
      <c r="AF22" s="2446"/>
      <c r="AG22" s="2446"/>
      <c r="AH22" s="2446"/>
      <c r="AI22" s="2446"/>
      <c r="AJ22" s="2446"/>
      <c r="AK22" s="2446"/>
      <c r="AL22" s="2446"/>
      <c r="AM22" s="2446"/>
      <c r="AN22" s="2446"/>
      <c r="AO22" s="2446"/>
      <c r="AP22" s="2446"/>
      <c r="AQ22" s="2446"/>
      <c r="AR22" s="2446"/>
    </row>
    <row r="23" spans="1:44" ht="14.25">
      <c r="A23" s="1596" t="s">
        <v>1209</v>
      </c>
      <c r="B23" s="98">
        <f>B19+B21</f>
        <v>1.7</v>
      </c>
      <c r="C23" s="2436"/>
      <c r="D23" s="2449"/>
      <c r="E23" s="2436"/>
      <c r="F23" s="2436"/>
      <c r="G23" s="2436"/>
      <c r="H23" s="2436"/>
      <c r="I23" s="2436"/>
      <c r="J23" s="2436"/>
      <c r="K23" s="2447"/>
      <c r="L23" s="2436"/>
      <c r="M23" s="3173" t="s">
        <v>3436</v>
      </c>
      <c r="N23" s="3174"/>
      <c r="O23" s="3175"/>
      <c r="P23" s="3174"/>
      <c r="Q23" s="3172" t="s">
        <v>3444</v>
      </c>
      <c r="R23" s="2446"/>
      <c r="S23" s="3191"/>
      <c r="T23" s="3192" t="s">
        <v>3444</v>
      </c>
      <c r="U23" s="3192" t="s">
        <v>3449</v>
      </c>
      <c r="V23" s="3191" t="s">
        <v>3938</v>
      </c>
      <c r="W23" s="2446"/>
      <c r="X23" s="2446"/>
      <c r="Y23" s="2446"/>
      <c r="Z23" s="2447">
        <v>3</v>
      </c>
      <c r="AA23" s="2447">
        <f>AA21</f>
        <v>4450.38</v>
      </c>
      <c r="AB23" s="2447">
        <v>0.6</v>
      </c>
      <c r="AC23" s="2447">
        <f t="shared" ref="AC23:AC24" si="13">$AC$21*AB23</f>
        <v>3</v>
      </c>
      <c r="AD23" s="2447">
        <f t="shared" si="12"/>
        <v>13351.14</v>
      </c>
      <c r="AE23" s="2446"/>
      <c r="AF23" s="2446"/>
      <c r="AG23" s="2446"/>
      <c r="AH23" s="2446"/>
      <c r="AI23" s="2446"/>
      <c r="AJ23" s="2446"/>
      <c r="AK23" s="2446"/>
      <c r="AL23" s="2446"/>
      <c r="AM23" s="2446"/>
      <c r="AN23" s="2446"/>
      <c r="AO23" s="2446"/>
      <c r="AP23" s="2446"/>
      <c r="AQ23" s="2446"/>
      <c r="AR23" s="2446"/>
    </row>
    <row r="24" spans="1:44" ht="15" thickBot="1">
      <c r="A24" s="1597" t="s">
        <v>1210</v>
      </c>
      <c r="B24" s="99">
        <f>B20-B21</f>
        <v>0.30000000000000004</v>
      </c>
      <c r="C24" s="2436"/>
      <c r="D24" s="2449"/>
      <c r="E24" s="2436"/>
      <c r="F24" s="2436"/>
      <c r="G24" s="2436"/>
      <c r="H24" s="2436"/>
      <c r="I24" s="2436"/>
      <c r="J24" s="2436"/>
      <c r="K24" s="2447"/>
      <c r="L24" s="2436"/>
      <c r="M24" s="3176" t="s">
        <v>3437</v>
      </c>
      <c r="N24" s="3177">
        <f>N25+N26</f>
        <v>23997.3</v>
      </c>
      <c r="O24" s="3178">
        <f>P24/N24</f>
        <v>2100.3279535614424</v>
      </c>
      <c r="P24" s="3179">
        <f>P25+P26</f>
        <v>50402200</v>
      </c>
      <c r="Q24" s="3180">
        <f>P24/P30</f>
        <v>0.42991889985143711</v>
      </c>
      <c r="R24" s="3172"/>
      <c r="S24" s="3191" t="s">
        <v>3437</v>
      </c>
      <c r="T24" s="3193">
        <v>0.5</v>
      </c>
      <c r="U24" s="3193">
        <f>ROUND(T24*(U25+U26),2)</f>
        <v>0.5</v>
      </c>
      <c r="V24" s="3193">
        <v>1</v>
      </c>
      <c r="W24" s="2446"/>
      <c r="X24" s="2446"/>
      <c r="Y24" s="2446"/>
      <c r="Z24" s="2447">
        <v>4</v>
      </c>
      <c r="AA24" s="2447">
        <f>'数据-基础表'!I13-'数据-取费表'!AA21-'数据-取费表'!AA22-'数据-取费表'!AA23</f>
        <v>4450.3599999999979</v>
      </c>
      <c r="AB24" s="2447">
        <v>0.55000000000000004</v>
      </c>
      <c r="AC24" s="2447">
        <f t="shared" si="13"/>
        <v>2.75</v>
      </c>
      <c r="AD24" s="2447">
        <f t="shared" si="12"/>
        <v>12238.489999999994</v>
      </c>
      <c r="AE24" s="2446"/>
      <c r="AF24" s="2446"/>
      <c r="AG24" s="2446"/>
      <c r="AH24" s="2446"/>
      <c r="AI24" s="2446"/>
      <c r="AJ24" s="2446"/>
      <c r="AK24" s="2446"/>
      <c r="AL24" s="2446"/>
      <c r="AM24" s="2446"/>
      <c r="AN24" s="2446"/>
      <c r="AO24" s="2446"/>
      <c r="AP24" s="2446"/>
      <c r="AQ24" s="2446"/>
      <c r="AR24" s="2446"/>
    </row>
    <row r="25" spans="1:44" ht="15" thickBot="1">
      <c r="A25" s="1447"/>
      <c r="B25" s="1540"/>
      <c r="C25" s="2436"/>
      <c r="D25" s="2449"/>
      <c r="E25" s="2436"/>
      <c r="F25" s="2436"/>
      <c r="G25" s="2436"/>
      <c r="H25" s="2436"/>
      <c r="I25" s="2436"/>
      <c r="J25" s="2436"/>
      <c r="K25" s="2447"/>
      <c r="L25" s="2436"/>
      <c r="M25" s="3181" t="s">
        <v>3415</v>
      </c>
      <c r="N25" s="3182">
        <f>面积指标!C69-面积指标!F69</f>
        <v>18234.8</v>
      </c>
      <c r="O25" s="3183">
        <v>1500</v>
      </c>
      <c r="P25" s="3183">
        <f>O25*N25</f>
        <v>27352200</v>
      </c>
      <c r="Q25" s="3184">
        <f>P25/P24</f>
        <v>0.54267869259675172</v>
      </c>
      <c r="R25" s="3172"/>
      <c r="S25" s="3191" t="s">
        <v>3415</v>
      </c>
      <c r="T25" s="3193">
        <v>0.7</v>
      </c>
      <c r="U25" s="3193">
        <f>T25*V25</f>
        <v>0.7</v>
      </c>
      <c r="V25" s="3193">
        <v>1</v>
      </c>
      <c r="W25" s="2446"/>
      <c r="X25" s="2446"/>
      <c r="Y25" s="2446"/>
      <c r="Z25" s="3171" t="s">
        <v>3873</v>
      </c>
      <c r="AA25" s="2447">
        <f>'数据-基础表'!K13</f>
        <v>3478.24</v>
      </c>
      <c r="AB25" s="2447"/>
      <c r="AC25" s="2447">
        <f>ROUND(300/30/30,1)</f>
        <v>0.3</v>
      </c>
      <c r="AD25" s="2447">
        <f t="shared" si="12"/>
        <v>1043.472</v>
      </c>
      <c r="AE25" s="2446"/>
      <c r="AF25" s="2446"/>
      <c r="AG25" s="2446"/>
      <c r="AH25" s="2446"/>
      <c r="AI25" s="2446"/>
      <c r="AJ25" s="2446"/>
      <c r="AK25" s="2446"/>
      <c r="AL25" s="2446"/>
      <c r="AM25" s="2446"/>
      <c r="AN25" s="2446"/>
      <c r="AO25" s="2446"/>
      <c r="AP25" s="2446"/>
      <c r="AQ25" s="2446"/>
      <c r="AR25" s="2446"/>
    </row>
    <row r="26" spans="1:44" ht="15" thickBot="1">
      <c r="A26" s="1560" t="s">
        <v>1211</v>
      </c>
      <c r="B26" s="1598" t="s">
        <v>1212</v>
      </c>
      <c r="C26" s="2450" t="s">
        <v>1213</v>
      </c>
      <c r="D26" s="2449"/>
      <c r="E26" s="2436"/>
      <c r="F26" s="2436"/>
      <c r="G26" s="2436"/>
      <c r="H26" s="2436"/>
      <c r="I26" s="2436"/>
      <c r="J26" s="2436"/>
      <c r="K26" s="2447"/>
      <c r="L26" s="3185"/>
      <c r="M26" s="3181" t="s">
        <v>3420</v>
      </c>
      <c r="N26" s="3182">
        <f>面积指标!G69-面积指标!J69</f>
        <v>5762.5</v>
      </c>
      <c r="O26" s="52">
        <v>4000</v>
      </c>
      <c r="P26" s="3183">
        <f t="shared" ref="P26:P29" si="14">O26*N26</f>
        <v>23050000</v>
      </c>
      <c r="Q26" s="3184">
        <f>P26/P24</f>
        <v>0.45732130740324828</v>
      </c>
      <c r="R26" s="3172"/>
      <c r="S26" s="3191" t="s">
        <v>3420</v>
      </c>
      <c r="T26" s="3193">
        <v>0.3</v>
      </c>
      <c r="U26" s="3193">
        <f>T26*V26</f>
        <v>0.3</v>
      </c>
      <c r="V26" s="3193">
        <v>1</v>
      </c>
      <c r="W26" s="2446"/>
      <c r="X26" s="2446"/>
      <c r="Y26" s="2446"/>
      <c r="Z26" s="3172" t="s">
        <v>3874</v>
      </c>
      <c r="AA26" s="2446">
        <f>AA21+AA22+AA23+AA24+AA25</f>
        <v>21279.739999999998</v>
      </c>
      <c r="AB26" s="2446"/>
      <c r="AC26" s="2446">
        <f>ROUND(AD26/AA26,1)</f>
        <v>3</v>
      </c>
      <c r="AD26" s="2446">
        <f t="shared" ref="AD26" si="15">AD21+AD22+AD23+AD24+AD25</f>
        <v>64461.332000000002</v>
      </c>
      <c r="AE26" s="2446"/>
      <c r="AF26" s="2446"/>
      <c r="AG26" s="2446"/>
      <c r="AH26" s="2446"/>
      <c r="AI26" s="2446"/>
      <c r="AJ26" s="2446"/>
      <c r="AK26" s="2446"/>
      <c r="AL26" s="2446"/>
      <c r="AM26" s="2446"/>
      <c r="AN26" s="2446"/>
      <c r="AO26" s="2446"/>
      <c r="AP26" s="2446"/>
      <c r="AQ26" s="2446"/>
      <c r="AR26" s="2446"/>
    </row>
    <row r="27" spans="1:44" ht="27.75">
      <c r="A27" s="1599" t="s">
        <v>1214</v>
      </c>
      <c r="B27" s="100">
        <v>160</v>
      </c>
      <c r="C27" s="2560" t="s">
        <v>2294</v>
      </c>
      <c r="D27" s="2452"/>
      <c r="E27" s="2437"/>
      <c r="F27" s="2437"/>
      <c r="G27" s="2436"/>
      <c r="H27" s="2436"/>
      <c r="I27" s="2436"/>
      <c r="J27" s="2436"/>
      <c r="K27" s="2447"/>
      <c r="L27" s="2436"/>
      <c r="M27" s="3176" t="s">
        <v>3438</v>
      </c>
      <c r="N27" s="3177">
        <f>N24</f>
        <v>23997.3</v>
      </c>
      <c r="O27" s="2229">
        <v>800</v>
      </c>
      <c r="P27" s="3183">
        <f t="shared" si="14"/>
        <v>19197840</v>
      </c>
      <c r="Q27" s="3180">
        <f>P27/P30</f>
        <v>0.16375305546829133</v>
      </c>
      <c r="R27" s="3172"/>
      <c r="S27" s="3191" t="s">
        <v>3438</v>
      </c>
      <c r="T27" s="3193">
        <v>0.25</v>
      </c>
      <c r="U27" s="3194">
        <f t="shared" ref="U27:U28" si="16">T27*V27</f>
        <v>0.15</v>
      </c>
      <c r="V27" s="3193">
        <v>0.6</v>
      </c>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0" t="s">
        <v>1215</v>
      </c>
      <c r="B28" s="102">
        <v>200</v>
      </c>
      <c r="C28" s="2453"/>
      <c r="D28" s="2452"/>
      <c r="E28" s="2437"/>
      <c r="F28" s="2437"/>
      <c r="G28" s="2436"/>
      <c r="H28" s="2436"/>
      <c r="I28" s="2436"/>
      <c r="J28" s="2436"/>
      <c r="K28" s="2447"/>
      <c r="L28" s="2436"/>
      <c r="M28" s="3176" t="s">
        <v>3439</v>
      </c>
      <c r="N28" s="3177">
        <f>N24</f>
        <v>23997.3</v>
      </c>
      <c r="O28" s="2229">
        <v>1300</v>
      </c>
      <c r="P28" s="3183">
        <f t="shared" si="14"/>
        <v>31196490</v>
      </c>
      <c r="Q28" s="3180">
        <f>P28/P30</f>
        <v>0.26609871513597338</v>
      </c>
      <c r="R28" s="3172"/>
      <c r="S28" s="3191" t="s">
        <v>3439</v>
      </c>
      <c r="T28" s="3193">
        <v>0.25</v>
      </c>
      <c r="U28" s="3194">
        <f t="shared" si="16"/>
        <v>0.2</v>
      </c>
      <c r="V28" s="3193">
        <v>0.8</v>
      </c>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1" t="s">
        <v>1216</v>
      </c>
      <c r="B29" s="104">
        <f ca="1">成本法!C10</f>
        <v>480</v>
      </c>
      <c r="C29" s="2561" t="s">
        <v>2284</v>
      </c>
      <c r="D29" s="2452"/>
      <c r="E29" s="2437"/>
      <c r="F29" s="2437"/>
      <c r="G29" s="2436"/>
      <c r="H29" s="2436"/>
      <c r="I29" s="2436"/>
      <c r="J29" s="2436"/>
      <c r="K29" s="2447"/>
      <c r="L29" s="2436"/>
      <c r="M29" s="3173" t="s">
        <v>3445</v>
      </c>
      <c r="N29" s="3179">
        <f>面积指标!F69+面积指标!J69</f>
        <v>4110</v>
      </c>
      <c r="O29" s="3178">
        <f>O26</f>
        <v>4000</v>
      </c>
      <c r="P29" s="3178">
        <f t="shared" si="14"/>
        <v>16440000</v>
      </c>
      <c r="Q29" s="3186">
        <f>P29/P30</f>
        <v>0.14022932954429818</v>
      </c>
      <c r="R29" s="2446"/>
      <c r="S29" s="3191"/>
      <c r="T29" s="3193"/>
      <c r="U29" s="3193"/>
      <c r="V29" s="3193"/>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2" t="s">
        <v>1217</v>
      </c>
      <c r="B30" s="637">
        <v>200</v>
      </c>
      <c r="C30" s="2453"/>
      <c r="D30" s="2452"/>
      <c r="E30" s="2437"/>
      <c r="F30" s="2437"/>
      <c r="G30" s="2436"/>
      <c r="H30" s="2436"/>
      <c r="I30" s="2436"/>
      <c r="J30" s="2436"/>
      <c r="K30" s="2447"/>
      <c r="L30" s="3187"/>
      <c r="M30" s="3173" t="s">
        <v>3446</v>
      </c>
      <c r="N30" s="3195">
        <f>N24+N29</f>
        <v>28107.3</v>
      </c>
      <c r="O30" s="3196">
        <f>P30/N30</f>
        <v>4171.0349268695318</v>
      </c>
      <c r="P30" s="3175">
        <f>P24+P27+P28+P29</f>
        <v>117236530</v>
      </c>
      <c r="Q30" s="3188">
        <f>Q24+Q27+Q28+Q29</f>
        <v>1</v>
      </c>
      <c r="R30" s="2446"/>
      <c r="S30" s="3191" t="s">
        <v>3939</v>
      </c>
      <c r="T30" s="3194">
        <f>T24+T27+T28</f>
        <v>1</v>
      </c>
      <c r="U30" s="3194">
        <f>U24+U27+U28</f>
        <v>0.85000000000000009</v>
      </c>
      <c r="V30" s="3193"/>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0" t="s">
        <v>1218</v>
      </c>
      <c r="B31" s="103">
        <f>B30-B32</f>
        <v>200</v>
      </c>
      <c r="C31" s="2451"/>
      <c r="D31" s="2452"/>
      <c r="E31" s="2437"/>
      <c r="F31" s="2437"/>
      <c r="G31" s="2436"/>
      <c r="H31" s="2436"/>
      <c r="I31" s="2436"/>
      <c r="J31" s="2436"/>
      <c r="K31" s="2447"/>
      <c r="L31" s="2436"/>
      <c r="M31" s="3171" t="s">
        <v>3440</v>
      </c>
      <c r="N31" s="3189">
        <v>0.02</v>
      </c>
      <c r="O31" s="2446"/>
      <c r="P31" s="2446">
        <f>P30*N31</f>
        <v>2344730.6</v>
      </c>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3" t="s">
        <v>1219</v>
      </c>
      <c r="B32" s="638">
        <v>0</v>
      </c>
      <c r="C32" s="2453"/>
      <c r="D32" s="2449"/>
      <c r="E32" s="2436"/>
      <c r="F32" s="2436"/>
      <c r="G32" s="2436"/>
      <c r="H32" s="2436"/>
      <c r="I32" s="2436"/>
      <c r="J32" s="2436"/>
      <c r="K32" s="2447"/>
      <c r="L32" s="2436"/>
      <c r="M32" s="3172" t="s">
        <v>3455</v>
      </c>
      <c r="N32" s="2447"/>
      <c r="O32" s="2446"/>
      <c r="P32" s="3197">
        <f>P30+P31</f>
        <v>119581260.59999999</v>
      </c>
      <c r="Q32" s="2446"/>
      <c r="R32" s="2446"/>
      <c r="S32" s="3172" t="s">
        <v>3937</v>
      </c>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9" t="s">
        <v>1220</v>
      </c>
      <c r="B33" s="639">
        <v>0.05</v>
      </c>
      <c r="C33" s="2562" t="s">
        <v>3372</v>
      </c>
      <c r="D33" s="2449"/>
      <c r="E33" s="2436"/>
      <c r="F33" s="2436"/>
      <c r="G33" s="2436"/>
      <c r="H33" s="2436"/>
      <c r="I33" s="2436"/>
      <c r="J33" s="2436"/>
      <c r="K33" s="2447"/>
      <c r="L33" s="3185" t="s">
        <v>3452</v>
      </c>
      <c r="M33" s="3171" t="s">
        <v>3447</v>
      </c>
      <c r="N33" s="3171" t="s">
        <v>3448</v>
      </c>
      <c r="O33" s="3172" t="s">
        <v>3454</v>
      </c>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0" t="s">
        <v>1221</v>
      </c>
      <c r="B34" s="105"/>
      <c r="C34" s="2562" t="s">
        <v>2285</v>
      </c>
      <c r="D34" s="2457" t="s">
        <v>2291</v>
      </c>
      <c r="E34" s="2455"/>
      <c r="F34" s="2436"/>
      <c r="G34" s="2436"/>
      <c r="H34" s="2436"/>
      <c r="I34" s="2436"/>
      <c r="J34" s="2436"/>
      <c r="K34" s="2447"/>
      <c r="L34" s="3185" t="s">
        <v>3847</v>
      </c>
      <c r="M34" s="3190">
        <f>K6</f>
        <v>21279.739999999998</v>
      </c>
      <c r="N34" s="2447">
        <v>5000</v>
      </c>
      <c r="O34" s="2446">
        <f>N34*M34</f>
        <v>106398699.99999999</v>
      </c>
      <c r="P34" s="2446"/>
      <c r="Q34" s="3172"/>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0" t="s">
        <v>1222</v>
      </c>
      <c r="B35" s="3223">
        <v>200</v>
      </c>
      <c r="C35" s="2562" t="s">
        <v>2286</v>
      </c>
      <c r="D35" s="2452"/>
      <c r="E35" s="2437"/>
      <c r="F35" s="2437"/>
      <c r="G35" s="2436"/>
      <c r="H35" s="2436"/>
      <c r="I35" s="2436"/>
      <c r="J35" s="2436"/>
      <c r="K35" s="2447"/>
      <c r="L35" s="3185" t="s">
        <v>3453</v>
      </c>
      <c r="M35" s="3190">
        <f>K14</f>
        <v>2717.5600000000004</v>
      </c>
      <c r="N35" s="2447">
        <v>5000</v>
      </c>
      <c r="O35" s="2446">
        <f t="shared" ref="O35" si="17">N35*M35</f>
        <v>13587800.000000002</v>
      </c>
      <c r="P35" s="2446"/>
      <c r="Q35" s="3184"/>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1" t="s">
        <v>1223</v>
      </c>
      <c r="B36" s="106">
        <v>0.03</v>
      </c>
      <c r="C36" s="2562" t="s">
        <v>3390</v>
      </c>
      <c r="D36" s="2449"/>
      <c r="E36" s="2436"/>
      <c r="F36" s="2436"/>
      <c r="G36" s="2436"/>
      <c r="H36" s="2436"/>
      <c r="I36" s="2436"/>
      <c r="J36" s="2436"/>
      <c r="K36" s="2447"/>
      <c r="L36" s="3185" t="s">
        <v>2580</v>
      </c>
      <c r="M36" s="3190">
        <f>M34+M35</f>
        <v>23997.3</v>
      </c>
      <c r="N36" s="2447">
        <f>ROUND(O36/M36,0)</f>
        <v>5000</v>
      </c>
      <c r="O36" s="2446">
        <f>O34+O35</f>
        <v>119986499.99999999</v>
      </c>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2" t="s">
        <v>1224</v>
      </c>
      <c r="B37" s="107">
        <v>0.03</v>
      </c>
      <c r="C37" s="2562" t="s">
        <v>3373</v>
      </c>
      <c r="D37" s="2449"/>
      <c r="E37" s="2436"/>
      <c r="F37" s="2436"/>
      <c r="G37" s="2436"/>
      <c r="H37" s="2436"/>
      <c r="I37" s="2436"/>
      <c r="J37" s="2436"/>
      <c r="K37" s="2447"/>
      <c r="L37" s="3185"/>
      <c r="M37" s="3190"/>
      <c r="N37" s="2447"/>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0" t="s">
        <v>1225</v>
      </c>
      <c r="B38" s="105">
        <v>0.03</v>
      </c>
      <c r="C38" s="2562" t="s">
        <v>3374</v>
      </c>
      <c r="D38" s="2449"/>
      <c r="E38" s="2436"/>
      <c r="F38" s="2436"/>
      <c r="G38" s="2436"/>
      <c r="H38" s="2436"/>
      <c r="I38" s="2436"/>
      <c r="J38" s="2436"/>
      <c r="K38" s="2447"/>
      <c r="L38" s="3185"/>
      <c r="M38" s="3190"/>
      <c r="N38" s="2447"/>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3" t="s">
        <v>1226</v>
      </c>
      <c r="B39" s="308">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2300</v>
      </c>
      <c r="B40" s="1013">
        <f ca="1">IF(A40="利息：取LPR",存贷款利率!G1,存贷款利率!G1+C40)</f>
        <v>3.1E-2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9" t="s">
        <v>1227</v>
      </c>
      <c r="B41" s="108">
        <f>B42+B43</f>
        <v>5.5000000000000007E-2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4" t="s">
        <v>1228</v>
      </c>
      <c r="B42" s="109">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4" t="s">
        <v>1229</v>
      </c>
      <c r="B43" s="110">
        <f>B42*(B44+B45+B46)+B47</f>
        <v>5.000000000000001E-3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5" t="s">
        <v>1230</v>
      </c>
      <c r="B44" s="111">
        <v>0.05</v>
      </c>
      <c r="C44" s="2562" t="s">
        <v>3375</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5" t="s">
        <v>1231</v>
      </c>
      <c r="B45" s="109">
        <v>0.03</v>
      </c>
      <c r="C45" s="2561" t="s">
        <v>2287</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5" t="s">
        <v>1232</v>
      </c>
      <c r="B46" s="109">
        <v>0.02</v>
      </c>
      <c r="C46" s="2561" t="s">
        <v>2288</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6" t="s">
        <v>1233</v>
      </c>
      <c r="B47" s="112"/>
      <c r="C47" s="2564" t="s">
        <v>2295</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7" t="s">
        <v>1234</v>
      </c>
      <c r="B48" s="113">
        <v>0.03</v>
      </c>
      <c r="C48" s="2561" t="s">
        <v>2287</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3" t="s">
        <v>1235</v>
      </c>
      <c r="B49" s="109">
        <v>5.0000000000000001E-4</v>
      </c>
      <c r="C49" s="2561" t="s">
        <v>2289</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8" t="s">
        <v>1236</v>
      </c>
      <c r="B50" s="114">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1" t="s">
        <v>1237</v>
      </c>
      <c r="B51" s="115">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8" t="s">
        <v>1238</v>
      </c>
      <c r="B52" s="116">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0" t="s">
        <v>1239</v>
      </c>
      <c r="B53" s="1609" t="s">
        <v>29</v>
      </c>
      <c r="C53" s="2437" t="s">
        <v>1240</v>
      </c>
      <c r="D53" s="2563" t="s">
        <v>2293</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0" t="s">
        <v>1241</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0" t="s">
        <v>1242</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0" t="s">
        <v>1243</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0" t="s">
        <v>1244</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0" t="s">
        <v>1245</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0" t="s">
        <v>1246</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0" t="s">
        <v>1247</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0" t="s">
        <v>1248</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0" t="s">
        <v>1249</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1" t="s">
        <v>1250</v>
      </c>
      <c r="B63" s="117"/>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9" customWidth="1"/>
    <col min="19" max="29" width="9" style="749"/>
    <col min="30" max="16384" width="9" style="1520"/>
  </cols>
  <sheetData>
    <row r="1" spans="1:29" s="2256" customFormat="1" ht="18.75" thickBot="1">
      <c r="A1" s="3325" t="s">
        <v>2276</v>
      </c>
      <c r="B1" s="3326"/>
      <c r="C1" s="3326"/>
      <c r="D1" s="3326"/>
      <c r="E1" s="3326"/>
      <c r="F1" s="3326"/>
      <c r="G1" s="3326"/>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2271</v>
      </c>
      <c r="D2" s="1593"/>
      <c r="E2" s="2257"/>
      <c r="F2" s="2260"/>
      <c r="G2" s="2259" t="s">
        <v>2272</v>
      </c>
      <c r="H2" s="749"/>
      <c r="I2" s="749"/>
      <c r="J2" s="749"/>
      <c r="K2" s="749"/>
      <c r="L2" s="749"/>
      <c r="M2" s="749"/>
      <c r="N2" s="749"/>
      <c r="O2" s="749"/>
      <c r="P2" s="749"/>
      <c r="Q2" s="749"/>
    </row>
    <row r="3" spans="1:29" ht="48">
      <c r="A3" s="2244" t="s">
        <v>2273</v>
      </c>
      <c r="B3" s="2261" t="s">
        <v>2242</v>
      </c>
      <c r="C3" s="2262" t="s">
        <v>2274</v>
      </c>
      <c r="D3" s="2263"/>
      <c r="E3" s="2245" t="s">
        <v>2273</v>
      </c>
      <c r="F3" s="2264" t="s">
        <v>2243</v>
      </c>
      <c r="G3" s="2265" t="s">
        <v>2275</v>
      </c>
      <c r="H3" s="749"/>
      <c r="I3" s="749"/>
      <c r="J3" s="749"/>
      <c r="K3" s="749"/>
      <c r="L3" s="749"/>
      <c r="M3" s="749"/>
      <c r="N3" s="749"/>
      <c r="O3" s="749"/>
      <c r="P3" s="749"/>
      <c r="Q3" s="749"/>
    </row>
    <row r="4" spans="1:29" ht="36.75">
      <c r="A4" s="2245"/>
      <c r="B4" s="314" t="s">
        <v>2244</v>
      </c>
      <c r="C4" s="2266" t="s">
        <v>2245</v>
      </c>
      <c r="D4" s="2263"/>
      <c r="E4" s="2267"/>
      <c r="F4" s="1279" t="s">
        <v>2246</v>
      </c>
      <c r="G4" s="2268" t="s">
        <v>2247</v>
      </c>
      <c r="H4" s="749"/>
      <c r="I4" s="749"/>
      <c r="J4" s="749"/>
      <c r="K4" s="749"/>
      <c r="L4" s="749"/>
      <c r="M4" s="749"/>
      <c r="N4" s="749"/>
      <c r="O4" s="749"/>
      <c r="P4" s="749"/>
      <c r="Q4" s="749"/>
    </row>
    <row r="5" spans="1:29" ht="36.75">
      <c r="A5" s="2245"/>
      <c r="B5" s="314" t="s">
        <v>2248</v>
      </c>
      <c r="C5" s="2266" t="s">
        <v>2249</v>
      </c>
      <c r="D5" s="2263"/>
      <c r="E5" s="2267"/>
      <c r="F5" s="314" t="s">
        <v>2250</v>
      </c>
      <c r="G5" s="2268" t="s">
        <v>2251</v>
      </c>
      <c r="H5" s="749"/>
      <c r="I5" s="749"/>
      <c r="J5" s="749"/>
      <c r="K5" s="749"/>
      <c r="L5" s="749"/>
      <c r="M5" s="749"/>
      <c r="N5" s="749"/>
      <c r="O5" s="749"/>
      <c r="P5" s="749"/>
      <c r="Q5" s="749"/>
    </row>
    <row r="6" spans="1:29" ht="36">
      <c r="A6" s="2245"/>
      <c r="B6" s="314" t="s">
        <v>2252</v>
      </c>
      <c r="C6" s="2268" t="s">
        <v>2247</v>
      </c>
      <c r="D6" s="2263"/>
      <c r="E6" s="2267"/>
      <c r="F6" s="314" t="s">
        <v>2253</v>
      </c>
      <c r="G6" s="2268" t="s">
        <v>2254</v>
      </c>
      <c r="H6" s="749"/>
      <c r="I6" s="749"/>
      <c r="J6" s="749"/>
      <c r="K6" s="749"/>
      <c r="L6" s="749"/>
      <c r="M6" s="749"/>
      <c r="N6" s="749"/>
      <c r="O6" s="749"/>
      <c r="P6" s="749"/>
      <c r="Q6" s="749"/>
    </row>
    <row r="7" spans="1:29" ht="24.75" thickBot="1">
      <c r="A7" s="2245"/>
      <c r="B7" s="314" t="s">
        <v>2250</v>
      </c>
      <c r="C7" s="2268" t="s">
        <v>2251</v>
      </c>
      <c r="D7" s="2242"/>
      <c r="E7" s="2269"/>
      <c r="F7" s="2270" t="s">
        <v>2255</v>
      </c>
      <c r="G7" s="2271" t="s">
        <v>2256</v>
      </c>
      <c r="H7" s="749"/>
      <c r="I7" s="749"/>
      <c r="J7" s="749"/>
      <c r="K7" s="749"/>
      <c r="L7" s="749"/>
      <c r="M7" s="749"/>
      <c r="N7" s="749"/>
      <c r="O7" s="749"/>
      <c r="P7" s="749"/>
      <c r="Q7" s="749"/>
    </row>
    <row r="8" spans="1:29">
      <c r="A8" s="2245"/>
      <c r="B8" s="314" t="s">
        <v>2253</v>
      </c>
      <c r="C8" s="2268" t="s">
        <v>2254</v>
      </c>
      <c r="D8" s="2242"/>
      <c r="E8" s="2242"/>
      <c r="F8" s="120"/>
      <c r="G8" s="120"/>
      <c r="H8" s="749"/>
      <c r="I8" s="749"/>
      <c r="J8" s="749"/>
      <c r="K8" s="749"/>
      <c r="L8" s="749"/>
      <c r="M8" s="749"/>
      <c r="N8" s="749"/>
      <c r="O8" s="749"/>
      <c r="P8" s="749"/>
      <c r="Q8" s="749"/>
    </row>
    <row r="9" spans="1:29" ht="24">
      <c r="A9" s="2245"/>
      <c r="B9" s="314" t="s">
        <v>2257</v>
      </c>
      <c r="C9" s="2266" t="s">
        <v>2258</v>
      </c>
      <c r="D9" s="2263"/>
      <c r="E9" s="2242"/>
      <c r="F9" s="120"/>
      <c r="G9" s="120"/>
      <c r="H9" s="749"/>
      <c r="I9" s="749"/>
      <c r="J9" s="749"/>
      <c r="K9" s="749"/>
      <c r="L9" s="749"/>
      <c r="M9" s="749"/>
      <c r="N9" s="749"/>
      <c r="O9" s="749"/>
      <c r="P9" s="749"/>
      <c r="Q9" s="749"/>
    </row>
    <row r="10" spans="1:29" ht="15" thickBot="1">
      <c r="A10" s="2246"/>
      <c r="B10" s="2272" t="s">
        <v>2259</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2277</v>
      </c>
      <c r="B13" s="2277"/>
      <c r="C13" s="2277"/>
      <c r="D13" s="2276"/>
      <c r="E13" s="2277"/>
      <c r="F13" s="2277"/>
      <c r="G13" s="2277"/>
    </row>
    <row r="14" spans="1:29" ht="15" thickBot="1">
      <c r="A14" s="2282"/>
      <c r="B14" s="2282"/>
      <c r="C14" s="2283" t="s">
        <v>2260</v>
      </c>
      <c r="D14" s="2263"/>
      <c r="E14" s="2284"/>
      <c r="F14" s="2284"/>
      <c r="G14" s="2259" t="s">
        <v>2261</v>
      </c>
    </row>
    <row r="15" spans="1:29" ht="51">
      <c r="A15" s="2247" t="s">
        <v>2262</v>
      </c>
      <c r="B15" s="2285" t="s">
        <v>2242</v>
      </c>
      <c r="C15" s="2286" t="str">
        <f>C3</f>
        <v>估价对象周边居住用地比例、居住小区规模和社区发展完善程度，综合评价居住社区成熟度一般</v>
      </c>
      <c r="D15" s="2263"/>
      <c r="E15" s="2248" t="s">
        <v>2263</v>
      </c>
      <c r="F15" s="2285" t="s">
        <v>2264</v>
      </c>
      <c r="G15" s="2287" t="str">
        <f>G3</f>
        <v>估价对象位于XX开发区，园区建设成熟度XX，产业集聚程度XX</v>
      </c>
    </row>
    <row r="16" spans="1:29" ht="38.25">
      <c r="A16" s="2249"/>
      <c r="B16" s="2288" t="s">
        <v>2244</v>
      </c>
      <c r="C16" s="2289" t="str">
        <f>C4</f>
        <v>估价对象位于XX商圈，周边商业氛围成熟，人流量大，商业繁华度好</v>
      </c>
      <c r="D16" s="2263"/>
      <c r="E16" s="2250"/>
      <c r="F16" s="2290" t="s">
        <v>2246</v>
      </c>
      <c r="G16" s="2291" t="str">
        <f>G4</f>
        <v>估价对象周边道路状况、公共交通通达情况、停车便捷程度，综合评价交通便捷度较好</v>
      </c>
    </row>
    <row r="17" spans="1:17" ht="38.25">
      <c r="A17" s="2249"/>
      <c r="B17" s="2288" t="s">
        <v>2248</v>
      </c>
      <c r="C17" s="2289" t="str">
        <f>C5</f>
        <v>估价对象位于XX商圈，周边办公楼项目较多，入驻率高，办公集聚程度较好</v>
      </c>
      <c r="D17" s="2242"/>
      <c r="E17" s="2250"/>
      <c r="F17" s="2290" t="s">
        <v>2265</v>
      </c>
      <c r="G17" s="2292"/>
    </row>
    <row r="18" spans="1:17" ht="38.25">
      <c r="A18" s="2249"/>
      <c r="B18" s="2290" t="s">
        <v>2252</v>
      </c>
      <c r="C18" s="2291" t="str">
        <f>C6</f>
        <v>估价对象周边道路状况、公共交通通达情况、停车便捷程度，综合评价交通便捷度较好</v>
      </c>
      <c r="D18" s="2242"/>
      <c r="E18" s="2250"/>
      <c r="F18" s="2290" t="s">
        <v>2255</v>
      </c>
      <c r="G18" s="2291" t="str">
        <f>G7</f>
        <v>该园区内是否有污染型企业，绿化情况，卫生条件，整体环境状况判断</v>
      </c>
    </row>
    <row r="19" spans="1:17" ht="25.5">
      <c r="A19" s="2249"/>
      <c r="B19" s="2290" t="s">
        <v>2266</v>
      </c>
      <c r="C19" s="2292"/>
      <c r="D19" s="2263"/>
      <c r="E19" s="2250"/>
      <c r="F19" s="314" t="s">
        <v>2250</v>
      </c>
      <c r="G19" s="2291" t="str">
        <f>G5</f>
        <v>估价对象所在区域公共配套设施齐备情况</v>
      </c>
    </row>
    <row r="20" spans="1:17" ht="25.5">
      <c r="A20" s="2249"/>
      <c r="B20" s="2290" t="s">
        <v>2267</v>
      </c>
      <c r="C20" s="2289" t="str">
        <f>C9</f>
        <v>区域自然环境：；人文环境；综合评价环境状况一般</v>
      </c>
      <c r="D20" s="2242"/>
      <c r="E20" s="2250"/>
      <c r="F20" s="314" t="s">
        <v>2253</v>
      </c>
      <c r="G20" s="2291" t="str">
        <f>G6</f>
        <v>估价对象所在区域基础设施水平</v>
      </c>
    </row>
    <row r="21" spans="1:17" ht="25.5">
      <c r="A21" s="2249"/>
      <c r="B21" s="314" t="s">
        <v>2250</v>
      </c>
      <c r="C21" s="2291" t="str">
        <f>C7</f>
        <v>估价对象所在区域公共配套设施齐备情况</v>
      </c>
      <c r="D21" s="2263"/>
      <c r="E21" s="2250"/>
      <c r="F21" s="2290" t="s">
        <v>2268</v>
      </c>
      <c r="G21" s="2293"/>
    </row>
    <row r="22" spans="1:17" ht="13.5" customHeight="1">
      <c r="A22" s="2249"/>
      <c r="B22" s="314" t="s">
        <v>2253</v>
      </c>
      <c r="C22" s="2291" t="str">
        <f>C8</f>
        <v>估价对象所在区域基础设施水平</v>
      </c>
      <c r="D22" s="2263"/>
      <c r="E22" s="2250"/>
      <c r="F22" s="2290" t="s">
        <v>2259</v>
      </c>
      <c r="G22" s="2292"/>
    </row>
    <row r="23" spans="1:17" s="749" customFormat="1" ht="15" thickBot="1">
      <c r="A23" s="2249"/>
      <c r="B23" s="2290" t="s">
        <v>2268</v>
      </c>
      <c r="C23" s="2293"/>
      <c r="D23" s="1612"/>
      <c r="E23" s="2251"/>
      <c r="F23" s="2294" t="s">
        <v>2269</v>
      </c>
      <c r="G23" s="2295"/>
      <c r="H23" s="2274"/>
      <c r="I23" s="2274"/>
      <c r="J23" s="2274"/>
      <c r="K23" s="2274"/>
      <c r="L23" s="2274"/>
      <c r="M23" s="2274"/>
      <c r="N23" s="2274"/>
      <c r="O23" s="2274"/>
      <c r="P23" s="2274"/>
      <c r="Q23" s="2274"/>
    </row>
    <row r="24" spans="1:17" s="749" customFormat="1" ht="15" thickBot="1">
      <c r="A24" s="2252"/>
      <c r="B24" s="2294" t="s">
        <v>2270</v>
      </c>
      <c r="C24" s="2296">
        <f>C10</f>
        <v>0</v>
      </c>
      <c r="D24" s="1612"/>
      <c r="E24" s="2242"/>
      <c r="F24" s="2242"/>
      <c r="G24" s="2242"/>
      <c r="H24" s="2274"/>
      <c r="I24" s="2274"/>
      <c r="J24" s="2274"/>
      <c r="K24" s="2274"/>
      <c r="L24" s="2274"/>
      <c r="M24" s="2274"/>
      <c r="N24" s="2274"/>
      <c r="O24" s="2274"/>
      <c r="P24" s="2274"/>
      <c r="Q24" s="2274"/>
    </row>
    <row r="25" spans="1:17" s="749" customFormat="1">
      <c r="B25" s="2274"/>
      <c r="C25" s="2274"/>
      <c r="D25" s="2274"/>
      <c r="H25" s="2274"/>
      <c r="I25" s="2274"/>
      <c r="J25" s="2274"/>
      <c r="K25" s="2274"/>
      <c r="L25" s="2274"/>
      <c r="M25" s="2274"/>
      <c r="N25" s="2274"/>
      <c r="O25" s="2274"/>
      <c r="P25" s="2274"/>
      <c r="Q25" s="2274"/>
    </row>
    <row r="26" spans="1:17" s="749" customFormat="1">
      <c r="B26" s="2274"/>
      <c r="C26" s="2274"/>
      <c r="D26" s="2274"/>
      <c r="H26" s="2274"/>
      <c r="I26" s="2274"/>
      <c r="J26" s="2274"/>
      <c r="K26" s="2274"/>
      <c r="L26" s="2274"/>
      <c r="M26" s="2274"/>
      <c r="N26" s="2274"/>
      <c r="O26" s="2274"/>
      <c r="P26" s="2274"/>
      <c r="Q26" s="2274"/>
    </row>
    <row r="27" spans="1:17" s="749" customFormat="1">
      <c r="B27" s="2274"/>
      <c r="C27" s="2274"/>
      <c r="D27" s="2274"/>
      <c r="H27" s="2274"/>
      <c r="I27" s="2274"/>
      <c r="J27" s="2274"/>
      <c r="K27" s="2274"/>
      <c r="L27" s="2274"/>
      <c r="M27" s="2274"/>
      <c r="N27" s="2274"/>
      <c r="O27" s="2274"/>
      <c r="P27" s="2274"/>
      <c r="Q27" s="2274"/>
    </row>
    <row r="28" spans="1:17" s="749" customFormat="1">
      <c r="B28" s="2274"/>
      <c r="C28" s="2274"/>
      <c r="D28" s="2274"/>
      <c r="H28" s="2274"/>
      <c r="I28" s="2274"/>
      <c r="J28" s="2274"/>
      <c r="K28" s="2274"/>
      <c r="L28" s="2274"/>
      <c r="M28" s="2274"/>
      <c r="N28" s="2274"/>
      <c r="O28" s="2274"/>
      <c r="P28" s="2274"/>
      <c r="Q28" s="2274"/>
    </row>
    <row r="29" spans="1:17" s="749" customFormat="1">
      <c r="B29" s="2274"/>
      <c r="C29" s="2274"/>
      <c r="D29" s="2274"/>
      <c r="H29" s="2274"/>
      <c r="I29" s="2274"/>
      <c r="J29" s="2274"/>
      <c r="K29" s="2274"/>
      <c r="L29" s="2274"/>
      <c r="M29" s="2274"/>
      <c r="N29" s="2274"/>
      <c r="O29" s="2274"/>
      <c r="P29" s="2274"/>
      <c r="Q29" s="2274"/>
    </row>
    <row r="30" spans="1:17" s="749" customFormat="1">
      <c r="B30" s="2274"/>
      <c r="C30" s="2274"/>
      <c r="D30" s="2274"/>
      <c r="H30" s="2274"/>
      <c r="I30" s="2274"/>
      <c r="J30" s="2274"/>
      <c r="K30" s="2274"/>
      <c r="L30" s="2274"/>
      <c r="M30" s="2274"/>
      <c r="N30" s="2274"/>
      <c r="O30" s="2274"/>
      <c r="P30" s="2274"/>
      <c r="Q30" s="2274"/>
    </row>
    <row r="31" spans="1:17" s="749" customFormat="1">
      <c r="B31" s="2274"/>
      <c r="C31" s="2274"/>
      <c r="D31" s="2274"/>
      <c r="H31" s="2274"/>
      <c r="I31" s="2274"/>
      <c r="J31" s="2274"/>
      <c r="K31" s="2274"/>
      <c r="L31" s="2274"/>
      <c r="M31" s="2274"/>
      <c r="N31" s="2274"/>
      <c r="O31" s="2274"/>
      <c r="P31" s="2274"/>
      <c r="Q31" s="2274"/>
    </row>
    <row r="32" spans="1:17" s="749" customFormat="1">
      <c r="B32" s="2274"/>
      <c r="C32" s="2274"/>
      <c r="D32" s="2274"/>
      <c r="H32" s="2274"/>
      <c r="I32" s="2274"/>
      <c r="J32" s="2274"/>
      <c r="K32" s="2274"/>
      <c r="L32" s="2274"/>
      <c r="M32" s="2274"/>
      <c r="N32" s="2274"/>
      <c r="O32" s="2274"/>
      <c r="P32" s="2274"/>
      <c r="Q32" s="2274"/>
    </row>
    <row r="33" spans="2:17" s="749" customFormat="1">
      <c r="B33" s="2274"/>
      <c r="C33" s="2274"/>
      <c r="D33" s="2274"/>
      <c r="H33" s="2274"/>
      <c r="I33" s="2274"/>
      <c r="J33" s="2274"/>
      <c r="K33" s="2274"/>
      <c r="L33" s="2274"/>
      <c r="M33" s="2274"/>
      <c r="N33" s="2274"/>
      <c r="O33" s="2274"/>
      <c r="P33" s="2274"/>
      <c r="Q33" s="2274"/>
    </row>
    <row r="34" spans="2:17" s="749" customFormat="1">
      <c r="B34" s="2274"/>
      <c r="C34" s="2274"/>
      <c r="D34" s="2274"/>
      <c r="H34" s="2274"/>
      <c r="I34" s="2274"/>
      <c r="J34" s="2274"/>
      <c r="K34" s="2274"/>
      <c r="L34" s="2274"/>
      <c r="M34" s="2274"/>
      <c r="N34" s="2274"/>
      <c r="O34" s="2274"/>
      <c r="P34" s="2274"/>
      <c r="Q34" s="2274"/>
    </row>
    <row r="35" spans="2:17" s="749" customFormat="1">
      <c r="B35" s="2274"/>
      <c r="C35" s="2274"/>
      <c r="D35" s="2274"/>
      <c r="H35" s="2274"/>
      <c r="I35" s="2274"/>
      <c r="J35" s="2274"/>
      <c r="K35" s="2274"/>
      <c r="L35" s="2274"/>
      <c r="M35" s="2274"/>
      <c r="N35" s="2274"/>
      <c r="O35" s="2274"/>
      <c r="P35" s="2274"/>
      <c r="Q35" s="2274"/>
    </row>
    <row r="36" spans="2:17" s="749" customFormat="1">
      <c r="B36" s="2274"/>
      <c r="C36" s="2274"/>
      <c r="D36" s="2274"/>
      <c r="H36" s="2274"/>
      <c r="I36" s="2274"/>
      <c r="J36" s="2274"/>
      <c r="K36" s="2274"/>
      <c r="L36" s="2274"/>
      <c r="M36" s="2274"/>
      <c r="N36" s="2274"/>
      <c r="O36" s="2274"/>
      <c r="P36" s="2274"/>
      <c r="Q36" s="2274"/>
    </row>
    <row r="37" spans="2:17" s="749" customFormat="1">
      <c r="B37" s="2274"/>
      <c r="C37" s="2274"/>
      <c r="D37" s="2274"/>
      <c r="H37" s="2274"/>
      <c r="I37" s="2274"/>
      <c r="J37" s="2274"/>
      <c r="K37" s="2274"/>
      <c r="L37" s="2274"/>
      <c r="M37" s="2274"/>
      <c r="N37" s="2274"/>
      <c r="O37" s="2274"/>
      <c r="P37" s="2274"/>
      <c r="Q37" s="2274"/>
    </row>
    <row r="38" spans="2:17" s="749" customFormat="1">
      <c r="B38" s="2274"/>
      <c r="C38" s="2274"/>
      <c r="D38" s="2274"/>
      <c r="E38" s="2274"/>
      <c r="F38" s="2274"/>
      <c r="G38" s="2274"/>
      <c r="H38" s="2274"/>
      <c r="I38" s="2274"/>
      <c r="J38" s="2274"/>
      <c r="K38" s="2274"/>
      <c r="L38" s="2274"/>
      <c r="M38" s="2274"/>
      <c r="N38" s="2274"/>
      <c r="O38" s="2274"/>
      <c r="P38" s="2274"/>
      <c r="Q38" s="2274"/>
    </row>
    <row r="39" spans="2:17" s="749" customFormat="1">
      <c r="B39" s="2274"/>
      <c r="C39" s="2274"/>
      <c r="D39" s="2274"/>
      <c r="E39" s="2274"/>
      <c r="F39" s="2274"/>
      <c r="G39" s="2274"/>
      <c r="H39" s="2274"/>
      <c r="I39" s="2274"/>
      <c r="J39" s="2274"/>
      <c r="K39" s="2274"/>
      <c r="L39" s="2274"/>
      <c r="M39" s="2274"/>
      <c r="N39" s="2274"/>
      <c r="O39" s="2274"/>
      <c r="P39" s="2274"/>
      <c r="Q39" s="2274"/>
    </row>
    <row r="40" spans="2:17" s="749" customFormat="1">
      <c r="B40" s="2274"/>
      <c r="C40" s="2274"/>
      <c r="D40" s="2274"/>
      <c r="E40" s="2274"/>
      <c r="F40" s="2274"/>
      <c r="G40" s="2274"/>
      <c r="H40" s="2274"/>
      <c r="I40" s="2274"/>
      <c r="J40" s="2274"/>
      <c r="K40" s="2274"/>
      <c r="L40" s="2274"/>
      <c r="M40" s="2274"/>
      <c r="N40" s="2274"/>
      <c r="O40" s="2274"/>
      <c r="P40" s="2274"/>
      <c r="Q40" s="2274"/>
    </row>
    <row r="41" spans="2:17" s="749" customFormat="1">
      <c r="B41" s="2274"/>
      <c r="C41" s="2274"/>
      <c r="D41" s="2274"/>
      <c r="E41" s="2274"/>
      <c r="F41" s="2274"/>
      <c r="G41" s="2274"/>
      <c r="H41" s="2274"/>
      <c r="I41" s="2274"/>
      <c r="J41" s="2274"/>
      <c r="K41" s="2274"/>
      <c r="L41" s="2274"/>
      <c r="M41" s="2274"/>
      <c r="N41" s="2274"/>
      <c r="O41" s="2274"/>
      <c r="P41" s="2274"/>
      <c r="Q41" s="2274"/>
    </row>
    <row r="42" spans="2:17" s="749" customFormat="1">
      <c r="B42" s="2274"/>
      <c r="C42" s="2274"/>
      <c r="D42" s="2274"/>
      <c r="E42" s="2274"/>
      <c r="F42" s="2274"/>
      <c r="G42" s="2274"/>
      <c r="H42" s="2274"/>
      <c r="I42" s="2274"/>
      <c r="J42" s="2274"/>
      <c r="K42" s="2274"/>
      <c r="L42" s="2274"/>
      <c r="M42" s="2274"/>
      <c r="N42" s="2274"/>
      <c r="O42" s="2274"/>
      <c r="P42" s="2274"/>
      <c r="Q42" s="2274"/>
    </row>
    <row r="43" spans="2:17" s="749" customFormat="1">
      <c r="B43" s="2274"/>
      <c r="C43" s="2274"/>
      <c r="D43" s="2274"/>
      <c r="E43" s="2274"/>
      <c r="F43" s="2274"/>
      <c r="G43" s="2274"/>
      <c r="H43" s="2274"/>
      <c r="I43" s="2274"/>
      <c r="J43" s="2274"/>
      <c r="K43" s="2274"/>
      <c r="L43" s="2274"/>
      <c r="M43" s="2274"/>
      <c r="N43" s="2274"/>
      <c r="O43" s="2274"/>
      <c r="P43" s="2274"/>
      <c r="Q43" s="2274"/>
    </row>
    <row r="44" spans="2:17" s="749" customFormat="1">
      <c r="B44" s="2274"/>
      <c r="C44" s="2274"/>
      <c r="D44" s="2274"/>
      <c r="E44" s="2274"/>
      <c r="F44" s="2274"/>
      <c r="G44" s="2274"/>
      <c r="H44" s="2274"/>
      <c r="I44" s="2274"/>
      <c r="J44" s="2274"/>
      <c r="K44" s="2274"/>
      <c r="L44" s="2274"/>
      <c r="M44" s="2274"/>
      <c r="N44" s="2274"/>
      <c r="O44" s="2274"/>
      <c r="P44" s="2274"/>
      <c r="Q44" s="2274"/>
    </row>
    <row r="45" spans="2:17" s="749" customFormat="1">
      <c r="B45" s="2274"/>
      <c r="C45" s="2274"/>
      <c r="D45" s="2274"/>
      <c r="E45" s="2274"/>
      <c r="F45" s="2274"/>
      <c r="G45" s="2274"/>
      <c r="H45" s="2274"/>
      <c r="I45" s="2274"/>
      <c r="J45" s="2274"/>
      <c r="K45" s="2274"/>
      <c r="L45" s="2274"/>
      <c r="M45" s="2274"/>
      <c r="N45" s="2274"/>
      <c r="O45" s="2274"/>
      <c r="P45" s="2274"/>
      <c r="Q45" s="2274"/>
    </row>
    <row r="46" spans="2:17" s="749" customFormat="1">
      <c r="B46" s="2274"/>
      <c r="C46" s="2274"/>
      <c r="D46" s="2274"/>
      <c r="E46" s="2274"/>
      <c r="F46" s="2274"/>
      <c r="G46" s="2274"/>
      <c r="H46" s="2274"/>
      <c r="I46" s="2274"/>
      <c r="J46" s="2274"/>
      <c r="K46" s="2274"/>
      <c r="L46" s="2274"/>
      <c r="M46" s="2274"/>
      <c r="N46" s="2274"/>
      <c r="O46" s="2274"/>
      <c r="P46" s="2274"/>
      <c r="Q46" s="2274"/>
    </row>
    <row r="47" spans="2:17" s="749" customFormat="1">
      <c r="B47" s="2274"/>
      <c r="C47" s="2274"/>
      <c r="D47" s="2274"/>
      <c r="E47" s="2274"/>
      <c r="F47" s="2274"/>
      <c r="G47" s="2274"/>
      <c r="H47" s="2274"/>
      <c r="I47" s="2274"/>
      <c r="J47" s="2274"/>
      <c r="K47" s="2274"/>
      <c r="L47" s="2274"/>
      <c r="M47" s="2274"/>
      <c r="N47" s="2274"/>
      <c r="O47" s="2274"/>
      <c r="P47" s="2274"/>
      <c r="Q47" s="2274"/>
    </row>
    <row r="48" spans="2:17" s="749" customFormat="1">
      <c r="B48" s="2274"/>
      <c r="C48" s="2274"/>
      <c r="D48" s="2274"/>
      <c r="E48" s="2274"/>
      <c r="F48" s="2274"/>
      <c r="G48" s="2274"/>
      <c r="H48" s="2274"/>
      <c r="I48" s="2274"/>
      <c r="J48" s="2274"/>
      <c r="K48" s="2274"/>
      <c r="L48" s="2274"/>
      <c r="M48" s="2274"/>
      <c r="N48" s="2274"/>
      <c r="O48" s="2274"/>
      <c r="P48" s="2274"/>
      <c r="Q48" s="2274"/>
    </row>
    <row r="49" spans="2:17" s="749" customFormat="1">
      <c r="B49" s="2274"/>
      <c r="C49" s="2274"/>
      <c r="D49" s="2274"/>
      <c r="E49" s="2274"/>
      <c r="F49" s="2274"/>
      <c r="G49" s="2274"/>
      <c r="H49" s="2274"/>
      <c r="I49" s="2274"/>
      <c r="J49" s="2274"/>
      <c r="K49" s="2274"/>
      <c r="L49" s="2274"/>
      <c r="M49" s="2274"/>
      <c r="N49" s="2274"/>
      <c r="O49" s="2274"/>
      <c r="P49" s="2274"/>
      <c r="Q49" s="2274"/>
    </row>
    <row r="50" spans="2:17" s="749" customFormat="1">
      <c r="B50" s="2274"/>
      <c r="C50" s="2274"/>
      <c r="D50" s="2274"/>
      <c r="E50" s="2274"/>
      <c r="F50" s="2274"/>
      <c r="G50" s="2274"/>
      <c r="H50" s="2274"/>
      <c r="I50" s="2274"/>
      <c r="J50" s="2274"/>
      <c r="K50" s="2274"/>
      <c r="L50" s="2274"/>
      <c r="M50" s="2274"/>
      <c r="N50" s="2274"/>
      <c r="O50" s="2274"/>
      <c r="P50" s="2274"/>
      <c r="Q50" s="2274"/>
    </row>
    <row r="51" spans="2:17" s="749" customFormat="1">
      <c r="B51" s="2274"/>
      <c r="C51" s="2274"/>
      <c r="D51" s="2274"/>
      <c r="E51" s="2274"/>
      <c r="F51" s="2274"/>
      <c r="G51" s="2274"/>
      <c r="H51" s="2274"/>
      <c r="I51" s="2274"/>
      <c r="J51" s="2274"/>
      <c r="K51" s="2274"/>
      <c r="L51" s="2274"/>
      <c r="M51" s="2274"/>
      <c r="N51" s="2274"/>
      <c r="O51" s="2274"/>
      <c r="P51" s="2274"/>
      <c r="Q51" s="2274"/>
    </row>
    <row r="52" spans="2:17" s="749" customFormat="1">
      <c r="B52" s="2274"/>
      <c r="C52" s="2274"/>
      <c r="D52" s="2274"/>
      <c r="E52" s="2274"/>
      <c r="F52" s="2274"/>
      <c r="G52" s="2274"/>
      <c r="H52" s="2274"/>
      <c r="I52" s="2274"/>
      <c r="J52" s="2274"/>
      <c r="K52" s="2274"/>
      <c r="L52" s="2274"/>
      <c r="M52" s="2274"/>
      <c r="N52" s="2274"/>
      <c r="O52" s="2274"/>
      <c r="P52" s="2274"/>
      <c r="Q52" s="2274"/>
    </row>
    <row r="53" spans="2:17" s="749" customFormat="1">
      <c r="B53" s="2274"/>
      <c r="C53" s="2274"/>
      <c r="D53" s="2274"/>
      <c r="E53" s="2274"/>
      <c r="F53" s="2274"/>
      <c r="G53" s="2274"/>
      <c r="H53" s="2274"/>
      <c r="I53" s="2274"/>
      <c r="J53" s="2274"/>
      <c r="K53" s="2274"/>
      <c r="L53" s="2274"/>
      <c r="M53" s="2274"/>
      <c r="N53" s="2274"/>
      <c r="O53" s="2274"/>
      <c r="P53" s="2274"/>
      <c r="Q53" s="2274"/>
    </row>
    <row r="54" spans="2:17" s="749" customFormat="1">
      <c r="B54" s="2274"/>
      <c r="C54" s="2274"/>
      <c r="D54" s="2274"/>
      <c r="E54" s="2274"/>
      <c r="F54" s="2274"/>
      <c r="G54" s="2274"/>
      <c r="H54" s="2274"/>
      <c r="I54" s="2274"/>
      <c r="J54" s="2274"/>
      <c r="K54" s="2274"/>
      <c r="L54" s="2274"/>
      <c r="M54" s="2274"/>
      <c r="N54" s="2274"/>
      <c r="O54" s="2274"/>
      <c r="P54" s="2274"/>
      <c r="Q54" s="2274"/>
    </row>
    <row r="55" spans="2:17" s="749" customFormat="1">
      <c r="B55" s="2274"/>
      <c r="C55" s="2274"/>
      <c r="D55" s="2274"/>
      <c r="E55" s="2274"/>
      <c r="F55" s="2274"/>
      <c r="G55" s="2274"/>
      <c r="H55" s="2274"/>
      <c r="I55" s="2274"/>
      <c r="J55" s="2274"/>
      <c r="K55" s="2274"/>
      <c r="L55" s="2274"/>
      <c r="M55" s="2274"/>
      <c r="N55" s="2274"/>
      <c r="O55" s="2274"/>
      <c r="P55" s="2274"/>
      <c r="Q55" s="2274"/>
    </row>
    <row r="56" spans="2:17" s="749" customFormat="1">
      <c r="B56" s="2274"/>
      <c r="C56" s="2274"/>
      <c r="D56" s="2274"/>
      <c r="E56" s="2274"/>
      <c r="F56" s="2274"/>
      <c r="G56" s="2274"/>
      <c r="H56" s="2274"/>
      <c r="I56" s="2274"/>
      <c r="J56" s="2274"/>
      <c r="K56" s="2274"/>
      <c r="L56" s="2274"/>
      <c r="M56" s="2274"/>
      <c r="N56" s="2274"/>
      <c r="O56" s="2274"/>
      <c r="P56" s="2274"/>
      <c r="Q56" s="2274"/>
    </row>
    <row r="57" spans="2:17" s="749" customFormat="1">
      <c r="B57" s="2274"/>
      <c r="C57" s="2274"/>
      <c r="D57" s="2274"/>
      <c r="E57" s="2274"/>
      <c r="F57" s="2274"/>
      <c r="G57" s="2274"/>
      <c r="H57" s="2274"/>
      <c r="I57" s="2274"/>
      <c r="J57" s="2274"/>
      <c r="K57" s="2274"/>
      <c r="L57" s="2274"/>
      <c r="M57" s="2274"/>
      <c r="N57" s="2274"/>
      <c r="O57" s="2274"/>
      <c r="P57" s="2274"/>
      <c r="Q57" s="2274"/>
    </row>
    <row r="58" spans="2:17" s="749" customFormat="1">
      <c r="B58" s="2274"/>
      <c r="C58" s="2274"/>
      <c r="D58" s="2274"/>
      <c r="E58" s="2274"/>
      <c r="F58" s="2274"/>
      <c r="G58" s="2274"/>
      <c r="H58" s="2274"/>
      <c r="I58" s="2274"/>
      <c r="J58" s="2274"/>
      <c r="K58" s="2274"/>
      <c r="L58" s="2274"/>
      <c r="M58" s="2274"/>
      <c r="N58" s="2274"/>
      <c r="O58" s="2274"/>
      <c r="P58" s="2274"/>
      <c r="Q58" s="2274"/>
    </row>
    <row r="59" spans="2:17" s="749" customFormat="1">
      <c r="B59" s="2274"/>
      <c r="C59" s="2274"/>
      <c r="D59" s="2274"/>
      <c r="E59" s="2274"/>
      <c r="F59" s="2274"/>
      <c r="G59" s="2274"/>
      <c r="H59" s="2274"/>
      <c r="I59" s="2274"/>
      <c r="J59" s="2274"/>
      <c r="K59" s="2274"/>
      <c r="L59" s="2274"/>
      <c r="M59" s="2274"/>
      <c r="N59" s="2274"/>
      <c r="O59" s="2274"/>
      <c r="P59" s="2274"/>
      <c r="Q59" s="2274"/>
    </row>
    <row r="60" spans="2:17" s="749" customFormat="1">
      <c r="B60" s="2274"/>
      <c r="C60" s="2274"/>
      <c r="D60" s="2274"/>
      <c r="E60" s="2274"/>
      <c r="F60" s="2274"/>
      <c r="G60" s="2274"/>
      <c r="H60" s="2274"/>
      <c r="I60" s="2274"/>
      <c r="J60" s="2274"/>
      <c r="K60" s="2274"/>
      <c r="L60" s="2274"/>
      <c r="M60" s="2274"/>
      <c r="N60" s="2274"/>
      <c r="O60" s="2274"/>
      <c r="P60" s="2274"/>
      <c r="Q60" s="2274"/>
    </row>
    <row r="61" spans="2:17" s="749" customFormat="1">
      <c r="B61" s="2274"/>
      <c r="C61" s="2274"/>
      <c r="D61" s="2274"/>
      <c r="E61" s="2274"/>
      <c r="F61" s="2274"/>
      <c r="G61" s="2274"/>
      <c r="H61" s="2274"/>
      <c r="I61" s="2274"/>
      <c r="J61" s="2274"/>
      <c r="K61" s="2274"/>
      <c r="L61" s="2274"/>
      <c r="M61" s="2274"/>
      <c r="N61" s="2274"/>
      <c r="O61" s="2274"/>
      <c r="P61" s="2274"/>
      <c r="Q61" s="2274"/>
    </row>
    <row r="62" spans="2:17" s="749" customFormat="1">
      <c r="B62" s="2274"/>
      <c r="C62" s="2274"/>
      <c r="D62" s="2274"/>
      <c r="E62" s="2274"/>
      <c r="F62" s="2274"/>
      <c r="G62" s="2274"/>
      <c r="H62" s="2274"/>
      <c r="I62" s="2274"/>
      <c r="J62" s="2274"/>
      <c r="K62" s="2274"/>
      <c r="L62" s="2274"/>
      <c r="M62" s="2274"/>
      <c r="N62" s="2274"/>
      <c r="O62" s="2274"/>
      <c r="P62" s="2274"/>
      <c r="Q62" s="2274"/>
    </row>
    <row r="63" spans="2:17" s="749" customFormat="1">
      <c r="B63" s="2274"/>
      <c r="C63" s="2274"/>
      <c r="D63" s="2274"/>
      <c r="E63" s="2274"/>
      <c r="F63" s="2274"/>
      <c r="G63" s="2274"/>
      <c r="H63" s="2274"/>
      <c r="I63" s="2274"/>
      <c r="J63" s="2274"/>
      <c r="K63" s="2274"/>
      <c r="L63" s="2274"/>
      <c r="M63" s="2274"/>
      <c r="N63" s="2274"/>
      <c r="O63" s="2274"/>
      <c r="P63" s="2274"/>
      <c r="Q63" s="2274"/>
    </row>
    <row r="64" spans="2:17" s="749" customFormat="1">
      <c r="B64" s="2274"/>
      <c r="C64" s="2274"/>
      <c r="D64" s="2274"/>
      <c r="E64" s="2274"/>
      <c r="F64" s="2274"/>
      <c r="G64" s="2274"/>
      <c r="H64" s="2274"/>
      <c r="I64" s="2274"/>
      <c r="J64" s="2274"/>
      <c r="K64" s="2274"/>
      <c r="L64" s="2274"/>
      <c r="M64" s="2274"/>
      <c r="N64" s="2274"/>
      <c r="O64" s="2274"/>
      <c r="P64" s="2274"/>
      <c r="Q64" s="2274"/>
    </row>
    <row r="65" spans="2:17" s="749" customFormat="1">
      <c r="B65" s="2274"/>
      <c r="C65" s="2274"/>
      <c r="D65" s="2274"/>
      <c r="E65" s="2274"/>
      <c r="F65" s="2274"/>
      <c r="G65" s="2274"/>
      <c r="H65" s="2274"/>
      <c r="I65" s="2274"/>
      <c r="J65" s="2274"/>
      <c r="K65" s="2274"/>
      <c r="L65" s="2274"/>
      <c r="M65" s="2274"/>
      <c r="N65" s="2274"/>
      <c r="O65" s="2274"/>
      <c r="P65" s="2274"/>
      <c r="Q65" s="2274"/>
    </row>
    <row r="66" spans="2:17" s="749" customFormat="1">
      <c r="B66" s="2274"/>
      <c r="C66" s="2274"/>
      <c r="D66" s="2274"/>
      <c r="E66" s="2274"/>
      <c r="F66" s="2274"/>
      <c r="G66" s="2274"/>
      <c r="H66" s="2274"/>
      <c r="I66" s="2274"/>
      <c r="J66" s="2274"/>
      <c r="K66" s="2274"/>
      <c r="L66" s="2274"/>
      <c r="M66" s="2274"/>
      <c r="N66" s="2274"/>
      <c r="O66" s="2274"/>
      <c r="P66" s="2274"/>
      <c r="Q66" s="2274"/>
    </row>
    <row r="67" spans="2:17" s="749" customFormat="1">
      <c r="B67" s="2274"/>
      <c r="C67" s="2274"/>
      <c r="D67" s="2274"/>
      <c r="E67" s="2274"/>
      <c r="F67" s="2274"/>
      <c r="G67" s="2274"/>
      <c r="H67" s="2274"/>
      <c r="I67" s="2274"/>
      <c r="J67" s="2274"/>
      <c r="K67" s="2274"/>
      <c r="L67" s="2274"/>
      <c r="M67" s="2274"/>
      <c r="N67" s="2274"/>
      <c r="O67" s="2274"/>
      <c r="P67" s="2274"/>
      <c r="Q67" s="2274"/>
    </row>
    <row r="68" spans="2:17" s="749" customFormat="1">
      <c r="B68" s="2274"/>
      <c r="C68" s="2274"/>
      <c r="D68" s="2274"/>
      <c r="E68" s="2274"/>
      <c r="F68" s="2274"/>
      <c r="G68" s="2274"/>
      <c r="H68" s="2274"/>
      <c r="I68" s="2274"/>
      <c r="J68" s="2274"/>
      <c r="K68" s="2274"/>
      <c r="L68" s="2274"/>
      <c r="M68" s="2274"/>
      <c r="N68" s="2274"/>
      <c r="O68" s="2274"/>
      <c r="P68" s="2274"/>
      <c r="Q68" s="2274"/>
    </row>
    <row r="69" spans="2:17" s="749" customFormat="1">
      <c r="B69" s="2274"/>
      <c r="C69" s="2274"/>
      <c r="D69" s="2274"/>
      <c r="E69" s="2274"/>
      <c r="F69" s="2274"/>
      <c r="G69" s="2274"/>
      <c r="H69" s="2274"/>
      <c r="I69" s="2274"/>
      <c r="J69" s="2274"/>
      <c r="K69" s="2274"/>
      <c r="L69" s="2274"/>
      <c r="M69" s="2274"/>
      <c r="N69" s="2274"/>
      <c r="O69" s="2274"/>
      <c r="P69" s="2274"/>
      <c r="Q69" s="2274"/>
    </row>
    <row r="70" spans="2:17" s="749" customFormat="1">
      <c r="B70" s="2274"/>
      <c r="C70" s="2274"/>
      <c r="D70" s="2274"/>
      <c r="E70" s="2274"/>
      <c r="F70" s="2274"/>
      <c r="G70" s="2274"/>
      <c r="H70" s="2274"/>
      <c r="I70" s="2274"/>
      <c r="J70" s="2274"/>
      <c r="K70" s="2274"/>
      <c r="L70" s="2274"/>
      <c r="M70" s="2274"/>
      <c r="N70" s="2274"/>
      <c r="O70" s="2274"/>
      <c r="P70" s="2274"/>
      <c r="Q70" s="2274"/>
    </row>
    <row r="71" spans="2:17" s="749" customFormat="1">
      <c r="B71" s="2274"/>
      <c r="C71" s="2274"/>
      <c r="D71" s="2274"/>
      <c r="E71" s="2274"/>
      <c r="F71" s="2274"/>
      <c r="G71" s="2274"/>
      <c r="H71" s="2274"/>
      <c r="I71" s="2274"/>
      <c r="J71" s="2274"/>
      <c r="K71" s="2274"/>
      <c r="L71" s="2274"/>
      <c r="M71" s="2274"/>
      <c r="N71" s="2274"/>
      <c r="O71" s="2274"/>
      <c r="P71" s="2274"/>
      <c r="Q71" s="2274"/>
    </row>
    <row r="72" spans="2:17" s="749" customFormat="1">
      <c r="B72" s="2274"/>
      <c r="C72" s="2274"/>
      <c r="D72" s="2274"/>
      <c r="E72" s="2274"/>
      <c r="F72" s="2274"/>
      <c r="G72" s="2274"/>
      <c r="H72" s="2274"/>
      <c r="I72" s="2274"/>
      <c r="J72" s="2274"/>
      <c r="K72" s="2274"/>
      <c r="L72" s="2274"/>
      <c r="M72" s="2274"/>
      <c r="N72" s="2274"/>
      <c r="O72" s="2274"/>
      <c r="P72" s="2274"/>
      <c r="Q72" s="2274"/>
    </row>
    <row r="73" spans="2:17" s="749" customFormat="1">
      <c r="B73" s="2274"/>
      <c r="C73" s="2274"/>
      <c r="D73" s="2274"/>
      <c r="E73" s="2274"/>
      <c r="F73" s="2274"/>
      <c r="G73" s="2274"/>
      <c r="H73" s="2274"/>
      <c r="I73" s="2274"/>
      <c r="J73" s="2274"/>
      <c r="K73" s="2274"/>
      <c r="L73" s="2274"/>
      <c r="M73" s="2274"/>
      <c r="N73" s="2274"/>
      <c r="O73" s="2274"/>
      <c r="P73" s="2274"/>
      <c r="Q73" s="2274"/>
    </row>
    <row r="74" spans="2:17" s="749" customFormat="1">
      <c r="B74" s="2274"/>
      <c r="C74" s="2274"/>
      <c r="D74" s="2274"/>
      <c r="E74" s="2274"/>
      <c r="F74" s="2274"/>
      <c r="G74" s="2274"/>
      <c r="H74" s="2274"/>
      <c r="I74" s="2274"/>
      <c r="J74" s="2274"/>
      <c r="K74" s="2274"/>
      <c r="L74" s="2274"/>
      <c r="M74" s="2274"/>
      <c r="N74" s="2274"/>
      <c r="O74" s="2274"/>
      <c r="P74" s="2274"/>
      <c r="Q74" s="2274"/>
    </row>
    <row r="75" spans="2:17" s="749" customFormat="1">
      <c r="B75" s="2274"/>
      <c r="C75" s="2274"/>
      <c r="D75" s="2274"/>
      <c r="E75" s="2274"/>
      <c r="F75" s="2274"/>
      <c r="G75" s="2274"/>
      <c r="H75" s="2274"/>
      <c r="I75" s="2274"/>
      <c r="J75" s="2274"/>
      <c r="K75" s="2274"/>
      <c r="L75" s="2274"/>
      <c r="M75" s="2274"/>
      <c r="N75" s="2274"/>
      <c r="O75" s="2274"/>
      <c r="P75" s="2274"/>
      <c r="Q75" s="2274"/>
    </row>
    <row r="76" spans="2:17" s="749" customFormat="1">
      <c r="B76" s="2274"/>
      <c r="C76" s="2274"/>
      <c r="D76" s="2274"/>
      <c r="E76" s="2274"/>
      <c r="F76" s="2274"/>
      <c r="G76" s="2274"/>
      <c r="H76" s="2274"/>
      <c r="I76" s="2274"/>
      <c r="J76" s="2274"/>
      <c r="K76" s="2274"/>
      <c r="L76" s="2274"/>
      <c r="M76" s="2274"/>
      <c r="N76" s="2274"/>
      <c r="O76" s="2274"/>
      <c r="P76" s="2274"/>
      <c r="Q76" s="2274"/>
    </row>
    <row r="77" spans="2:17" s="749" customFormat="1">
      <c r="B77" s="2274"/>
      <c r="C77" s="2274"/>
      <c r="D77" s="2274"/>
      <c r="E77" s="2274"/>
      <c r="F77" s="2274"/>
      <c r="G77" s="2274"/>
      <c r="H77" s="2274"/>
      <c r="I77" s="2274"/>
      <c r="J77" s="2274"/>
      <c r="K77" s="2274"/>
      <c r="L77" s="2274"/>
      <c r="M77" s="2274"/>
      <c r="N77" s="2274"/>
      <c r="O77" s="2274"/>
      <c r="P77" s="2274"/>
      <c r="Q77" s="2274"/>
    </row>
    <row r="78" spans="2:17" s="749" customFormat="1">
      <c r="B78" s="2274"/>
      <c r="C78" s="2274"/>
      <c r="D78" s="2274"/>
      <c r="E78" s="2274"/>
      <c r="F78" s="2274"/>
      <c r="G78" s="2274"/>
      <c r="H78" s="2274"/>
      <c r="I78" s="2274"/>
      <c r="J78" s="2274"/>
      <c r="K78" s="2274"/>
      <c r="L78" s="2274"/>
      <c r="M78" s="2274"/>
      <c r="N78" s="2274"/>
      <c r="O78" s="2274"/>
      <c r="P78" s="2274"/>
      <c r="Q78" s="2274"/>
    </row>
    <row r="79" spans="2:17" s="749" customFormat="1">
      <c r="B79" s="2274"/>
      <c r="C79" s="2274"/>
      <c r="D79" s="2274"/>
      <c r="E79" s="2274"/>
      <c r="F79" s="2274"/>
      <c r="G79" s="2274"/>
      <c r="H79" s="2274"/>
      <c r="I79" s="2274"/>
      <c r="J79" s="2274"/>
      <c r="K79" s="2274"/>
      <c r="L79" s="2274"/>
      <c r="M79" s="2274"/>
      <c r="N79" s="2274"/>
      <c r="O79" s="2274"/>
      <c r="P79" s="2274"/>
      <c r="Q79" s="2274"/>
    </row>
    <row r="80" spans="2:17" s="749" customFormat="1">
      <c r="B80" s="2274"/>
      <c r="C80" s="2274"/>
      <c r="D80" s="2274"/>
      <c r="E80" s="2274"/>
      <c r="F80" s="2274"/>
      <c r="G80" s="2274"/>
      <c r="H80" s="2274"/>
      <c r="I80" s="2274"/>
      <c r="J80" s="2274"/>
      <c r="K80" s="2274"/>
      <c r="L80" s="2274"/>
      <c r="M80" s="2274"/>
      <c r="N80" s="2274"/>
      <c r="O80" s="2274"/>
      <c r="P80" s="2274"/>
      <c r="Q80" s="2274"/>
    </row>
    <row r="81" spans="2:17" s="749" customFormat="1">
      <c r="B81" s="2274"/>
      <c r="C81" s="2274"/>
      <c r="D81" s="2274"/>
      <c r="E81" s="2274"/>
      <c r="F81" s="2274"/>
      <c r="G81" s="2274"/>
      <c r="H81" s="2274"/>
      <c r="I81" s="2274"/>
      <c r="J81" s="2274"/>
      <c r="K81" s="2274"/>
      <c r="L81" s="2274"/>
      <c r="M81" s="2274"/>
      <c r="N81" s="2274"/>
      <c r="O81" s="2274"/>
      <c r="P81" s="2274"/>
      <c r="Q81" s="2274"/>
    </row>
    <row r="82" spans="2:17" s="749" customFormat="1">
      <c r="B82" s="2274"/>
      <c r="C82" s="2274"/>
      <c r="D82" s="2274"/>
      <c r="E82" s="2274"/>
      <c r="F82" s="2274"/>
      <c r="G82" s="2274"/>
      <c r="H82" s="2274"/>
      <c r="I82" s="2274"/>
      <c r="J82" s="2274"/>
      <c r="K82" s="2274"/>
      <c r="L82" s="2274"/>
      <c r="M82" s="2274"/>
      <c r="N82" s="2274"/>
      <c r="O82" s="2274"/>
      <c r="P82" s="2274"/>
      <c r="Q82" s="2274"/>
    </row>
    <row r="83" spans="2:17" s="749" customFormat="1">
      <c r="B83" s="2274"/>
      <c r="C83" s="2274"/>
      <c r="D83" s="2274"/>
      <c r="E83" s="2274"/>
      <c r="F83" s="2274"/>
      <c r="G83" s="2274"/>
      <c r="H83" s="2274"/>
      <c r="I83" s="2274"/>
      <c r="J83" s="2274"/>
      <c r="K83" s="2274"/>
      <c r="L83" s="2274"/>
      <c r="M83" s="2274"/>
      <c r="N83" s="2274"/>
      <c r="O83" s="2274"/>
      <c r="P83" s="2274"/>
      <c r="Q83" s="2274"/>
    </row>
    <row r="84" spans="2:17" s="749" customFormat="1">
      <c r="B84" s="2274"/>
      <c r="C84" s="2274"/>
      <c r="D84" s="2274"/>
      <c r="E84" s="2274"/>
      <c r="F84" s="2274"/>
      <c r="G84" s="2274"/>
      <c r="H84" s="2274"/>
      <c r="I84" s="2274"/>
      <c r="J84" s="2274"/>
      <c r="K84" s="2274"/>
      <c r="L84" s="2274"/>
      <c r="M84" s="2274"/>
      <c r="N84" s="2274"/>
      <c r="O84" s="2274"/>
      <c r="P84" s="2274"/>
      <c r="Q84" s="2274"/>
    </row>
    <row r="85" spans="2:17" s="749" customFormat="1">
      <c r="B85" s="2274"/>
      <c r="C85" s="2274"/>
      <c r="D85" s="2274"/>
      <c r="E85" s="2274"/>
      <c r="F85" s="2274"/>
      <c r="G85" s="2274"/>
      <c r="H85" s="2274"/>
      <c r="I85" s="2274"/>
      <c r="J85" s="2274"/>
      <c r="K85" s="2274"/>
      <c r="L85" s="2274"/>
      <c r="M85" s="2274"/>
      <c r="N85" s="2274"/>
      <c r="O85" s="2274"/>
      <c r="P85" s="2274"/>
      <c r="Q85" s="2274"/>
    </row>
    <row r="86" spans="2:17" s="749" customFormat="1">
      <c r="B86" s="2274"/>
      <c r="C86" s="2274"/>
      <c r="D86" s="2274"/>
      <c r="E86" s="2274"/>
      <c r="F86" s="2274"/>
      <c r="G86" s="2274"/>
      <c r="H86" s="2274"/>
      <c r="I86" s="2274"/>
      <c r="J86" s="2274"/>
      <c r="K86" s="2274"/>
      <c r="L86" s="2274"/>
      <c r="M86" s="2274"/>
      <c r="N86" s="2274"/>
      <c r="O86" s="2274"/>
      <c r="P86" s="2274"/>
      <c r="Q86" s="2274"/>
    </row>
    <row r="87" spans="2:17" s="749" customFormat="1">
      <c r="B87" s="2274"/>
      <c r="C87" s="2274"/>
      <c r="D87" s="2274"/>
      <c r="E87" s="2274"/>
      <c r="F87" s="2274"/>
      <c r="G87" s="2274"/>
      <c r="H87" s="2274"/>
      <c r="I87" s="2274"/>
      <c r="J87" s="2274"/>
      <c r="K87" s="2274"/>
      <c r="L87" s="2274"/>
      <c r="M87" s="2274"/>
      <c r="N87" s="2274"/>
      <c r="O87" s="2274"/>
      <c r="P87" s="2274"/>
      <c r="Q87" s="2274"/>
    </row>
    <row r="88" spans="2:17" s="749" customFormat="1">
      <c r="B88" s="2274"/>
      <c r="C88" s="2274"/>
      <c r="D88" s="2274"/>
      <c r="E88" s="2274"/>
      <c r="F88" s="2274"/>
      <c r="G88" s="2274"/>
      <c r="H88" s="2274"/>
      <c r="I88" s="2274"/>
      <c r="J88" s="2274"/>
      <c r="K88" s="2274"/>
      <c r="L88" s="2274"/>
      <c r="M88" s="2274"/>
      <c r="N88" s="2274"/>
      <c r="O88" s="2274"/>
      <c r="P88" s="2274"/>
      <c r="Q88" s="2274"/>
    </row>
    <row r="89" spans="2:17" s="749" customFormat="1">
      <c r="B89" s="2274"/>
      <c r="C89" s="2274"/>
      <c r="D89" s="2274"/>
      <c r="E89" s="2274"/>
      <c r="F89" s="2274"/>
      <c r="G89" s="2274"/>
      <c r="H89" s="2274"/>
      <c r="I89" s="2274"/>
      <c r="J89" s="2274"/>
      <c r="K89" s="2274"/>
      <c r="L89" s="2274"/>
      <c r="M89" s="2274"/>
      <c r="N89" s="2274"/>
      <c r="O89" s="2274"/>
      <c r="P89" s="2274"/>
      <c r="Q89" s="2274"/>
    </row>
    <row r="90" spans="2:17" s="749" customFormat="1">
      <c r="B90" s="2274"/>
      <c r="C90" s="2274"/>
      <c r="D90" s="2274"/>
      <c r="E90" s="2274"/>
      <c r="F90" s="2274"/>
      <c r="G90" s="2274"/>
      <c r="H90" s="2274"/>
      <c r="I90" s="2274"/>
      <c r="J90" s="2274"/>
      <c r="K90" s="2274"/>
      <c r="L90" s="2274"/>
      <c r="M90" s="2274"/>
      <c r="N90" s="2274"/>
      <c r="O90" s="2274"/>
      <c r="P90" s="2274"/>
      <c r="Q90" s="2274"/>
    </row>
    <row r="91" spans="2:17" s="749" customFormat="1">
      <c r="B91" s="2274"/>
      <c r="C91" s="2274"/>
      <c r="D91" s="2274"/>
      <c r="E91" s="2274"/>
      <c r="F91" s="2274"/>
      <c r="G91" s="2274"/>
      <c r="H91" s="2274"/>
      <c r="I91" s="2274"/>
      <c r="J91" s="2274"/>
      <c r="K91" s="2274"/>
      <c r="L91" s="2274"/>
      <c r="M91" s="2274"/>
      <c r="N91" s="2274"/>
      <c r="O91" s="2274"/>
      <c r="P91" s="2274"/>
      <c r="Q91" s="2274"/>
    </row>
    <row r="92" spans="2:17" s="749" customFormat="1">
      <c r="B92" s="2274"/>
      <c r="C92" s="2274"/>
      <c r="D92" s="2274"/>
      <c r="E92" s="2274"/>
      <c r="F92" s="2274"/>
      <c r="G92" s="2274"/>
      <c r="H92" s="2274"/>
      <c r="I92" s="2274"/>
      <c r="J92" s="2274"/>
      <c r="K92" s="2274"/>
      <c r="L92" s="2274"/>
      <c r="M92" s="2274"/>
      <c r="N92" s="2274"/>
      <c r="O92" s="2274"/>
      <c r="P92" s="2274"/>
      <c r="Q92" s="2274"/>
    </row>
    <row r="93" spans="2:17" s="749" customFormat="1">
      <c r="B93" s="2274"/>
      <c r="C93" s="2274"/>
      <c r="D93" s="2274"/>
      <c r="E93" s="2274"/>
      <c r="F93" s="2274"/>
      <c r="G93" s="2274"/>
      <c r="H93" s="2274"/>
      <c r="I93" s="2274"/>
      <c r="J93" s="2274"/>
      <c r="K93" s="2274"/>
      <c r="L93" s="2274"/>
      <c r="M93" s="2274"/>
      <c r="N93" s="2274"/>
      <c r="O93" s="2274"/>
      <c r="P93" s="2274"/>
      <c r="Q93" s="2274"/>
    </row>
    <row r="94" spans="2:17" s="749" customFormat="1">
      <c r="B94" s="2274"/>
      <c r="C94" s="2274"/>
      <c r="D94" s="2274"/>
      <c r="E94" s="2274"/>
      <c r="F94" s="2274"/>
      <c r="G94" s="2274"/>
      <c r="H94" s="2274"/>
      <c r="I94" s="2274"/>
      <c r="J94" s="2274"/>
      <c r="K94" s="2274"/>
      <c r="L94" s="2274"/>
      <c r="M94" s="2274"/>
      <c r="N94" s="2274"/>
      <c r="O94" s="2274"/>
      <c r="P94" s="2274"/>
      <c r="Q94" s="2274"/>
    </row>
    <row r="95" spans="2:17" s="749" customFormat="1">
      <c r="B95" s="2274"/>
      <c r="C95" s="2274"/>
      <c r="D95" s="2274"/>
      <c r="E95" s="2274"/>
      <c r="F95" s="2274"/>
      <c r="G95" s="2274"/>
      <c r="H95" s="2274"/>
      <c r="I95" s="2274"/>
      <c r="J95" s="2274"/>
      <c r="K95" s="2274"/>
      <c r="L95" s="2274"/>
      <c r="M95" s="2274"/>
      <c r="N95" s="2274"/>
      <c r="O95" s="2274"/>
      <c r="P95" s="2274"/>
      <c r="Q95" s="2274"/>
    </row>
    <row r="96" spans="2:17" s="749" customFormat="1">
      <c r="B96" s="2274"/>
      <c r="C96" s="2274"/>
      <c r="D96" s="2274"/>
      <c r="E96" s="2274"/>
      <c r="F96" s="2274"/>
      <c r="G96" s="2274"/>
      <c r="H96" s="2274"/>
      <c r="I96" s="2274"/>
      <c r="J96" s="2274"/>
      <c r="K96" s="2274"/>
      <c r="L96" s="2274"/>
      <c r="M96" s="2274"/>
      <c r="N96" s="2274"/>
      <c r="O96" s="2274"/>
      <c r="P96" s="2274"/>
      <c r="Q96" s="2274"/>
    </row>
    <row r="97" spans="2:17" s="749" customFormat="1">
      <c r="B97" s="2274"/>
      <c r="C97" s="2274"/>
      <c r="D97" s="2274"/>
      <c r="E97" s="2274"/>
      <c r="F97" s="2274"/>
      <c r="G97" s="2274"/>
      <c r="H97" s="2274"/>
      <c r="I97" s="2274"/>
      <c r="J97" s="2274"/>
      <c r="K97" s="2274"/>
      <c r="L97" s="2274"/>
      <c r="M97" s="2274"/>
      <c r="N97" s="2274"/>
      <c r="O97" s="2274"/>
      <c r="P97" s="2274"/>
      <c r="Q97" s="2274"/>
    </row>
    <row r="98" spans="2:17" s="749" customFormat="1">
      <c r="B98" s="2274"/>
      <c r="C98" s="2274"/>
      <c r="D98" s="2274"/>
      <c r="E98" s="2274"/>
      <c r="F98" s="2274"/>
      <c r="G98" s="2274"/>
      <c r="H98" s="2274"/>
      <c r="I98" s="2274"/>
      <c r="J98" s="2274"/>
      <c r="K98" s="2274"/>
      <c r="L98" s="2274"/>
      <c r="M98" s="2274"/>
      <c r="N98" s="2274"/>
      <c r="O98" s="2274"/>
      <c r="P98" s="2274"/>
      <c r="Q98" s="2274"/>
    </row>
    <row r="99" spans="2:17" s="749" customFormat="1">
      <c r="B99" s="2274"/>
      <c r="C99" s="2274"/>
      <c r="D99" s="2274"/>
      <c r="E99" s="2274"/>
      <c r="F99" s="2274"/>
      <c r="G99" s="2274"/>
      <c r="H99" s="2274"/>
      <c r="I99" s="2274"/>
      <c r="J99" s="2274"/>
      <c r="K99" s="2274"/>
      <c r="L99" s="2274"/>
      <c r="M99" s="2274"/>
      <c r="N99" s="2274"/>
      <c r="O99" s="2274"/>
      <c r="P99" s="2274"/>
      <c r="Q99" s="2274"/>
    </row>
    <row r="100" spans="2:17" s="749" customFormat="1">
      <c r="B100" s="2274"/>
      <c r="C100" s="2274"/>
      <c r="D100" s="2274"/>
      <c r="E100" s="2274"/>
      <c r="F100" s="2274"/>
      <c r="G100" s="2274"/>
      <c r="H100" s="2274"/>
      <c r="I100" s="2274"/>
      <c r="J100" s="2274"/>
      <c r="K100" s="2274"/>
      <c r="L100" s="2274"/>
      <c r="M100" s="2274"/>
      <c r="N100" s="2274"/>
      <c r="O100" s="2274"/>
      <c r="P100" s="2274"/>
      <c r="Q100" s="2274"/>
    </row>
    <row r="101" spans="2:17" s="749" customFormat="1">
      <c r="B101" s="2274"/>
      <c r="C101" s="2274"/>
      <c r="D101" s="2274"/>
      <c r="E101" s="2274"/>
      <c r="F101" s="2274"/>
      <c r="G101" s="2274"/>
      <c r="H101" s="2274"/>
      <c r="I101" s="2274"/>
      <c r="J101" s="2274"/>
      <c r="K101" s="2274"/>
      <c r="L101" s="2274"/>
      <c r="M101" s="2274"/>
      <c r="N101" s="2274"/>
      <c r="O101" s="2274"/>
      <c r="P101" s="2274"/>
      <c r="Q101" s="2274"/>
    </row>
    <row r="102" spans="2:17" s="749" customFormat="1">
      <c r="B102" s="2274"/>
      <c r="C102" s="2274"/>
      <c r="D102" s="2274"/>
      <c r="E102" s="2274"/>
      <c r="F102" s="2274"/>
      <c r="G102" s="2274"/>
      <c r="H102" s="2274"/>
      <c r="I102" s="2274"/>
      <c r="J102" s="2274"/>
      <c r="K102" s="2274"/>
      <c r="L102" s="2274"/>
      <c r="M102" s="2274"/>
      <c r="N102" s="2274"/>
      <c r="O102" s="2274"/>
      <c r="P102" s="2274"/>
      <c r="Q102" s="2274"/>
    </row>
    <row r="103" spans="2:17" s="749" customFormat="1">
      <c r="B103" s="2274"/>
      <c r="C103" s="2274"/>
      <c r="D103" s="2274"/>
      <c r="E103" s="2274"/>
      <c r="F103" s="2274"/>
      <c r="G103" s="2274"/>
      <c r="H103" s="2274"/>
      <c r="I103" s="2274"/>
      <c r="J103" s="2274"/>
      <c r="K103" s="2274"/>
      <c r="L103" s="2274"/>
      <c r="M103" s="2274"/>
      <c r="N103" s="2274"/>
      <c r="O103" s="2274"/>
      <c r="P103" s="2274"/>
      <c r="Q103" s="2274"/>
    </row>
    <row r="104" spans="2:17" s="749" customFormat="1">
      <c r="B104" s="2274"/>
      <c r="C104" s="2274"/>
      <c r="D104" s="2274"/>
      <c r="E104" s="2274"/>
      <c r="F104" s="2274"/>
      <c r="G104" s="2274"/>
      <c r="H104" s="2274"/>
      <c r="I104" s="2274"/>
      <c r="J104" s="2274"/>
      <c r="K104" s="2274"/>
      <c r="L104" s="2274"/>
      <c r="M104" s="2274"/>
      <c r="N104" s="2274"/>
      <c r="O104" s="2274"/>
      <c r="P104" s="2274"/>
      <c r="Q104" s="2274"/>
    </row>
    <row r="105" spans="2:17" s="749" customFormat="1">
      <c r="B105" s="2274"/>
      <c r="C105" s="2274"/>
      <c r="D105" s="2274"/>
      <c r="E105" s="2274"/>
      <c r="F105" s="2274"/>
      <c r="G105" s="2274"/>
      <c r="H105" s="2274"/>
      <c r="I105" s="2274"/>
      <c r="J105" s="2274"/>
      <c r="K105" s="2274"/>
      <c r="L105" s="2274"/>
      <c r="M105" s="2274"/>
      <c r="N105" s="2274"/>
      <c r="O105" s="2274"/>
      <c r="P105" s="2274"/>
      <c r="Q105" s="2274"/>
    </row>
    <row r="106" spans="2:17" s="749" customFormat="1">
      <c r="B106" s="2274"/>
      <c r="C106" s="2274"/>
      <c r="D106" s="2274"/>
      <c r="E106" s="2274"/>
      <c r="F106" s="2274"/>
      <c r="G106" s="2274"/>
      <c r="H106" s="2274"/>
      <c r="I106" s="2274"/>
      <c r="J106" s="2274"/>
      <c r="K106" s="2274"/>
      <c r="L106" s="2274"/>
      <c r="M106" s="2274"/>
      <c r="N106" s="2274"/>
      <c r="O106" s="2274"/>
      <c r="P106" s="2274"/>
      <c r="Q106" s="2274"/>
    </row>
    <row r="107" spans="2:17" s="749" customFormat="1">
      <c r="B107" s="2274"/>
      <c r="C107" s="2274"/>
      <c r="D107" s="2274"/>
      <c r="E107" s="2274"/>
      <c r="F107" s="2274"/>
      <c r="G107" s="2274"/>
      <c r="H107" s="2274"/>
      <c r="I107" s="2274"/>
      <c r="J107" s="2274"/>
      <c r="K107" s="2274"/>
      <c r="L107" s="2274"/>
      <c r="M107" s="2274"/>
      <c r="N107" s="2274"/>
      <c r="O107" s="2274"/>
      <c r="P107" s="2274"/>
      <c r="Q107" s="2274"/>
    </row>
    <row r="108" spans="2:17" s="749" customFormat="1">
      <c r="B108" s="2274"/>
      <c r="C108" s="2274"/>
      <c r="D108" s="2274"/>
      <c r="E108" s="2274"/>
      <c r="F108" s="2274"/>
      <c r="G108" s="2274"/>
      <c r="H108" s="2274"/>
      <c r="I108" s="2274"/>
      <c r="J108" s="2274"/>
      <c r="K108" s="2274"/>
      <c r="L108" s="2274"/>
      <c r="M108" s="2274"/>
      <c r="N108" s="2274"/>
      <c r="O108" s="2274"/>
      <c r="P108" s="2274"/>
      <c r="Q108" s="2274"/>
    </row>
    <row r="109" spans="2:17" s="749" customFormat="1">
      <c r="B109" s="2274"/>
      <c r="C109" s="2274"/>
      <c r="D109" s="2274"/>
      <c r="E109" s="2274"/>
      <c r="F109" s="2274"/>
      <c r="G109" s="2274"/>
      <c r="H109" s="2274"/>
      <c r="I109" s="2274"/>
      <c r="J109" s="2274"/>
      <c r="K109" s="2274"/>
      <c r="L109" s="2274"/>
      <c r="M109" s="2274"/>
      <c r="N109" s="2274"/>
      <c r="O109" s="2274"/>
      <c r="P109" s="2274"/>
      <c r="Q109" s="2274"/>
    </row>
    <row r="110" spans="2:17" s="749" customFormat="1">
      <c r="B110" s="2274"/>
      <c r="C110" s="2274"/>
      <c r="D110" s="2274"/>
      <c r="E110" s="2274"/>
      <c r="F110" s="2274"/>
      <c r="G110" s="2274"/>
      <c r="H110" s="2274"/>
      <c r="I110" s="2274"/>
      <c r="J110" s="2274"/>
      <c r="K110" s="2274"/>
      <c r="L110" s="2274"/>
      <c r="M110" s="2274"/>
      <c r="N110" s="2274"/>
      <c r="O110" s="2274"/>
      <c r="P110" s="2274"/>
      <c r="Q110" s="2274"/>
    </row>
    <row r="111" spans="2:17" s="749" customFormat="1">
      <c r="B111" s="2274"/>
      <c r="C111" s="2274"/>
      <c r="D111" s="2274"/>
      <c r="E111" s="2274"/>
      <c r="F111" s="2274"/>
      <c r="G111" s="2274"/>
      <c r="H111" s="2274"/>
      <c r="I111" s="2274"/>
      <c r="J111" s="2274"/>
      <c r="K111" s="2274"/>
      <c r="L111" s="2274"/>
      <c r="M111" s="2274"/>
      <c r="N111" s="2274"/>
      <c r="O111" s="2274"/>
      <c r="P111" s="2274"/>
      <c r="Q111" s="2274"/>
    </row>
    <row r="112" spans="2:17" s="749" customFormat="1">
      <c r="B112" s="2274"/>
      <c r="C112" s="2274"/>
      <c r="D112" s="2274"/>
      <c r="E112" s="2274"/>
      <c r="F112" s="2274"/>
      <c r="G112" s="2274"/>
      <c r="H112" s="2274"/>
      <c r="I112" s="2274"/>
      <c r="J112" s="2274"/>
      <c r="K112" s="2274"/>
      <c r="L112" s="2274"/>
      <c r="M112" s="2274"/>
      <c r="N112" s="2274"/>
      <c r="O112" s="2274"/>
      <c r="P112" s="2274"/>
      <c r="Q112" s="2274"/>
    </row>
    <row r="113" spans="2:17" s="749" customFormat="1">
      <c r="B113" s="2274"/>
      <c r="C113" s="2274"/>
      <c r="D113" s="2274"/>
      <c r="E113" s="2274"/>
      <c r="F113" s="2274"/>
      <c r="G113" s="2274"/>
      <c r="H113" s="2274"/>
      <c r="I113" s="2274"/>
      <c r="J113" s="2274"/>
      <c r="K113" s="2274"/>
      <c r="L113" s="2274"/>
      <c r="M113" s="2274"/>
      <c r="N113" s="2274"/>
      <c r="O113" s="2274"/>
      <c r="P113" s="2274"/>
      <c r="Q113" s="2274"/>
    </row>
    <row r="114" spans="2:17" s="749" customFormat="1">
      <c r="B114" s="2274"/>
      <c r="C114" s="2274"/>
      <c r="D114" s="2274"/>
      <c r="E114" s="2274"/>
      <c r="F114" s="2274"/>
      <c r="G114" s="2274"/>
      <c r="H114" s="2274"/>
      <c r="I114" s="2274"/>
      <c r="J114" s="2274"/>
      <c r="K114" s="2274"/>
      <c r="L114" s="2274"/>
      <c r="M114" s="2274"/>
      <c r="N114" s="2274"/>
      <c r="O114" s="2274"/>
      <c r="P114" s="2274"/>
      <c r="Q114" s="2274"/>
    </row>
    <row r="115" spans="2:17" s="749" customFormat="1">
      <c r="B115" s="2274"/>
      <c r="C115" s="2274"/>
      <c r="D115" s="2274"/>
      <c r="E115" s="2274"/>
      <c r="F115" s="2274"/>
      <c r="G115" s="2274"/>
      <c r="H115" s="2274"/>
      <c r="I115" s="2274"/>
      <c r="J115" s="2274"/>
      <c r="K115" s="2274"/>
      <c r="L115" s="2274"/>
      <c r="M115" s="2274"/>
      <c r="N115" s="2274"/>
      <c r="O115" s="2274"/>
      <c r="P115" s="2274"/>
      <c r="Q115" s="2274"/>
    </row>
    <row r="116" spans="2:17" s="749" customFormat="1">
      <c r="B116" s="2274"/>
      <c r="C116" s="2274"/>
      <c r="D116" s="2274"/>
      <c r="E116" s="2274"/>
      <c r="F116" s="2274"/>
      <c r="G116" s="2274"/>
      <c r="H116" s="2274"/>
      <c r="I116" s="2274"/>
      <c r="J116" s="2274"/>
      <c r="K116" s="2274"/>
      <c r="L116" s="2274"/>
      <c r="M116" s="2274"/>
      <c r="N116" s="2274"/>
      <c r="O116" s="2274"/>
      <c r="P116" s="2274"/>
      <c r="Q116" s="2274"/>
    </row>
    <row r="117" spans="2:17" s="749" customFormat="1">
      <c r="B117" s="2274"/>
      <c r="C117" s="2274"/>
      <c r="D117" s="2274"/>
      <c r="E117" s="2274"/>
      <c r="F117" s="2274"/>
      <c r="G117" s="2274"/>
      <c r="H117" s="2274"/>
      <c r="I117" s="2274"/>
      <c r="J117" s="2274"/>
      <c r="K117" s="2274"/>
      <c r="L117" s="2274"/>
      <c r="M117" s="2274"/>
      <c r="N117" s="2274"/>
      <c r="O117" s="2274"/>
      <c r="P117" s="2274"/>
      <c r="Q117" s="2274"/>
    </row>
    <row r="118" spans="2:17" s="749" customFormat="1">
      <c r="B118" s="2274"/>
      <c r="C118" s="2274"/>
      <c r="D118" s="2274"/>
      <c r="E118" s="2274"/>
      <c r="F118" s="2274"/>
      <c r="G118" s="2274"/>
      <c r="H118" s="2274"/>
      <c r="I118" s="2274"/>
      <c r="J118" s="2274"/>
      <c r="K118" s="2274"/>
      <c r="L118" s="2274"/>
      <c r="M118" s="2274"/>
      <c r="N118" s="2274"/>
      <c r="O118" s="2274"/>
      <c r="P118" s="2274"/>
      <c r="Q118" s="2274"/>
    </row>
    <row r="119" spans="2:17" s="749" customFormat="1">
      <c r="B119" s="2274"/>
      <c r="C119" s="2274"/>
      <c r="D119" s="2274"/>
      <c r="E119" s="2274"/>
      <c r="F119" s="2274"/>
      <c r="G119" s="2274"/>
      <c r="H119" s="2274"/>
      <c r="I119" s="2274"/>
      <c r="J119" s="2274"/>
      <c r="K119" s="2274"/>
      <c r="L119" s="2274"/>
      <c r="M119" s="2274"/>
      <c r="N119" s="2274"/>
      <c r="O119" s="2274"/>
      <c r="P119" s="2274"/>
      <c r="Q119" s="2274"/>
    </row>
    <row r="120" spans="2:17" s="749" customFormat="1">
      <c r="B120" s="2274"/>
      <c r="C120" s="2274"/>
      <c r="D120" s="2274"/>
      <c r="E120" s="2274"/>
      <c r="F120" s="2274"/>
      <c r="G120" s="2274"/>
      <c r="H120" s="2274"/>
      <c r="I120" s="2274"/>
      <c r="J120" s="2274"/>
      <c r="K120" s="2274"/>
      <c r="L120" s="2274"/>
      <c r="M120" s="2274"/>
      <c r="N120" s="2274"/>
      <c r="O120" s="2274"/>
      <c r="P120" s="2274"/>
      <c r="Q120" s="2274"/>
    </row>
    <row r="121" spans="2:17" s="749" customFormat="1">
      <c r="B121" s="2274"/>
      <c r="C121" s="2274"/>
      <c r="D121" s="2274"/>
      <c r="E121" s="2274"/>
      <c r="F121" s="2274"/>
      <c r="G121" s="2274"/>
      <c r="H121" s="2274"/>
      <c r="I121" s="2274"/>
      <c r="J121" s="2274"/>
      <c r="K121" s="2274"/>
      <c r="L121" s="2274"/>
      <c r="M121" s="2274"/>
      <c r="N121" s="2274"/>
      <c r="O121" s="2274"/>
      <c r="P121" s="2274"/>
      <c r="Q121" s="2274"/>
    </row>
    <row r="122" spans="2:17" s="749" customFormat="1">
      <c r="B122" s="2274"/>
      <c r="C122" s="2274"/>
      <c r="D122" s="2274"/>
      <c r="E122" s="2274"/>
      <c r="F122" s="2274"/>
      <c r="G122" s="2274"/>
      <c r="H122" s="2274"/>
      <c r="I122" s="2274"/>
      <c r="J122" s="2274"/>
      <c r="K122" s="2274"/>
      <c r="L122" s="2274"/>
      <c r="M122" s="2274"/>
      <c r="N122" s="2274"/>
      <c r="O122" s="2274"/>
      <c r="P122" s="2274"/>
      <c r="Q122" s="2274"/>
    </row>
    <row r="123" spans="2:17" s="749" customFormat="1">
      <c r="B123" s="2274"/>
      <c r="C123" s="2274"/>
      <c r="D123" s="2274"/>
      <c r="E123" s="2274"/>
      <c r="F123" s="2274"/>
      <c r="G123" s="2274"/>
      <c r="H123" s="2274"/>
      <c r="I123" s="2274"/>
      <c r="J123" s="2274"/>
      <c r="K123" s="2274"/>
      <c r="L123" s="2274"/>
      <c r="M123" s="2274"/>
      <c r="N123" s="2274"/>
      <c r="O123" s="2274"/>
      <c r="P123" s="2274"/>
      <c r="Q123" s="2274"/>
    </row>
    <row r="124" spans="2:17" s="749" customFormat="1">
      <c r="B124" s="2274"/>
      <c r="C124" s="2274"/>
      <c r="D124" s="2274"/>
      <c r="E124" s="2274"/>
      <c r="F124" s="2274"/>
      <c r="G124" s="2274"/>
      <c r="H124" s="2274"/>
      <c r="I124" s="2274"/>
      <c r="J124" s="2274"/>
      <c r="K124" s="2274"/>
      <c r="L124" s="2274"/>
      <c r="M124" s="2274"/>
      <c r="N124" s="2274"/>
      <c r="O124" s="2274"/>
      <c r="P124" s="2274"/>
      <c r="Q124" s="2274"/>
    </row>
    <row r="125" spans="2:17" s="749" customFormat="1">
      <c r="B125" s="2274"/>
      <c r="C125" s="2274"/>
      <c r="D125" s="2274"/>
      <c r="E125" s="2274"/>
      <c r="F125" s="2274"/>
      <c r="G125" s="2274"/>
      <c r="H125" s="2274"/>
      <c r="I125" s="2274"/>
      <c r="J125" s="2274"/>
      <c r="K125" s="2274"/>
      <c r="L125" s="2274"/>
      <c r="M125" s="2274"/>
      <c r="N125" s="2274"/>
      <c r="O125" s="2274"/>
      <c r="P125" s="2274"/>
      <c r="Q125" s="2274"/>
    </row>
    <row r="126" spans="2:17" s="749" customFormat="1">
      <c r="B126" s="2274"/>
      <c r="C126" s="2274"/>
      <c r="D126" s="2274"/>
      <c r="E126" s="2274"/>
      <c r="F126" s="2274"/>
      <c r="G126" s="2274"/>
      <c r="H126" s="2274"/>
      <c r="I126" s="2274"/>
      <c r="J126" s="2274"/>
      <c r="K126" s="2274"/>
      <c r="L126" s="2274"/>
      <c r="M126" s="2274"/>
      <c r="N126" s="2274"/>
      <c r="O126" s="2274"/>
      <c r="P126" s="2274"/>
      <c r="Q126" s="2274"/>
    </row>
    <row r="127" spans="2:17" s="749" customFormat="1">
      <c r="B127" s="2274"/>
      <c r="C127" s="2274"/>
      <c r="D127" s="2274"/>
      <c r="E127" s="2274"/>
      <c r="F127" s="2274"/>
      <c r="G127" s="2274"/>
      <c r="H127" s="2274"/>
      <c r="I127" s="2274"/>
      <c r="J127" s="2274"/>
      <c r="K127" s="2274"/>
      <c r="L127" s="2274"/>
      <c r="M127" s="2274"/>
      <c r="N127" s="2274"/>
      <c r="O127" s="2274"/>
      <c r="P127" s="2274"/>
      <c r="Q127" s="2274"/>
    </row>
    <row r="128" spans="2:17" s="749" customFormat="1">
      <c r="B128" s="2274"/>
      <c r="C128" s="2274"/>
      <c r="D128" s="2274"/>
      <c r="E128" s="2274"/>
      <c r="F128" s="2274"/>
      <c r="G128" s="2274"/>
      <c r="H128" s="2274"/>
      <c r="I128" s="2274"/>
      <c r="J128" s="2274"/>
      <c r="K128" s="2274"/>
      <c r="L128" s="2274"/>
      <c r="M128" s="2274"/>
      <c r="N128" s="2274"/>
      <c r="O128" s="2274"/>
      <c r="P128" s="2274"/>
      <c r="Q128" s="2274"/>
    </row>
    <row r="129" spans="2:17" s="749" customFormat="1">
      <c r="B129" s="2274"/>
      <c r="C129" s="2274"/>
      <c r="D129" s="2274"/>
      <c r="E129" s="2274"/>
      <c r="F129" s="2274"/>
      <c r="G129" s="2274"/>
      <c r="H129" s="2274"/>
      <c r="I129" s="2274"/>
      <c r="J129" s="2274"/>
      <c r="K129" s="2274"/>
      <c r="L129" s="2274"/>
      <c r="M129" s="2274"/>
      <c r="N129" s="2274"/>
      <c r="O129" s="2274"/>
      <c r="P129" s="2274"/>
      <c r="Q129" s="2274"/>
    </row>
    <row r="130" spans="2:17" s="749" customFormat="1">
      <c r="B130" s="2274"/>
      <c r="C130" s="2274"/>
      <c r="D130" s="2274"/>
      <c r="E130" s="2274"/>
      <c r="F130" s="2274"/>
      <c r="G130" s="2274"/>
      <c r="H130" s="2274"/>
      <c r="I130" s="2274"/>
      <c r="J130" s="2274"/>
      <c r="K130" s="2274"/>
      <c r="L130" s="2274"/>
      <c r="M130" s="2274"/>
      <c r="N130" s="2274"/>
      <c r="O130" s="2274"/>
      <c r="P130" s="2274"/>
      <c r="Q130" s="2274"/>
    </row>
    <row r="131" spans="2:17" s="749" customFormat="1">
      <c r="B131" s="2274"/>
      <c r="C131" s="2274"/>
      <c r="D131" s="2274"/>
      <c r="E131" s="2274"/>
      <c r="F131" s="2274"/>
      <c r="G131" s="2274"/>
      <c r="H131" s="2274"/>
      <c r="I131" s="2274"/>
      <c r="J131" s="2274"/>
      <c r="K131" s="2274"/>
      <c r="L131" s="2274"/>
      <c r="M131" s="2274"/>
      <c r="N131" s="2274"/>
      <c r="O131" s="2274"/>
      <c r="P131" s="2274"/>
      <c r="Q131" s="2274"/>
    </row>
    <row r="132" spans="2:17" s="749" customFormat="1">
      <c r="B132" s="2274"/>
      <c r="C132" s="2274"/>
      <c r="D132" s="2274"/>
      <c r="E132" s="2274"/>
      <c r="F132" s="2274"/>
      <c r="G132" s="2274"/>
      <c r="H132" s="2274"/>
      <c r="I132" s="2274"/>
      <c r="J132" s="2274"/>
      <c r="K132" s="2274"/>
      <c r="L132" s="2274"/>
      <c r="M132" s="2274"/>
      <c r="N132" s="2274"/>
      <c r="O132" s="2274"/>
      <c r="P132" s="2274"/>
      <c r="Q132" s="2274"/>
    </row>
    <row r="133" spans="2:17" s="749" customFormat="1">
      <c r="B133" s="2274"/>
      <c r="C133" s="2274"/>
      <c r="D133" s="2274"/>
      <c r="E133" s="2274"/>
      <c r="F133" s="2274"/>
      <c r="G133" s="2274"/>
      <c r="H133" s="2274"/>
      <c r="I133" s="2274"/>
      <c r="J133" s="2274"/>
      <c r="K133" s="2274"/>
      <c r="L133" s="2274"/>
      <c r="M133" s="2274"/>
      <c r="N133" s="2274"/>
      <c r="O133" s="2274"/>
      <c r="P133" s="2274"/>
      <c r="Q133" s="2274"/>
    </row>
    <row r="134" spans="2:17" s="749" customFormat="1">
      <c r="B134" s="2274"/>
      <c r="C134" s="2274"/>
      <c r="D134" s="2274"/>
      <c r="E134" s="2274"/>
      <c r="F134" s="2274"/>
      <c r="G134" s="2274"/>
      <c r="H134" s="2274"/>
      <c r="I134" s="2274"/>
      <c r="J134" s="2274"/>
      <c r="K134" s="2274"/>
      <c r="L134" s="2274"/>
      <c r="M134" s="2274"/>
      <c r="N134" s="2274"/>
      <c r="O134" s="2274"/>
      <c r="P134" s="2274"/>
      <c r="Q134" s="2274"/>
    </row>
    <row r="135" spans="2:17" s="749" customFormat="1">
      <c r="B135" s="2274"/>
      <c r="C135" s="2274"/>
      <c r="D135" s="2274"/>
      <c r="E135" s="2274"/>
      <c r="F135" s="2274"/>
      <c r="G135" s="2274"/>
      <c r="H135" s="2274"/>
      <c r="I135" s="2274"/>
      <c r="J135" s="2274"/>
      <c r="K135" s="2274"/>
      <c r="L135" s="2274"/>
      <c r="M135" s="2274"/>
      <c r="N135" s="2274"/>
      <c r="O135" s="2274"/>
      <c r="P135" s="2274"/>
      <c r="Q135" s="2274"/>
    </row>
    <row r="136" spans="2:17" s="749" customFormat="1">
      <c r="B136" s="2274"/>
      <c r="C136" s="2274"/>
      <c r="D136" s="2274"/>
      <c r="E136" s="2274"/>
      <c r="F136" s="2274"/>
      <c r="G136" s="2274"/>
      <c r="H136" s="2274"/>
      <c r="I136" s="2274"/>
      <c r="J136" s="2274"/>
      <c r="K136" s="2274"/>
      <c r="L136" s="2274"/>
      <c r="M136" s="2274"/>
      <c r="N136" s="2274"/>
      <c r="O136" s="2274"/>
      <c r="P136" s="2274"/>
      <c r="Q136" s="2274"/>
    </row>
    <row r="137" spans="2:17" s="749" customFormat="1">
      <c r="B137" s="2274"/>
      <c r="C137" s="2274"/>
      <c r="D137" s="2274"/>
      <c r="E137" s="2274"/>
      <c r="F137" s="2274"/>
      <c r="G137" s="2274"/>
      <c r="H137" s="2274"/>
      <c r="I137" s="2274"/>
      <c r="J137" s="2274"/>
      <c r="K137" s="2274"/>
      <c r="L137" s="2274"/>
      <c r="M137" s="2274"/>
      <c r="N137" s="2274"/>
      <c r="O137" s="2274"/>
      <c r="P137" s="2274"/>
      <c r="Q137" s="2274"/>
    </row>
    <row r="138" spans="2:17" s="749" customFormat="1">
      <c r="B138" s="2274"/>
      <c r="C138" s="2274"/>
      <c r="D138" s="2274"/>
      <c r="E138" s="2274"/>
      <c r="F138" s="2274"/>
      <c r="G138" s="2274"/>
      <c r="H138" s="2274"/>
      <c r="I138" s="2274"/>
      <c r="J138" s="2274"/>
      <c r="K138" s="2274"/>
      <c r="L138" s="2274"/>
      <c r="M138" s="2274"/>
      <c r="N138" s="2274"/>
      <c r="O138" s="2274"/>
      <c r="P138" s="2274"/>
      <c r="Q138" s="2274"/>
    </row>
    <row r="139" spans="2:17" s="749" customFormat="1">
      <c r="B139" s="2274"/>
      <c r="C139" s="2274"/>
      <c r="D139" s="2274"/>
      <c r="E139" s="2274"/>
      <c r="F139" s="2274"/>
      <c r="G139" s="2274"/>
      <c r="H139" s="2274"/>
      <c r="I139" s="2274"/>
      <c r="J139" s="2274"/>
      <c r="K139" s="2274"/>
      <c r="L139" s="2274"/>
      <c r="M139" s="2274"/>
      <c r="N139" s="2274"/>
      <c r="O139" s="2274"/>
      <c r="P139" s="2274"/>
      <c r="Q139" s="2274"/>
    </row>
    <row r="140" spans="2:17" s="749" customFormat="1">
      <c r="B140" s="2274"/>
      <c r="C140" s="2274"/>
      <c r="D140" s="2274"/>
      <c r="E140" s="2274"/>
      <c r="F140" s="2274"/>
      <c r="G140" s="2274"/>
      <c r="H140" s="2274"/>
      <c r="I140" s="2274"/>
      <c r="J140" s="2274"/>
      <c r="K140" s="2274"/>
      <c r="L140" s="2274"/>
      <c r="M140" s="2274"/>
      <c r="N140" s="2274"/>
      <c r="O140" s="2274"/>
      <c r="P140" s="2274"/>
      <c r="Q140" s="2274"/>
    </row>
    <row r="141" spans="2:17" s="749" customFormat="1">
      <c r="B141" s="2274"/>
      <c r="C141" s="2274"/>
      <c r="D141" s="2274"/>
      <c r="E141" s="2274"/>
      <c r="F141" s="2274"/>
      <c r="G141" s="2274"/>
      <c r="H141" s="2274"/>
      <c r="I141" s="2274"/>
      <c r="J141" s="2274"/>
      <c r="K141" s="2274"/>
      <c r="L141" s="2274"/>
      <c r="M141" s="2274"/>
      <c r="N141" s="2274"/>
      <c r="O141" s="2274"/>
      <c r="P141" s="2274"/>
      <c r="Q141" s="2274"/>
    </row>
    <row r="142" spans="2:17" s="749" customFormat="1">
      <c r="B142" s="2274"/>
      <c r="C142" s="2274"/>
      <c r="D142" s="2274"/>
      <c r="E142" s="2274"/>
      <c r="F142" s="2274"/>
      <c r="G142" s="2274"/>
      <c r="H142" s="2274"/>
      <c r="I142" s="2274"/>
      <c r="J142" s="2274"/>
      <c r="K142" s="2274"/>
      <c r="L142" s="2274"/>
      <c r="M142" s="2274"/>
      <c r="N142" s="2274"/>
      <c r="O142" s="2274"/>
      <c r="P142" s="2274"/>
      <c r="Q142" s="2274"/>
    </row>
    <row r="143" spans="2:17" s="749" customFormat="1">
      <c r="B143" s="2274"/>
      <c r="C143" s="2274"/>
      <c r="D143" s="2274"/>
      <c r="E143" s="2274"/>
      <c r="F143" s="2274"/>
      <c r="G143" s="2274"/>
      <c r="H143" s="2274"/>
      <c r="I143" s="2274"/>
      <c r="J143" s="2274"/>
      <c r="K143" s="2274"/>
      <c r="L143" s="2274"/>
      <c r="M143" s="2274"/>
      <c r="N143" s="2274"/>
      <c r="O143" s="2274"/>
      <c r="P143" s="2274"/>
      <c r="Q143" s="2274"/>
    </row>
    <row r="144" spans="2:17" s="749" customFormat="1">
      <c r="B144" s="2274"/>
      <c r="C144" s="2274"/>
      <c r="D144" s="2274"/>
      <c r="E144" s="2274"/>
      <c r="F144" s="2274"/>
      <c r="G144" s="2274"/>
      <c r="H144" s="2274"/>
      <c r="I144" s="2274"/>
      <c r="J144" s="2274"/>
      <c r="K144" s="2274"/>
      <c r="L144" s="2274"/>
      <c r="M144" s="2274"/>
      <c r="N144" s="2274"/>
      <c r="O144" s="2274"/>
      <c r="P144" s="2274"/>
      <c r="Q144" s="2274"/>
    </row>
    <row r="145" spans="2:17" s="749" customFormat="1">
      <c r="B145" s="2274"/>
      <c r="C145" s="2274"/>
      <c r="D145" s="2274"/>
      <c r="E145" s="2274"/>
      <c r="F145" s="2274"/>
      <c r="G145" s="2274"/>
      <c r="H145" s="2274"/>
      <c r="I145" s="2274"/>
      <c r="J145" s="2274"/>
      <c r="K145" s="2274"/>
      <c r="L145" s="2274"/>
      <c r="M145" s="2274"/>
      <c r="N145" s="2274"/>
      <c r="O145" s="2274"/>
      <c r="P145" s="2274"/>
      <c r="Q145" s="2274"/>
    </row>
    <row r="146" spans="2:17" s="749" customFormat="1">
      <c r="B146" s="2274"/>
      <c r="C146" s="2274"/>
      <c r="D146" s="2274"/>
      <c r="E146" s="2274"/>
      <c r="F146" s="2274"/>
      <c r="G146" s="2274"/>
      <c r="H146" s="2274"/>
      <c r="I146" s="2274"/>
      <c r="J146" s="2274"/>
      <c r="K146" s="2274"/>
      <c r="L146" s="2274"/>
      <c r="M146" s="2274"/>
      <c r="N146" s="2274"/>
      <c r="O146" s="2274"/>
      <c r="P146" s="2274"/>
      <c r="Q146" s="2274"/>
    </row>
    <row r="147" spans="2:17" s="749" customFormat="1">
      <c r="B147" s="2274"/>
      <c r="C147" s="2274"/>
      <c r="D147" s="2274"/>
      <c r="E147" s="2274"/>
      <c r="F147" s="2274"/>
      <c r="G147" s="2274"/>
      <c r="H147" s="2274"/>
      <c r="I147" s="2274"/>
      <c r="J147" s="2274"/>
      <c r="K147" s="2274"/>
      <c r="L147" s="2274"/>
      <c r="M147" s="2274"/>
      <c r="N147" s="2274"/>
      <c r="O147" s="2274"/>
      <c r="P147" s="2274"/>
      <c r="Q147" s="2274"/>
    </row>
    <row r="148" spans="2:17" s="749" customFormat="1">
      <c r="B148" s="2274"/>
      <c r="C148" s="2274"/>
      <c r="D148" s="2274"/>
      <c r="E148" s="2274"/>
      <c r="F148" s="2274"/>
      <c r="G148" s="2274"/>
      <c r="H148" s="2274"/>
      <c r="I148" s="2274"/>
      <c r="J148" s="2274"/>
      <c r="K148" s="2274"/>
      <c r="L148" s="2274"/>
      <c r="M148" s="2274"/>
      <c r="N148" s="2274"/>
      <c r="O148" s="2274"/>
      <c r="P148" s="2274"/>
      <c r="Q148" s="2274"/>
    </row>
    <row r="149" spans="2:17" s="749" customFormat="1">
      <c r="B149" s="2274"/>
      <c r="C149" s="2274"/>
      <c r="D149" s="2274"/>
      <c r="E149" s="2274"/>
      <c r="F149" s="2274"/>
      <c r="G149" s="2274"/>
      <c r="H149" s="2274"/>
      <c r="I149" s="2274"/>
      <c r="J149" s="2274"/>
      <c r="K149" s="2274"/>
      <c r="L149" s="2274"/>
      <c r="M149" s="2274"/>
      <c r="N149" s="2274"/>
      <c r="O149" s="2274"/>
      <c r="P149" s="2274"/>
      <c r="Q149" s="2274"/>
    </row>
    <row r="150" spans="2:17" s="749" customFormat="1">
      <c r="B150" s="2274"/>
      <c r="C150" s="2274"/>
      <c r="D150" s="2274"/>
      <c r="E150" s="2274"/>
      <c r="F150" s="2274"/>
      <c r="G150" s="2274"/>
      <c r="H150" s="2274"/>
      <c r="I150" s="2274"/>
      <c r="J150" s="2274"/>
      <c r="K150" s="2274"/>
      <c r="L150" s="2274"/>
      <c r="M150" s="2274"/>
      <c r="N150" s="2274"/>
      <c r="O150" s="2274"/>
      <c r="P150" s="2274"/>
      <c r="Q150" s="2274"/>
    </row>
    <row r="151" spans="2:17" s="749" customFormat="1">
      <c r="B151" s="2274"/>
      <c r="C151" s="2274"/>
      <c r="D151" s="2274"/>
      <c r="E151" s="2274"/>
      <c r="F151" s="2274"/>
      <c r="G151" s="2274"/>
      <c r="H151" s="2274"/>
      <c r="I151" s="2274"/>
      <c r="J151" s="2274"/>
      <c r="K151" s="2274"/>
      <c r="L151" s="2274"/>
      <c r="M151" s="2274"/>
      <c r="N151" s="2274"/>
      <c r="O151" s="2274"/>
      <c r="P151" s="2274"/>
      <c r="Q151" s="2274"/>
    </row>
    <row r="152" spans="2:17" s="749" customFormat="1">
      <c r="B152" s="2274"/>
      <c r="C152" s="2274"/>
      <c r="D152" s="2274"/>
      <c r="E152" s="2274"/>
      <c r="F152" s="2274"/>
      <c r="G152" s="2274"/>
      <c r="H152" s="2274"/>
      <c r="I152" s="2274"/>
      <c r="J152" s="2274"/>
      <c r="K152" s="2274"/>
      <c r="L152" s="2274"/>
      <c r="M152" s="2274"/>
      <c r="N152" s="2274"/>
      <c r="O152" s="2274"/>
      <c r="P152" s="2274"/>
      <c r="Q152" s="2274"/>
    </row>
    <row r="153" spans="2:17" s="749" customFormat="1">
      <c r="B153" s="2274"/>
      <c r="C153" s="2274"/>
      <c r="D153" s="2274"/>
      <c r="E153" s="2274"/>
      <c r="F153" s="2274"/>
      <c r="G153" s="2274"/>
      <c r="H153" s="2274"/>
      <c r="I153" s="2274"/>
      <c r="J153" s="2274"/>
      <c r="K153" s="2274"/>
      <c r="L153" s="2274"/>
      <c r="M153" s="2274"/>
      <c r="N153" s="2274"/>
      <c r="O153" s="2274"/>
      <c r="P153" s="2274"/>
      <c r="Q153" s="2274"/>
    </row>
    <row r="154" spans="2:17" s="749" customFormat="1">
      <c r="B154" s="2274"/>
      <c r="C154" s="2274"/>
      <c r="D154" s="2274"/>
      <c r="E154" s="2274"/>
      <c r="F154" s="2274"/>
      <c r="G154" s="2274"/>
      <c r="H154" s="2274"/>
      <c r="I154" s="2274"/>
      <c r="J154" s="2274"/>
      <c r="K154" s="2274"/>
      <c r="L154" s="2274"/>
      <c r="M154" s="2274"/>
      <c r="N154" s="2274"/>
      <c r="O154" s="2274"/>
      <c r="P154" s="2274"/>
      <c r="Q154" s="2274"/>
    </row>
    <row r="155" spans="2:17" s="749" customFormat="1">
      <c r="B155" s="2274"/>
      <c r="C155" s="2274"/>
      <c r="D155" s="2274"/>
      <c r="E155" s="2274"/>
      <c r="F155" s="2274"/>
      <c r="G155" s="2274"/>
      <c r="H155" s="2274"/>
      <c r="I155" s="2274"/>
      <c r="J155" s="2274"/>
      <c r="K155" s="2274"/>
      <c r="L155" s="2274"/>
      <c r="M155" s="2274"/>
      <c r="N155" s="2274"/>
      <c r="O155" s="2274"/>
      <c r="P155" s="2274"/>
      <c r="Q155" s="2274"/>
    </row>
    <row r="156" spans="2:17" s="749" customFormat="1">
      <c r="B156" s="2274"/>
      <c r="C156" s="2274"/>
      <c r="D156" s="2274"/>
      <c r="E156" s="2274"/>
      <c r="F156" s="2274"/>
      <c r="G156" s="2274"/>
      <c r="H156" s="2274"/>
      <c r="I156" s="2274"/>
      <c r="J156" s="2274"/>
      <c r="K156" s="2274"/>
      <c r="L156" s="2274"/>
      <c r="M156" s="2274"/>
      <c r="N156" s="2274"/>
      <c r="O156" s="2274"/>
      <c r="P156" s="2274"/>
      <c r="Q156" s="2274"/>
    </row>
    <row r="157" spans="2:17" s="749" customFormat="1">
      <c r="B157" s="2274"/>
      <c r="C157" s="2274"/>
      <c r="D157" s="2274"/>
      <c r="E157" s="2274"/>
      <c r="F157" s="2274"/>
      <c r="G157" s="2274"/>
      <c r="H157" s="2274"/>
      <c r="I157" s="2274"/>
      <c r="J157" s="2274"/>
      <c r="K157" s="2274"/>
      <c r="L157" s="2274"/>
      <c r="M157" s="2274"/>
      <c r="N157" s="2274"/>
      <c r="O157" s="2274"/>
      <c r="P157" s="2274"/>
      <c r="Q157" s="2274"/>
    </row>
    <row r="158" spans="2:17" s="749" customFormat="1">
      <c r="B158" s="2274"/>
      <c r="C158" s="2274"/>
      <c r="D158" s="2274"/>
      <c r="E158" s="2274"/>
      <c r="F158" s="2274"/>
      <c r="G158" s="2274"/>
      <c r="H158" s="2274"/>
      <c r="I158" s="2274"/>
      <c r="J158" s="2274"/>
      <c r="K158" s="2274"/>
      <c r="L158" s="2274"/>
      <c r="M158" s="2274"/>
      <c r="N158" s="2274"/>
      <c r="O158" s="2274"/>
      <c r="P158" s="2274"/>
      <c r="Q158" s="2274"/>
    </row>
    <row r="159" spans="2:17" s="749" customFormat="1">
      <c r="B159" s="2274"/>
      <c r="C159" s="2274"/>
      <c r="D159" s="2274"/>
      <c r="E159" s="2274"/>
      <c r="F159" s="2274"/>
      <c r="G159" s="2274"/>
      <c r="H159" s="2274"/>
      <c r="I159" s="2274"/>
      <c r="J159" s="2274"/>
      <c r="K159" s="2274"/>
      <c r="L159" s="2274"/>
      <c r="M159" s="2274"/>
      <c r="N159" s="2274"/>
      <c r="O159" s="2274"/>
      <c r="P159" s="2274"/>
      <c r="Q159" s="2274"/>
    </row>
    <row r="160" spans="2:17" s="749" customFormat="1">
      <c r="B160" s="2274"/>
      <c r="C160" s="2274"/>
      <c r="D160" s="2274"/>
      <c r="E160" s="2274"/>
      <c r="F160" s="2274"/>
      <c r="G160" s="2274"/>
      <c r="H160" s="2274"/>
      <c r="I160" s="2274"/>
      <c r="J160" s="2274"/>
      <c r="K160" s="2274"/>
      <c r="L160" s="2274"/>
      <c r="M160" s="2274"/>
      <c r="N160" s="2274"/>
      <c r="O160" s="2274"/>
      <c r="P160" s="2274"/>
      <c r="Q160" s="2274"/>
    </row>
    <row r="161" spans="2:17" s="749" customFormat="1">
      <c r="B161" s="2274"/>
      <c r="C161" s="2274"/>
      <c r="D161" s="2274"/>
      <c r="E161" s="2274"/>
      <c r="F161" s="2274"/>
      <c r="G161" s="2274"/>
      <c r="H161" s="2274"/>
      <c r="I161" s="2274"/>
      <c r="J161" s="2274"/>
      <c r="K161" s="2274"/>
      <c r="L161" s="2274"/>
      <c r="M161" s="2274"/>
      <c r="N161" s="2274"/>
      <c r="O161" s="2274"/>
      <c r="P161" s="2274"/>
      <c r="Q161" s="2274"/>
    </row>
    <row r="162" spans="2:17" s="749" customFormat="1">
      <c r="B162" s="2274"/>
      <c r="C162" s="2274"/>
      <c r="D162" s="2274"/>
      <c r="E162" s="2274"/>
      <c r="F162" s="2274"/>
      <c r="G162" s="2274"/>
      <c r="H162" s="2274"/>
      <c r="I162" s="2274"/>
      <c r="J162" s="2274"/>
      <c r="K162" s="2274"/>
      <c r="L162" s="2274"/>
      <c r="M162" s="2274"/>
      <c r="N162" s="2274"/>
      <c r="O162" s="2274"/>
      <c r="P162" s="2274"/>
      <c r="Q162" s="2274"/>
    </row>
    <row r="163" spans="2:17" s="749" customFormat="1">
      <c r="B163" s="2274"/>
      <c r="C163" s="2274"/>
      <c r="D163" s="2274"/>
      <c r="E163" s="2274"/>
      <c r="F163" s="2274"/>
      <c r="G163" s="2274"/>
      <c r="H163" s="2274"/>
      <c r="I163" s="2274"/>
      <c r="J163" s="2274"/>
      <c r="K163" s="2274"/>
      <c r="L163" s="2274"/>
      <c r="M163" s="2274"/>
      <c r="N163" s="2274"/>
      <c r="O163" s="2274"/>
      <c r="P163" s="2274"/>
      <c r="Q163" s="2274"/>
    </row>
    <row r="164" spans="2:17" s="749" customFormat="1">
      <c r="B164" s="2274"/>
      <c r="C164" s="2274"/>
      <c r="D164" s="2274"/>
      <c r="E164" s="2274"/>
      <c r="F164" s="2274"/>
      <c r="G164" s="2274"/>
      <c r="H164" s="2274"/>
      <c r="I164" s="2274"/>
      <c r="J164" s="2274"/>
      <c r="K164" s="2274"/>
      <c r="L164" s="2274"/>
      <c r="M164" s="2274"/>
      <c r="N164" s="2274"/>
      <c r="O164" s="2274"/>
      <c r="P164" s="2274"/>
      <c r="Q164" s="2274"/>
    </row>
    <row r="165" spans="2:17" s="749" customFormat="1">
      <c r="B165" s="2274"/>
      <c r="C165" s="2274"/>
      <c r="D165" s="2274"/>
      <c r="E165" s="2274"/>
      <c r="F165" s="2274"/>
      <c r="G165" s="2274"/>
      <c r="H165" s="2274"/>
      <c r="I165" s="2274"/>
      <c r="J165" s="2274"/>
      <c r="K165" s="2274"/>
      <c r="L165" s="2274"/>
      <c r="M165" s="2274"/>
      <c r="N165" s="2274"/>
      <c r="O165" s="2274"/>
      <c r="P165" s="2274"/>
      <c r="Q165" s="2274"/>
    </row>
    <row r="166" spans="2:17" s="749" customFormat="1">
      <c r="B166" s="2274"/>
      <c r="C166" s="2274"/>
      <c r="D166" s="2274"/>
      <c r="E166" s="2274"/>
      <c r="F166" s="2274"/>
      <c r="G166" s="2274"/>
      <c r="H166" s="2274"/>
      <c r="I166" s="2274"/>
      <c r="J166" s="2274"/>
      <c r="K166" s="2274"/>
      <c r="L166" s="2274"/>
      <c r="M166" s="2274"/>
      <c r="N166" s="2274"/>
      <c r="O166" s="2274"/>
      <c r="P166" s="2274"/>
      <c r="Q166" s="2274"/>
    </row>
    <row r="167" spans="2:17" s="749" customFormat="1">
      <c r="B167" s="2274"/>
      <c r="C167" s="2274"/>
      <c r="D167" s="2274"/>
      <c r="E167" s="2274"/>
      <c r="F167" s="2274"/>
      <c r="G167" s="2274"/>
      <c r="H167" s="2274"/>
      <c r="I167" s="2274"/>
      <c r="J167" s="2274"/>
      <c r="K167" s="2274"/>
      <c r="L167" s="2274"/>
      <c r="M167" s="2274"/>
      <c r="N167" s="2274"/>
      <c r="O167" s="2274"/>
      <c r="P167" s="2274"/>
      <c r="Q167" s="2274"/>
    </row>
    <row r="168" spans="2:17" s="749" customFormat="1">
      <c r="B168" s="2274"/>
      <c r="C168" s="2274"/>
      <c r="D168" s="2274"/>
      <c r="E168" s="2274"/>
      <c r="F168" s="2274"/>
      <c r="G168" s="2274"/>
      <c r="H168" s="2274"/>
      <c r="I168" s="2274"/>
      <c r="J168" s="2274"/>
      <c r="K168" s="2274"/>
      <c r="L168" s="2274"/>
      <c r="M168" s="2274"/>
      <c r="N168" s="2274"/>
      <c r="O168" s="2274"/>
      <c r="P168" s="2274"/>
      <c r="Q168" s="2274"/>
    </row>
    <row r="169" spans="2:17" s="749" customFormat="1">
      <c r="B169" s="2274"/>
      <c r="C169" s="2274"/>
      <c r="D169" s="2274"/>
      <c r="E169" s="2274"/>
      <c r="F169" s="2274"/>
      <c r="G169" s="2274"/>
      <c r="H169" s="2274"/>
      <c r="I169" s="2274"/>
      <c r="J169" s="2274"/>
      <c r="K169" s="2274"/>
      <c r="L169" s="2274"/>
      <c r="M169" s="2274"/>
      <c r="N169" s="2274"/>
      <c r="O169" s="2274"/>
      <c r="P169" s="2274"/>
      <c r="Q169" s="2274"/>
    </row>
    <row r="170" spans="2:17" s="749" customFormat="1">
      <c r="B170" s="2274"/>
      <c r="C170" s="2274"/>
      <c r="D170" s="2274"/>
      <c r="E170" s="2274"/>
      <c r="F170" s="2274"/>
      <c r="G170" s="2274"/>
      <c r="H170" s="2274"/>
      <c r="I170" s="2274"/>
      <c r="J170" s="2274"/>
      <c r="K170" s="2274"/>
      <c r="L170" s="2274"/>
      <c r="M170" s="2274"/>
      <c r="N170" s="2274"/>
      <c r="O170" s="2274"/>
      <c r="P170" s="2274"/>
      <c r="Q170" s="2274"/>
    </row>
    <row r="171" spans="2:17" s="749" customFormat="1">
      <c r="B171" s="2274"/>
      <c r="C171" s="2274"/>
      <c r="D171" s="2274"/>
      <c r="E171" s="2274"/>
      <c r="F171" s="2274"/>
      <c r="G171" s="2274"/>
      <c r="H171" s="2274"/>
      <c r="I171" s="2274"/>
      <c r="J171" s="2274"/>
      <c r="K171" s="2274"/>
      <c r="L171" s="2274"/>
      <c r="M171" s="2274"/>
      <c r="N171" s="2274"/>
      <c r="O171" s="2274"/>
      <c r="P171" s="2274"/>
      <c r="Q171" s="2274"/>
    </row>
    <row r="172" spans="2:17" s="749" customFormat="1">
      <c r="B172" s="2274"/>
      <c r="C172" s="2274"/>
      <c r="D172" s="2274"/>
      <c r="E172" s="2274"/>
      <c r="F172" s="2274"/>
      <c r="G172" s="2274"/>
      <c r="H172" s="2274"/>
      <c r="I172" s="2274"/>
      <c r="J172" s="2274"/>
      <c r="K172" s="2274"/>
      <c r="L172" s="2274"/>
      <c r="M172" s="2274"/>
      <c r="N172" s="2274"/>
      <c r="O172" s="2274"/>
      <c r="P172" s="2274"/>
      <c r="Q172" s="2274"/>
    </row>
    <row r="173" spans="2:17" s="749" customFormat="1">
      <c r="B173" s="2274"/>
      <c r="C173" s="2274"/>
      <c r="D173" s="2274"/>
      <c r="E173" s="2274"/>
      <c r="F173" s="2274"/>
      <c r="G173" s="2274"/>
      <c r="H173" s="2274"/>
      <c r="I173" s="2274"/>
      <c r="J173" s="2274"/>
      <c r="K173" s="2274"/>
      <c r="L173" s="2274"/>
      <c r="M173" s="2274"/>
      <c r="N173" s="2274"/>
      <c r="O173" s="2274"/>
      <c r="P173" s="2274"/>
      <c r="Q173" s="2274"/>
    </row>
    <row r="174" spans="2:17" s="749" customFormat="1">
      <c r="B174" s="2274"/>
      <c r="C174" s="2274"/>
      <c r="D174" s="2274"/>
      <c r="E174" s="2274"/>
      <c r="F174" s="2274"/>
      <c r="G174" s="2274"/>
      <c r="H174" s="2274"/>
      <c r="I174" s="2274"/>
      <c r="J174" s="2274"/>
      <c r="K174" s="2274"/>
      <c r="L174" s="2274"/>
      <c r="M174" s="2274"/>
      <c r="N174" s="2274"/>
      <c r="O174" s="2274"/>
      <c r="P174" s="2274"/>
      <c r="Q174" s="2274"/>
    </row>
    <row r="175" spans="2:17" s="749" customFormat="1">
      <c r="B175" s="2274"/>
      <c r="C175" s="2274"/>
      <c r="D175" s="2274"/>
      <c r="E175" s="2274"/>
      <c r="F175" s="2274"/>
      <c r="G175" s="2274"/>
      <c r="H175" s="2274"/>
      <c r="I175" s="2274"/>
      <c r="J175" s="2274"/>
      <c r="K175" s="2274"/>
      <c r="L175" s="2274"/>
      <c r="M175" s="2274"/>
      <c r="N175" s="2274"/>
      <c r="O175" s="2274"/>
      <c r="P175" s="2274"/>
      <c r="Q175" s="2274"/>
    </row>
    <row r="176" spans="2:17" s="749" customFormat="1">
      <c r="B176" s="2274"/>
      <c r="C176" s="2274"/>
      <c r="D176" s="2274"/>
      <c r="E176" s="2274"/>
      <c r="F176" s="2274"/>
      <c r="G176" s="2274"/>
      <c r="H176" s="2274"/>
      <c r="I176" s="2274"/>
      <c r="J176" s="2274"/>
      <c r="K176" s="2274"/>
      <c r="L176" s="2274"/>
      <c r="M176" s="2274"/>
      <c r="N176" s="2274"/>
      <c r="O176" s="2274"/>
      <c r="P176" s="2274"/>
      <c r="Q176" s="2274"/>
    </row>
    <row r="177" spans="1:17" s="749" customFormat="1">
      <c r="B177" s="2274"/>
      <c r="C177" s="2274"/>
      <c r="D177" s="2274"/>
      <c r="E177" s="2274"/>
      <c r="F177" s="2274"/>
      <c r="G177" s="2274"/>
      <c r="H177" s="2274"/>
      <c r="I177" s="2274"/>
      <c r="J177" s="2274"/>
      <c r="K177" s="2274"/>
      <c r="L177" s="2274"/>
      <c r="M177" s="2274"/>
      <c r="N177" s="2274"/>
      <c r="O177" s="2274"/>
      <c r="P177" s="2274"/>
      <c r="Q177" s="2274"/>
    </row>
    <row r="178" spans="1:17" s="749" customFormat="1">
      <c r="B178" s="2274"/>
      <c r="C178" s="2274"/>
      <c r="D178" s="2274"/>
      <c r="E178" s="2274"/>
      <c r="F178" s="2274"/>
      <c r="G178" s="2274"/>
      <c r="H178" s="2274"/>
      <c r="I178" s="2274"/>
      <c r="J178" s="2274"/>
      <c r="K178" s="2274"/>
      <c r="L178" s="2274"/>
      <c r="M178" s="2274"/>
      <c r="N178" s="2274"/>
      <c r="O178" s="2274"/>
      <c r="P178" s="2274"/>
      <c r="Q178" s="2274"/>
    </row>
    <row r="179" spans="1:17" s="749" customFormat="1">
      <c r="B179" s="2274"/>
      <c r="C179" s="2274"/>
      <c r="D179" s="2274"/>
      <c r="E179" s="2274"/>
      <c r="F179" s="2274"/>
      <c r="G179" s="2274"/>
      <c r="H179" s="2274"/>
      <c r="I179" s="2274"/>
      <c r="J179" s="2274"/>
      <c r="K179" s="2274"/>
      <c r="L179" s="2274"/>
      <c r="M179" s="2274"/>
      <c r="N179" s="2274"/>
      <c r="O179" s="2274"/>
      <c r="P179" s="2274"/>
      <c r="Q179" s="2274"/>
    </row>
    <row r="180" spans="1:17" s="749" customFormat="1">
      <c r="B180" s="2274"/>
      <c r="C180" s="2274"/>
      <c r="D180" s="2274"/>
      <c r="E180" s="2274"/>
      <c r="F180" s="2274"/>
      <c r="G180" s="2274"/>
      <c r="H180" s="2274"/>
      <c r="I180" s="2274"/>
      <c r="J180" s="2274"/>
      <c r="K180" s="2274"/>
      <c r="L180" s="2274"/>
      <c r="M180" s="2274"/>
      <c r="N180" s="2274"/>
      <c r="O180" s="2274"/>
      <c r="P180" s="2274"/>
      <c r="Q180" s="2274"/>
    </row>
    <row r="181" spans="1:17" s="749" customFormat="1">
      <c r="B181" s="2274"/>
      <c r="C181" s="2274"/>
      <c r="D181" s="2274"/>
      <c r="E181" s="2274"/>
      <c r="F181" s="2274"/>
      <c r="G181" s="2274"/>
      <c r="H181" s="2274"/>
      <c r="I181" s="2274"/>
      <c r="J181" s="2274"/>
      <c r="K181" s="2274"/>
      <c r="L181" s="2274"/>
      <c r="M181" s="2274"/>
      <c r="N181" s="2274"/>
      <c r="O181" s="2274"/>
      <c r="P181" s="2274"/>
      <c r="Q181" s="2274"/>
    </row>
    <row r="182" spans="1:17" s="749" customFormat="1">
      <c r="B182" s="2274"/>
      <c r="C182" s="2274"/>
      <c r="D182" s="2274"/>
      <c r="E182" s="2274"/>
      <c r="F182" s="2274"/>
      <c r="G182" s="2274"/>
      <c r="H182" s="2274"/>
      <c r="I182" s="2274"/>
      <c r="J182" s="2274"/>
      <c r="K182" s="2274"/>
      <c r="L182" s="2274"/>
      <c r="M182" s="2274"/>
      <c r="N182" s="2274"/>
      <c r="O182" s="2274"/>
      <c r="P182" s="2274"/>
      <c r="Q182" s="2274"/>
    </row>
    <row r="183" spans="1:17" s="749" customFormat="1">
      <c r="B183" s="2274"/>
      <c r="C183" s="2274"/>
      <c r="D183" s="2274"/>
      <c r="E183" s="2274"/>
      <c r="F183" s="2274"/>
      <c r="G183" s="2274"/>
      <c r="H183" s="2274"/>
      <c r="I183" s="2274"/>
      <c r="J183" s="2274"/>
      <c r="K183" s="2274"/>
      <c r="L183" s="2274"/>
      <c r="M183" s="2274"/>
      <c r="N183" s="2274"/>
      <c r="O183" s="2274"/>
      <c r="P183" s="2274"/>
      <c r="Q183" s="2274"/>
    </row>
    <row r="184" spans="1:17" s="749" customFormat="1">
      <c r="B184" s="2274"/>
      <c r="C184" s="2274"/>
      <c r="D184" s="2274"/>
      <c r="E184" s="2274"/>
      <c r="F184" s="2274"/>
      <c r="G184" s="2274"/>
      <c r="H184" s="2274"/>
      <c r="I184" s="2274"/>
      <c r="J184" s="2274"/>
      <c r="K184" s="2274"/>
      <c r="L184" s="2274"/>
      <c r="M184" s="2274"/>
      <c r="N184" s="2274"/>
      <c r="O184" s="2274"/>
      <c r="P184" s="2274"/>
      <c r="Q184" s="2274"/>
    </row>
    <row r="185" spans="1:17" s="749" customFormat="1">
      <c r="B185" s="2274"/>
      <c r="C185" s="2274"/>
      <c r="D185" s="2274"/>
      <c r="E185" s="2274"/>
      <c r="F185" s="2274"/>
      <c r="G185" s="2274"/>
      <c r="H185" s="2274"/>
      <c r="I185" s="2274"/>
      <c r="J185" s="2274"/>
      <c r="K185" s="2274"/>
      <c r="L185" s="2274"/>
      <c r="M185" s="2274"/>
      <c r="N185" s="2274"/>
      <c r="O185" s="2274"/>
      <c r="P185" s="2274"/>
      <c r="Q185" s="2274"/>
    </row>
    <row r="186" spans="1:17">
      <c r="A186" s="749"/>
      <c r="B186" s="2274"/>
      <c r="C186" s="2274"/>
      <c r="E186" s="2274"/>
      <c r="F186" s="2274"/>
      <c r="G186" s="2274"/>
    </row>
    <row r="187" spans="1:17">
      <c r="A187" s="749"/>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C8" sqref="C8"/>
    </sheetView>
  </sheetViews>
  <sheetFormatPr defaultColWidth="9" defaultRowHeight="13.5"/>
  <cols>
    <col min="1" max="1" width="25" style="2298" customWidth="1"/>
    <col min="2" max="9" width="15.75" style="2298" customWidth="1"/>
    <col min="10" max="16384" width="9" style="2298"/>
  </cols>
  <sheetData>
    <row r="1" spans="1:11" ht="16.5">
      <c r="A1" s="2297" t="s">
        <v>659</v>
      </c>
      <c r="B1" s="2297">
        <f>SUM(B14:B23)</f>
        <v>85442.84000000004</v>
      </c>
      <c r="C1" s="2459"/>
      <c r="D1" s="2459"/>
      <c r="E1" s="2459"/>
      <c r="F1" s="2459"/>
      <c r="G1" s="2460"/>
      <c r="H1" s="2460"/>
      <c r="I1" s="2460"/>
      <c r="J1" s="2460"/>
      <c r="K1" s="2460"/>
    </row>
    <row r="2" spans="1:11" ht="16.5">
      <c r="A2" s="2297" t="s">
        <v>647</v>
      </c>
      <c r="B2" s="2297">
        <f>SUM(C14:C23)</f>
        <v>31157.900000000005</v>
      </c>
      <c r="C2" s="2459"/>
      <c r="D2" s="2459"/>
      <c r="E2" s="2459"/>
      <c r="F2" s="2459"/>
      <c r="G2" s="2460"/>
      <c r="H2" s="2460"/>
      <c r="I2" s="2460"/>
      <c r="J2" s="2460"/>
      <c r="K2" s="2460"/>
    </row>
    <row r="3" spans="1:11" ht="16.5">
      <c r="A3" s="2297" t="s">
        <v>656</v>
      </c>
      <c r="B3" s="2299">
        <f>项目基本情况!D3</f>
        <v>45709</v>
      </c>
      <c r="C3" s="2459"/>
      <c r="D3" s="2459"/>
      <c r="E3" s="2459"/>
      <c r="F3" s="2459"/>
      <c r="G3" s="2460"/>
      <c r="H3" s="2460"/>
      <c r="I3" s="2460"/>
      <c r="J3" s="2460"/>
      <c r="K3" s="2460"/>
    </row>
    <row r="4" spans="1:11" ht="33">
      <c r="A4" s="2297" t="s">
        <v>655</v>
      </c>
      <c r="B4" s="2297" t="s">
        <v>654</v>
      </c>
      <c r="C4" s="2297" t="s">
        <v>653</v>
      </c>
      <c r="D4" s="2297" t="s">
        <v>652</v>
      </c>
      <c r="E4" s="2459"/>
      <c r="F4" s="2460"/>
      <c r="G4" s="2460"/>
      <c r="H4" s="2460"/>
      <c r="I4" s="2460"/>
      <c r="J4" s="2460"/>
      <c r="K4" s="2460"/>
    </row>
    <row r="5" spans="1:11" ht="16.5">
      <c r="A5" s="2297" t="s">
        <v>651</v>
      </c>
      <c r="B5" s="2297">
        <f ca="1">SUM(D14:D23)</f>
        <v>100696</v>
      </c>
      <c r="C5" s="2297">
        <f ca="1">IF(B5=D14,结果表!H102,ROUND(B5*10000/$B$1,0))</f>
        <v>11785</v>
      </c>
      <c r="D5" s="2297">
        <f ca="1">ROUND(B5*10000/$B$2,0)</f>
        <v>32318</v>
      </c>
      <c r="E5" s="2459"/>
      <c r="F5" s="2460"/>
      <c r="G5" s="2460"/>
      <c r="H5" s="2460"/>
      <c r="I5" s="2460"/>
      <c r="J5" s="2460"/>
      <c r="K5" s="2460"/>
    </row>
    <row r="6" spans="1:11" ht="16.5">
      <c r="A6" s="2297" t="s">
        <v>650</v>
      </c>
      <c r="B6" s="2297">
        <f ca="1">SUM(G14:G23)</f>
        <v>100696</v>
      </c>
      <c r="C6" s="2297">
        <f ca="1">IF(B6=G14,结果表!H108,ROUND(B6*10000/$B$1,0))</f>
        <v>11785</v>
      </c>
      <c r="D6" s="2297">
        <f ca="1">ROUND(B6*10000/$B$2,0)</f>
        <v>32318</v>
      </c>
      <c r="E6" s="2459"/>
      <c r="F6" s="2460"/>
      <c r="G6" s="2460"/>
      <c r="H6" s="2460"/>
      <c r="I6" s="2460"/>
      <c r="J6" s="2460"/>
      <c r="K6" s="2460"/>
    </row>
    <row r="7" spans="1:11" ht="16.5">
      <c r="A7" s="2297" t="s">
        <v>658</v>
      </c>
      <c r="B7" s="2297">
        <f>SUM(H14:H23)</f>
        <v>0</v>
      </c>
      <c r="C7" s="2297" t="str">
        <f>IF(B7=H14,结果表!H110,ROUND(B7*10000/$B$1,0))</f>
        <v>——</v>
      </c>
      <c r="D7" s="2297">
        <f>ROUND(B7*10000/$B$2,0)</f>
        <v>0</v>
      </c>
      <c r="E7" s="2459" t="s">
        <v>3978</v>
      </c>
      <c r="F7" s="2460" t="s">
        <v>3976</v>
      </c>
      <c r="G7" s="2460"/>
      <c r="H7" s="2460"/>
      <c r="I7" s="2460"/>
      <c r="J7" s="2460"/>
      <c r="K7" s="2460"/>
    </row>
    <row r="8" spans="1:11" ht="16.5">
      <c r="A8" s="2297" t="s">
        <v>587</v>
      </c>
      <c r="B8" s="2297">
        <f ca="1">SUM(I14:I23)</f>
        <v>90577</v>
      </c>
      <c r="C8" s="2297">
        <f ca="1">IF(B8=I14,结果表!H112,ROUND(B8*10000/$B$1,0))</f>
        <v>10601</v>
      </c>
      <c r="D8" s="2297">
        <f ca="1">ROUND(B8*10000/$B$2,0)</f>
        <v>29070</v>
      </c>
      <c r="E8" s="2459">
        <f ca="1">核对项目总净值!N59</f>
        <v>90576</v>
      </c>
      <c r="F8" s="2460">
        <f ca="1">ROUND(E8*10000/B1,0)</f>
        <v>10601</v>
      </c>
      <c r="G8" s="2460"/>
      <c r="H8" s="2460"/>
      <c r="I8" s="2460"/>
      <c r="J8" s="2460"/>
      <c r="K8" s="2460"/>
    </row>
    <row r="9" spans="1:11" ht="16.5">
      <c r="A9" s="2297" t="s">
        <v>649</v>
      </c>
      <c r="B9" s="1242"/>
      <c r="C9" s="2459"/>
      <c r="D9" s="2459"/>
      <c r="E9" s="2459"/>
      <c r="F9" s="2460"/>
      <c r="G9" s="2460"/>
      <c r="H9" s="2460"/>
      <c r="I9" s="2460"/>
      <c r="J9" s="2460"/>
      <c r="K9" s="2460"/>
    </row>
    <row r="10" spans="1:11" ht="16.5">
      <c r="A10" s="2297" t="s">
        <v>648</v>
      </c>
      <c r="B10" s="2297">
        <f>IF(E10="",0,ROUND(B1*(E10*365/G10)/10000,0))</f>
        <v>0</v>
      </c>
      <c r="C10" s="2297" t="s">
        <v>3343</v>
      </c>
      <c r="D10" s="2297" t="s">
        <v>3344</v>
      </c>
      <c r="E10" s="3133"/>
      <c r="F10" s="3137" t="s">
        <v>3345</v>
      </c>
      <c r="G10" s="3134"/>
      <c r="H10" s="2460"/>
      <c r="I10" s="2460"/>
      <c r="J10" s="2460"/>
      <c r="K10" s="2460"/>
    </row>
    <row r="11" spans="1:11" ht="16.5">
      <c r="A11" s="2297" t="s">
        <v>664</v>
      </c>
      <c r="B11" s="1242"/>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663</v>
      </c>
      <c r="B13" s="2301" t="s">
        <v>660</v>
      </c>
      <c r="C13" s="2301" t="s">
        <v>662</v>
      </c>
      <c r="D13" s="2301" t="s">
        <v>661</v>
      </c>
      <c r="E13" s="2297" t="s">
        <v>653</v>
      </c>
      <c r="F13" s="2297" t="s">
        <v>652</v>
      </c>
      <c r="G13" s="2301" t="s">
        <v>646</v>
      </c>
      <c r="H13" s="2301" t="s">
        <v>657</v>
      </c>
      <c r="I13" s="2301" t="s">
        <v>645</v>
      </c>
      <c r="J13" s="2460">
        <f ca="1">J14+J15+J16+J17+J18</f>
        <v>90577</v>
      </c>
      <c r="K13" s="2460"/>
    </row>
    <row r="14" spans="1:11" ht="16.5">
      <c r="A14" s="2302" t="s">
        <v>3878</v>
      </c>
      <c r="B14" s="2303">
        <f>'数据-汇总表'!E3</f>
        <v>23997.3</v>
      </c>
      <c r="C14" s="2303">
        <f>'数据-汇总表'!D3</f>
        <v>6542.04</v>
      </c>
      <c r="D14" s="2303">
        <f ca="1">结果表!H101</f>
        <v>34292</v>
      </c>
      <c r="E14" s="2303">
        <f ca="1">ROUND(D14*10000/B14,0)</f>
        <v>14290</v>
      </c>
      <c r="F14" s="2303">
        <f ca="1">ROUND(D14*10000/C14,0)</f>
        <v>52418</v>
      </c>
      <c r="G14" s="2303">
        <f ca="1">结果表!H107</f>
        <v>34292</v>
      </c>
      <c r="H14" s="2303"/>
      <c r="I14" s="2303">
        <f ca="1">结果表!N59</f>
        <v>30846</v>
      </c>
      <c r="J14" s="2460">
        <f ca="1">结果表!N59</f>
        <v>30846</v>
      </c>
      <c r="K14" s="2460"/>
    </row>
    <row r="15" spans="1:11" ht="16.5">
      <c r="A15" s="2302" t="s">
        <v>3974</v>
      </c>
      <c r="B15" s="2304">
        <f>[2]系统读取表!$B$14</f>
        <v>29791.059999999994</v>
      </c>
      <c r="C15" s="2304">
        <f>[2]系统读取表!$C$14</f>
        <v>11497.38</v>
      </c>
      <c r="D15" s="2304">
        <f ca="1">[2]系统读取表!$D$14</f>
        <v>25510</v>
      </c>
      <c r="E15" s="2303">
        <f t="shared" ref="E15:E23" ca="1" si="0">ROUND(D15*10000/B15,0)</f>
        <v>8563</v>
      </c>
      <c r="F15" s="2303">
        <f t="shared" ref="F15:F23" ca="1" si="1">ROUND(D15*10000/C15,0)</f>
        <v>22188</v>
      </c>
      <c r="G15" s="1242">
        <f ca="1">[2]系统读取表!$G$14</f>
        <v>25510</v>
      </c>
      <c r="H15" s="1242"/>
      <c r="I15" s="2304">
        <f ca="1">[2]系统读取表!$I$14</f>
        <v>22946</v>
      </c>
      <c r="J15" s="2460">
        <f ca="1">[2]系统读取表!$I$14</f>
        <v>22946</v>
      </c>
      <c r="K15" s="2460"/>
    </row>
    <row r="16" spans="1:11" ht="16.5">
      <c r="A16" s="2302" t="s">
        <v>3879</v>
      </c>
      <c r="B16" s="2304">
        <f>[3]系统读取表!$B$14</f>
        <v>12539.059999999998</v>
      </c>
      <c r="C16" s="2304">
        <f>[3]系统读取表!$C$14</f>
        <v>5366.6699999999983</v>
      </c>
      <c r="D16" s="2304">
        <f ca="1">[3]系统读取表!$D$14</f>
        <v>33635</v>
      </c>
      <c r="E16" s="2303">
        <f t="shared" ca="1" si="0"/>
        <v>26824</v>
      </c>
      <c r="F16" s="2303">
        <f t="shared" ca="1" si="1"/>
        <v>62674</v>
      </c>
      <c r="G16" s="1242">
        <f ca="1">[3]系统读取表!$G$14</f>
        <v>33635</v>
      </c>
      <c r="H16" s="1242"/>
      <c r="I16" s="2304">
        <f ca="1">[3]系统读取表!$I$14</f>
        <v>30254</v>
      </c>
      <c r="J16" s="2460">
        <f ca="1">[3]系统读取表!$I$14</f>
        <v>30254</v>
      </c>
      <c r="K16" s="2460"/>
    </row>
    <row r="17" spans="1:11" ht="16.5">
      <c r="A17" s="2302" t="s">
        <v>3880</v>
      </c>
      <c r="B17" s="2304">
        <f>[4]系统读取表!$B$14</f>
        <v>18693.620000000046</v>
      </c>
      <c r="C17" s="2304">
        <f>[4]系统读取表!$C$14</f>
        <v>7585.2300000000077</v>
      </c>
      <c r="D17" s="2304">
        <f ca="1">[4]系统读取表!$D$14</f>
        <v>6955</v>
      </c>
      <c r="E17" s="2303">
        <f t="shared" ca="1" si="0"/>
        <v>3721</v>
      </c>
      <c r="F17" s="2303">
        <f t="shared" ca="1" si="1"/>
        <v>9169</v>
      </c>
      <c r="G17" s="1242">
        <f ca="1">[4]系统读取表!$G$14</f>
        <v>6955</v>
      </c>
      <c r="H17" s="1242"/>
      <c r="I17" s="2304">
        <f ca="1">[4]系统读取表!$I$14</f>
        <v>6257</v>
      </c>
      <c r="J17" s="2460">
        <f ca="1">[4]系统读取表!$I$14</f>
        <v>6257</v>
      </c>
      <c r="K17" s="2460"/>
    </row>
    <row r="18" spans="1:11" ht="16.5">
      <c r="A18" s="2302" t="s">
        <v>3881</v>
      </c>
      <c r="B18" s="2304">
        <f>[5]系统读取表!$B$14</f>
        <v>421.79999999999995</v>
      </c>
      <c r="C18" s="2304">
        <f>[5]系统读取表!$C$14</f>
        <v>166.58</v>
      </c>
      <c r="D18" s="2304">
        <f ca="1">[5]系统读取表!$D$14</f>
        <v>304</v>
      </c>
      <c r="E18" s="2303">
        <f t="shared" ca="1" si="0"/>
        <v>7207</v>
      </c>
      <c r="F18" s="2303">
        <f t="shared" ca="1" si="1"/>
        <v>18249</v>
      </c>
      <c r="G18" s="2304">
        <f ca="1">[5]系统读取表!$G$14</f>
        <v>304</v>
      </c>
      <c r="H18" s="2304"/>
      <c r="I18" s="2304">
        <f ca="1">[5]系统读取表!$I$14</f>
        <v>274</v>
      </c>
      <c r="J18" s="2460">
        <f ca="1">[5]系统读取表!$I$14</f>
        <v>274</v>
      </c>
      <c r="K18" s="2460"/>
    </row>
    <row r="19" spans="1:11" ht="16.5">
      <c r="A19" s="2302"/>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2" t="e">
        <f t="shared" si="0"/>
        <v>#DIV/0!</v>
      </c>
      <c r="F23" s="1242"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Normal="100" zoomScaleSheetLayoutView="100" zoomScalePageLayoutView="80" workbookViewId="0">
      <selection activeCell="D56" sqref="D56"/>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1256</v>
      </c>
      <c r="B1" s="645"/>
      <c r="C1" s="1618"/>
      <c r="D1" s="645"/>
      <c r="E1" s="645"/>
      <c r="F1" s="1619" t="s">
        <v>1257</v>
      </c>
      <c r="G1" s="1451" t="s">
        <v>3807</v>
      </c>
      <c r="H1" s="1619" t="str">
        <f>IF(G1="现房","——","估价对象范围")</f>
        <v>估价对象范围</v>
      </c>
      <c r="I1" s="1620"/>
    </row>
    <row r="2" spans="1:12" ht="21.75" customHeight="1" thickBot="1">
      <c r="A2" s="3361" t="str">
        <f>项目基本情况!S2</f>
        <v>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v>
      </c>
      <c r="B2" s="3362"/>
      <c r="C2" s="3362"/>
      <c r="D2" s="3362"/>
      <c r="E2" s="3362"/>
      <c r="F2" s="3362"/>
      <c r="G2" s="3362"/>
      <c r="H2" s="3362"/>
      <c r="I2" s="3363"/>
    </row>
    <row r="3" spans="1:12" ht="12.75">
      <c r="A3" s="3365" t="s">
        <v>1258</v>
      </c>
      <c r="B3" s="3366"/>
      <c r="C3" s="3366"/>
      <c r="D3" s="3366"/>
      <c r="E3" s="3366"/>
      <c r="F3" s="3366"/>
      <c r="G3" s="3366"/>
      <c r="H3" s="3366"/>
      <c r="I3" s="3366"/>
    </row>
    <row r="4" spans="1:12" ht="14.25">
      <c r="A4" s="1622" t="s">
        <v>1259</v>
      </c>
      <c r="B4" s="1623" t="s">
        <v>1260</v>
      </c>
      <c r="C4" s="1624" t="s">
        <v>3808</v>
      </c>
      <c r="D4" s="1624" t="s">
        <v>3809</v>
      </c>
      <c r="E4" s="3367" t="s">
        <v>1261</v>
      </c>
      <c r="F4" s="3368"/>
      <c r="G4" s="3368"/>
      <c r="H4" s="3368"/>
      <c r="I4" s="3369"/>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假设开发法</v>
      </c>
    </row>
    <row r="5" spans="1:12" ht="12.75">
      <c r="A5" s="3341" t="s">
        <v>1262</v>
      </c>
      <c r="B5" s="3328">
        <v>25</v>
      </c>
      <c r="C5" s="3344"/>
      <c r="D5" s="3364"/>
      <c r="E5" s="122" t="s">
        <v>1263</v>
      </c>
      <c r="F5" s="1625"/>
      <c r="G5" s="1625"/>
      <c r="H5" s="1625"/>
      <c r="I5" s="1279"/>
    </row>
    <row r="6" spans="1:12" ht="12.75">
      <c r="A6" s="3341"/>
      <c r="B6" s="3328"/>
      <c r="C6" s="3345"/>
      <c r="D6" s="3364"/>
      <c r="E6" s="122" t="s">
        <v>1264</v>
      </c>
      <c r="F6" s="1625"/>
      <c r="G6" s="1625"/>
      <c r="H6" s="1625"/>
      <c r="I6" s="1279"/>
    </row>
    <row r="7" spans="1:12" ht="12.75">
      <c r="A7" s="3341"/>
      <c r="B7" s="3328"/>
      <c r="C7" s="3346"/>
      <c r="D7" s="3364"/>
      <c r="E7" s="122" t="s">
        <v>1265</v>
      </c>
      <c r="F7" s="1625"/>
      <c r="G7" s="1625"/>
      <c r="H7" s="1625"/>
      <c r="I7" s="1279"/>
    </row>
    <row r="8" spans="1:12" ht="12.75">
      <c r="A8" s="3341" t="s">
        <v>1266</v>
      </c>
      <c r="B8" s="3328">
        <v>15</v>
      </c>
      <c r="C8" s="3344"/>
      <c r="D8" s="3364"/>
      <c r="E8" s="122" t="s">
        <v>1267</v>
      </c>
      <c r="F8" s="1625"/>
      <c r="G8" s="1625"/>
      <c r="H8" s="1625"/>
      <c r="I8" s="1279"/>
    </row>
    <row r="9" spans="1:12" ht="12.75">
      <c r="A9" s="3341"/>
      <c r="B9" s="3328"/>
      <c r="C9" s="3346"/>
      <c r="D9" s="3364"/>
      <c r="E9" s="122" t="s">
        <v>1268</v>
      </c>
      <c r="F9" s="1625"/>
      <c r="G9" s="1625"/>
      <c r="H9" s="1625"/>
      <c r="I9" s="1279"/>
    </row>
    <row r="10" spans="1:12" ht="12.75">
      <c r="A10" s="3341" t="s">
        <v>1269</v>
      </c>
      <c r="B10" s="3328">
        <v>15</v>
      </c>
      <c r="C10" s="3344"/>
      <c r="D10" s="3364"/>
      <c r="E10" s="122" t="s">
        <v>1270</v>
      </c>
      <c r="F10" s="1625"/>
      <c r="G10" s="1625"/>
      <c r="H10" s="1625"/>
      <c r="I10" s="1279"/>
    </row>
    <row r="11" spans="1:12" ht="12.75">
      <c r="A11" s="3341"/>
      <c r="B11" s="3328"/>
      <c r="C11" s="3346"/>
      <c r="D11" s="3364"/>
      <c r="E11" s="122" t="s">
        <v>1271</v>
      </c>
      <c r="F11" s="1625"/>
      <c r="G11" s="1625"/>
      <c r="H11" s="1625"/>
      <c r="I11" s="1279"/>
    </row>
    <row r="12" spans="1:12" ht="12.75">
      <c r="A12" s="3341" t="s">
        <v>1272</v>
      </c>
      <c r="B12" s="3328">
        <v>15</v>
      </c>
      <c r="C12" s="3344"/>
      <c r="D12" s="3364"/>
      <c r="E12" s="122" t="s">
        <v>1273</v>
      </c>
      <c r="F12" s="1625"/>
      <c r="G12" s="1625"/>
      <c r="H12" s="1625"/>
      <c r="I12" s="1279"/>
    </row>
    <row r="13" spans="1:12" ht="12.75">
      <c r="A13" s="3341"/>
      <c r="B13" s="3328"/>
      <c r="C13" s="3346"/>
      <c r="D13" s="3364"/>
      <c r="E13" s="122" t="s">
        <v>1274</v>
      </c>
      <c r="F13" s="1625"/>
      <c r="G13" s="1625"/>
      <c r="H13" s="1625"/>
      <c r="I13" s="1279"/>
    </row>
    <row r="14" spans="1:12" ht="12.75">
      <c r="A14" s="3341" t="s">
        <v>1275</v>
      </c>
      <c r="B14" s="3328">
        <v>30</v>
      </c>
      <c r="C14" s="3344">
        <v>6</v>
      </c>
      <c r="D14" s="3364">
        <v>4</v>
      </c>
      <c r="E14" s="122" t="s">
        <v>1276</v>
      </c>
      <c r="F14" s="1625"/>
      <c r="G14" s="1625"/>
      <c r="H14" s="1625"/>
      <c r="I14" s="1279"/>
    </row>
    <row r="15" spans="1:12" ht="12.75">
      <c r="A15" s="3341"/>
      <c r="B15" s="3328"/>
      <c r="C15" s="3345"/>
      <c r="D15" s="3364"/>
      <c r="E15" s="122" t="s">
        <v>1277</v>
      </c>
      <c r="F15" s="1625"/>
      <c r="G15" s="1625"/>
      <c r="H15" s="1625"/>
      <c r="I15" s="1279"/>
    </row>
    <row r="16" spans="1:12" ht="12.75">
      <c r="A16" s="3341"/>
      <c r="B16" s="3328"/>
      <c r="C16" s="3346"/>
      <c r="D16" s="3364"/>
      <c r="E16" s="122" t="s">
        <v>1278</v>
      </c>
      <c r="F16" s="1625"/>
      <c r="G16" s="1625"/>
      <c r="H16" s="1625"/>
      <c r="I16" s="1279"/>
    </row>
    <row r="17" spans="1:36" ht="15">
      <c r="A17" s="1626" t="s">
        <v>1279</v>
      </c>
      <c r="B17" s="54"/>
      <c r="C17" s="123">
        <f>SUM(C5:C16)</f>
        <v>6</v>
      </c>
      <c r="D17" s="123">
        <f>SUM(D5:D16)</f>
        <v>4</v>
      </c>
      <c r="E17" s="120"/>
      <c r="F17" s="120"/>
      <c r="G17" s="120"/>
      <c r="H17" s="120"/>
      <c r="I17" s="120"/>
      <c r="K17" s="293"/>
      <c r="L17" s="293" t="s">
        <v>1280</v>
      </c>
      <c r="M17" s="293" t="s">
        <v>1281</v>
      </c>
    </row>
    <row r="18" spans="1:36" ht="31.9" customHeight="1" thickBot="1">
      <c r="A18" s="1627" t="s">
        <v>1282</v>
      </c>
      <c r="B18" s="1540"/>
      <c r="C18" s="124">
        <f>ROUND(C17/SUM(C17:D17),2)</f>
        <v>0.6</v>
      </c>
      <c r="D18" s="124">
        <f>1-C18</f>
        <v>0.4</v>
      </c>
      <c r="E18" s="3351" t="s">
        <v>2121</v>
      </c>
      <c r="F18" s="3352"/>
      <c r="G18" s="3352"/>
      <c r="H18" s="3352"/>
      <c r="I18" s="3352"/>
      <c r="K18" s="293" t="s">
        <v>1283</v>
      </c>
      <c r="L18" s="293">
        <f>IF(C1="",'数据-汇总表'!E3,SUMIF(项目类型,C1,'数据-汇总表'!E17:E26)+SUMIF(项目类型,C1,'数据-汇总表'!I17:I26))</f>
        <v>23997.3</v>
      </c>
      <c r="M18" s="293">
        <f>IF(C1="",'数据-汇总表'!E3,SUMIF(项目类型,C1,'数据-汇总表'!E17:E26))</f>
        <v>23997.3</v>
      </c>
    </row>
    <row r="19" spans="1:36" ht="15">
      <c r="A19" s="1628" t="s">
        <v>1284</v>
      </c>
      <c r="B19" s="1629" t="s">
        <v>1285</v>
      </c>
      <c r="C19" s="125">
        <f ca="1">SUMIF(INDIRECT("'"&amp;C4&amp;"'"&amp;"!A:A"),结果表!B19,INDIRECT("'"&amp;C4&amp;"'"&amp;"!B:B"))</f>
        <v>39163</v>
      </c>
      <c r="D19" s="126">
        <f ca="1">SUMIF(INDIRECT("'"&amp;D4&amp;"'"&amp;"!A:A"),结果表!B19,INDIRECT("'"&amp;D4&amp;"'"&amp;"!B:B"))</f>
        <v>26985</v>
      </c>
      <c r="E19" s="1628" t="s">
        <v>1286</v>
      </c>
      <c r="F19" s="1629" t="s">
        <v>1285</v>
      </c>
      <c r="G19" s="127">
        <f ca="1">ROUND(C19*$C$18+D19*$D$18,0)</f>
        <v>34292</v>
      </c>
      <c r="H19" s="1630" t="s">
        <v>1287</v>
      </c>
      <c r="I19" s="120"/>
      <c r="K19" s="293" t="s">
        <v>1288</v>
      </c>
      <c r="L19" s="293">
        <f>IF(C1="",'数据-汇总表'!D3,SUMIF(项目类型,C1,'数据-汇总表'!D17:D26)+SUMIF(项目类型,C1,'数据-汇总表'!H17:H27))</f>
        <v>6542.04</v>
      </c>
      <c r="M19" s="293">
        <f>IF(C1="",'数据-汇总表'!D3,SUMIF(项目类型,C1,'数据-汇总表'!D17:D26))</f>
        <v>6542.04</v>
      </c>
    </row>
    <row r="20" spans="1:36" ht="15">
      <c r="A20" s="1631"/>
      <c r="B20" s="43" t="s">
        <v>1289</v>
      </c>
      <c r="C20" s="128">
        <f ca="1">SUMIF(INDIRECT("'"&amp;C4&amp;"'"&amp;"!A:A"),结果表!B20,INDIRECT("'"&amp;C4&amp;"'"&amp;"!B:B"))</f>
        <v>16320</v>
      </c>
      <c r="D20" s="129">
        <f ca="1">SUMIF(INDIRECT("'"&amp;D4&amp;"'"&amp;"!A:A"),结果表!B20,INDIRECT("'"&amp;D4&amp;"'"&amp;"!B:B"))</f>
        <v>11245</v>
      </c>
      <c r="E20" s="1631"/>
      <c r="F20" s="43" t="s">
        <v>1289</v>
      </c>
      <c r="G20" s="130">
        <f ca="1">ROUND(C20*$C$18+D20*$D$18,0)</f>
        <v>14290</v>
      </c>
      <c r="H20" s="758" t="s">
        <v>1290</v>
      </c>
      <c r="I20" s="120"/>
    </row>
    <row r="21" spans="1:36" ht="15" customHeight="1" thickBot="1">
      <c r="A21" s="448"/>
      <c r="B21" s="92" t="s">
        <v>1291</v>
      </c>
      <c r="C21" s="677">
        <f ca="1">ROUND(C19*10000/L19,0)</f>
        <v>59864</v>
      </c>
      <c r="D21" s="678">
        <f ca="1">ROUND(D19*10000/L19,0)</f>
        <v>41249</v>
      </c>
      <c r="E21" s="448"/>
      <c r="F21" s="92" t="s">
        <v>1291</v>
      </c>
      <c r="G21" s="131">
        <f ca="1">ROUND(G19*10000/L19,0)</f>
        <v>52418</v>
      </c>
      <c r="H21" s="1632" t="s">
        <v>1290</v>
      </c>
      <c r="I21" s="120"/>
    </row>
    <row r="22" spans="1:36" ht="15" thickBot="1">
      <c r="A22" s="1562" t="s">
        <v>1292</v>
      </c>
      <c r="B22" s="1633"/>
      <c r="C22" s="1634"/>
      <c r="D22" s="679">
        <f ca="1">IF(C19&lt;D19,D19/C19-1,C19/D19-1)</f>
        <v>0.45128775245506758</v>
      </c>
      <c r="E22" s="120"/>
      <c r="F22" s="120"/>
      <c r="G22" s="120"/>
      <c r="H22" s="120"/>
      <c r="I22" s="120"/>
    </row>
    <row r="23" spans="1:36" ht="13.5" thickBot="1">
      <c r="A23" s="645"/>
      <c r="B23" s="645"/>
      <c r="C23" s="645"/>
      <c r="D23" s="645"/>
      <c r="E23" s="120"/>
      <c r="F23" s="120"/>
      <c r="G23" s="120"/>
      <c r="H23" s="120"/>
      <c r="I23" s="120"/>
    </row>
    <row r="24" spans="1:36" ht="14.25">
      <c r="A24" s="3335" t="s">
        <v>1293</v>
      </c>
      <c r="B24" s="1629" t="s">
        <v>1285</v>
      </c>
      <c r="C24" s="127">
        <f>IF(B30=0,0,D30)</f>
        <v>0</v>
      </c>
      <c r="D24" s="1635"/>
      <c r="E24" s="120"/>
      <c r="F24" s="120"/>
      <c r="G24" s="120"/>
      <c r="H24" s="120"/>
      <c r="I24" s="120"/>
    </row>
    <row r="25" spans="1:36" ht="14.25">
      <c r="A25" s="3336"/>
      <c r="B25" s="43" t="s">
        <v>1289</v>
      </c>
      <c r="C25" s="132">
        <f>IF(B30=0,0,C30)</f>
        <v>0</v>
      </c>
      <c r="D25" s="1636"/>
      <c r="E25" s="120"/>
      <c r="F25" s="120"/>
      <c r="G25" s="120"/>
      <c r="H25" s="120"/>
      <c r="I25" s="120"/>
    </row>
    <row r="26" spans="1:36" ht="13.5" customHeight="1">
      <c r="A26" s="1637" t="s">
        <v>1294</v>
      </c>
      <c r="B26" s="133" t="s">
        <v>1295</v>
      </c>
      <c r="C26" s="133" t="s">
        <v>1296</v>
      </c>
      <c r="D26" s="134" t="s">
        <v>1297</v>
      </c>
      <c r="E26" s="120"/>
      <c r="F26" s="120"/>
      <c r="G26" s="120"/>
      <c r="H26" s="120"/>
      <c r="I26" s="120"/>
    </row>
    <row r="27" spans="1:36" ht="14.25">
      <c r="A27" s="1637"/>
      <c r="B27" s="133">
        <v>0</v>
      </c>
      <c r="C27" s="133">
        <v>0</v>
      </c>
      <c r="D27" s="134">
        <f>ROUND(C27*B27/10000,0)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1298</v>
      </c>
      <c r="B30" s="133"/>
      <c r="C30" s="133"/>
      <c r="D30" s="133"/>
      <c r="E30" s="2125" t="s">
        <v>2122</v>
      </c>
      <c r="F30" s="120"/>
      <c r="G30" s="120"/>
      <c r="H30" s="120"/>
      <c r="I30" s="120"/>
    </row>
    <row r="31" spans="1:36" s="2131" customFormat="1" ht="26.45" customHeight="1" thickTop="1" thickBot="1">
      <c r="A31" s="2126"/>
      <c r="B31" s="2127"/>
      <c r="C31" s="2127"/>
      <c r="D31" s="2127"/>
      <c r="E31" s="2127"/>
      <c r="F31" s="2127"/>
      <c r="G31" s="2127"/>
      <c r="H31" s="2127"/>
      <c r="I31" s="2128" t="s">
        <v>2123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1299</v>
      </c>
      <c r="B32" s="1533"/>
      <c r="C32" s="135">
        <f ca="1">IF(D32="总价",G19-C24,G20-C25)</f>
        <v>34292</v>
      </c>
      <c r="D32" s="1639" t="s">
        <v>3858</v>
      </c>
      <c r="E32" s="120"/>
      <c r="F32" s="120"/>
      <c r="G32" s="120"/>
      <c r="H32" s="120"/>
      <c r="I32" s="120"/>
    </row>
    <row r="33" spans="1:15" ht="15">
      <c r="A33" s="738" t="s">
        <v>1300</v>
      </c>
      <c r="B33" s="122"/>
      <c r="C33" s="1640" t="s">
        <v>3859</v>
      </c>
      <c r="D33" s="1641" t="s">
        <v>3808</v>
      </c>
      <c r="E33" s="1642" t="s">
        <v>1301</v>
      </c>
      <c r="F33" s="1643" t="str">
        <f>IF(D32="楼面单价","取值（单价）","取值（总价）")</f>
        <v>取值（总价）</v>
      </c>
      <c r="G33" s="120"/>
      <c r="H33" s="120"/>
      <c r="I33" s="120"/>
    </row>
    <row r="34" spans="1:15" ht="15">
      <c r="A34" s="1644"/>
      <c r="B34" s="1645" t="s">
        <v>1302</v>
      </c>
      <c r="C34" s="139">
        <f ca="1">IF(C33="自定义",F34,C32-C35)</f>
        <v>21021</v>
      </c>
      <c r="D34" s="806">
        <f ca="1">IF(C33="自定义",ROUND(C34/C32,3),IF(C33="收益比率",SUMIF(INDIRECT("'"&amp;D33&amp;"'"&amp;"!b:b"),"土地收益比率",INDIRECT("'"&amp;D33&amp;"'"&amp;"!c:c")),SUMIF(INDIRECT("'"&amp;D33&amp;"'"&amp;"!b:b"),"土地成本比率",INDIRECT("'"&amp;D33&amp;"'"&amp;"!c:c"))))</f>
        <v>0.61299999999999999</v>
      </c>
      <c r="E34" s="1646" t="s">
        <v>1303</v>
      </c>
      <c r="F34" s="1241"/>
      <c r="G34" s="120"/>
      <c r="H34" s="120"/>
      <c r="I34" s="120"/>
    </row>
    <row r="35" spans="1:15" ht="15.75" thickBot="1">
      <c r="A35" s="1647"/>
      <c r="B35" s="1648" t="s">
        <v>1304</v>
      </c>
      <c r="C35" s="1088">
        <f ca="1">IF(C33="自定义",F35,ROUND(C32*D35,0))</f>
        <v>13271</v>
      </c>
      <c r="D35" s="1089">
        <f ca="1">IF(C33="自定义",ROUND(C35/C32,3),IF(C33="收益比率",SUMIF(INDIRECT("'"&amp;D33&amp;"'"&amp;"!b:b"),"建筑物收益比率",INDIRECT("'"&amp;D33&amp;"'"&amp;"!c:c")),SUMIF(INDIRECT("'"&amp;D33&amp;"'"&amp;"!b:b"),"建筑物成本比率",INDIRECT("'"&amp;D33&amp;"'"&amp;"!c:c"))))</f>
        <v>0.38700000000000001</v>
      </c>
      <c r="E35" s="1649" t="s">
        <v>1305</v>
      </c>
      <c r="F35" s="145"/>
      <c r="G35" s="120"/>
      <c r="H35" s="120"/>
      <c r="I35" s="120"/>
    </row>
    <row r="36" spans="1:15" ht="15.75" thickBot="1">
      <c r="A36" s="3355" t="s">
        <v>1306</v>
      </c>
      <c r="B36" s="1650" t="s">
        <v>1307</v>
      </c>
      <c r="C36" s="136"/>
      <c r="D36" s="1651"/>
      <c r="E36" s="1565"/>
      <c r="F36" s="1652"/>
      <c r="G36" s="120"/>
      <c r="H36" s="120"/>
      <c r="I36" s="120"/>
    </row>
    <row r="37" spans="1:15" ht="15.75" thickBot="1">
      <c r="A37" s="3356"/>
      <c r="B37" s="1553" t="s">
        <v>1308</v>
      </c>
      <c r="C37" s="138"/>
      <c r="D37" s="1069"/>
      <c r="E37" s="1069"/>
      <c r="F37" s="1652"/>
      <c r="G37" s="120"/>
      <c r="H37" s="120"/>
      <c r="I37" s="120"/>
    </row>
    <row r="38" spans="1:15" ht="15.75" thickBot="1">
      <c r="A38" s="3357"/>
      <c r="B38" s="1653" t="s">
        <v>1309</v>
      </c>
      <c r="C38" s="640"/>
      <c r="D38" s="1654" t="s">
        <v>1310</v>
      </c>
      <c r="E38" s="1069"/>
      <c r="F38" s="1652"/>
      <c r="G38" s="120"/>
      <c r="H38" s="120"/>
      <c r="I38" s="120"/>
    </row>
    <row r="39" spans="1:15" ht="15">
      <c r="A39" s="1631" t="s">
        <v>1311</v>
      </c>
      <c r="B39" s="1655" t="s">
        <v>1312</v>
      </c>
      <c r="C39" s="1656" t="s">
        <v>1313</v>
      </c>
      <c r="D39" s="1656" t="s">
        <v>1314</v>
      </c>
      <c r="E39" s="1657" t="s">
        <v>1315</v>
      </c>
      <c r="F39" s="1652"/>
      <c r="G39" s="120"/>
      <c r="H39" s="120"/>
      <c r="I39" s="120"/>
    </row>
    <row r="40" spans="1:15" ht="14.25">
      <c r="A40" s="1658" t="s">
        <v>1316</v>
      </c>
      <c r="B40" s="140"/>
      <c r="C40" s="141"/>
      <c r="D40" s="141"/>
      <c r="E40" s="142"/>
      <c r="F40" s="1652"/>
      <c r="G40" s="120"/>
      <c r="H40" s="120"/>
      <c r="I40" s="120"/>
    </row>
    <row r="41" spans="1:15" ht="14.25">
      <c r="A41" s="1658" t="s">
        <v>1317</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1318</v>
      </c>
      <c r="B44" s="1662"/>
      <c r="C44" s="1662"/>
      <c r="D44" s="1663"/>
      <c r="E44" s="1663"/>
      <c r="F44" s="1664"/>
      <c r="G44" s="1664"/>
      <c r="H44" s="1664"/>
      <c r="I44" s="1664"/>
      <c r="J44" s="1665" t="s">
        <v>1319</v>
      </c>
      <c r="K44" s="4"/>
      <c r="L44" s="4"/>
      <c r="M44" s="4"/>
      <c r="N44" s="4"/>
      <c r="O44" s="4"/>
    </row>
    <row r="45" spans="1:15" ht="14.25" customHeight="1" thickBot="1">
      <c r="A45" s="3332" t="s">
        <v>1320</v>
      </c>
      <c r="B45" s="3333"/>
      <c r="C45" s="3334"/>
      <c r="D45" s="146">
        <f ca="1">ROUND(H101*F45,0)</f>
        <v>34292</v>
      </c>
      <c r="E45" s="147" t="s">
        <v>1321</v>
      </c>
      <c r="F45" s="148">
        <v>1</v>
      </c>
      <c r="G45" s="149" t="s">
        <v>1322</v>
      </c>
      <c r="H45" s="120"/>
      <c r="I45" s="120"/>
      <c r="J45" s="3410" t="s">
        <v>1323</v>
      </c>
      <c r="K45" s="3410"/>
      <c r="L45" s="3410"/>
      <c r="M45" s="3410"/>
      <c r="N45" s="3410"/>
      <c r="O45" s="3410"/>
    </row>
    <row r="46" spans="1:15" ht="14.25" customHeight="1">
      <c r="A46" s="3329" t="s">
        <v>1324</v>
      </c>
      <c r="B46" s="3330"/>
      <c r="C46" s="3330"/>
      <c r="D46" s="3330"/>
      <c r="E46" s="3330"/>
      <c r="F46" s="3330"/>
      <c r="G46" s="3331"/>
      <c r="H46" s="1666"/>
      <c r="I46" s="150"/>
      <c r="J46" s="2307">
        <v>1</v>
      </c>
      <c r="K46" s="3391" t="s">
        <v>1325</v>
      </c>
      <c r="L46" s="3391"/>
      <c r="M46" s="3411"/>
      <c r="N46" s="3411"/>
      <c r="O46" s="3411"/>
    </row>
    <row r="47" spans="1:15" ht="12" customHeight="1">
      <c r="A47" s="151" t="s">
        <v>1326</v>
      </c>
      <c r="B47" s="152"/>
      <c r="C47" s="153"/>
      <c r="D47" s="1022" t="s">
        <v>1327</v>
      </c>
      <c r="E47" s="293" t="s">
        <v>1328</v>
      </c>
      <c r="F47" s="154" t="s">
        <v>1329</v>
      </c>
      <c r="G47" s="2330" t="s">
        <v>1330</v>
      </c>
      <c r="H47" s="2331"/>
      <c r="I47" s="150"/>
      <c r="J47" s="2307">
        <v>2</v>
      </c>
      <c r="K47" s="3391" t="s">
        <v>1331</v>
      </c>
      <c r="L47" s="3391"/>
      <c r="M47" s="3412">
        <f>'数据-取费表'!B2</f>
        <v>45709</v>
      </c>
      <c r="N47" s="3412"/>
      <c r="O47" s="3412"/>
    </row>
    <row r="48" spans="1:15" ht="25.5">
      <c r="A48" s="3360" t="s">
        <v>1332</v>
      </c>
      <c r="B48" s="3343"/>
      <c r="C48" s="3343"/>
      <c r="D48" s="12">
        <f ca="1">IF(H48="情况1",0,IF(H48="情况2",D52,IF(H48="情况3",D53,IF(H48="情况4",D54))))</f>
        <v>1796</v>
      </c>
      <c r="E48" s="1254" t="str">
        <f>IF(H48="情况4","(销售额-原购置价)×税（费）率","销售额×税（费）率")</f>
        <v>销售额×税（费）率</v>
      </c>
      <c r="F48" s="2332">
        <f>IF(H48="情况1","免征",'数据-取费表'!B41)</f>
        <v>5.5000000000000007E-2</v>
      </c>
      <c r="G48" s="2333" t="s">
        <v>1333</v>
      </c>
      <c r="H48" s="2334" t="s">
        <v>3921</v>
      </c>
      <c r="I48" s="1666"/>
      <c r="J48" s="2307">
        <v>3</v>
      </c>
      <c r="K48" s="3391" t="s">
        <v>1334</v>
      </c>
      <c r="L48" s="3391"/>
      <c r="M48" s="3413">
        <f ca="1">H101</f>
        <v>34292</v>
      </c>
      <c r="N48" s="3413"/>
      <c r="O48" s="3413"/>
    </row>
    <row r="49" spans="1:35" ht="25.5" customHeight="1">
      <c r="A49" s="2150" t="s">
        <v>1335</v>
      </c>
      <c r="B49" s="3327" t="s">
        <v>1336</v>
      </c>
      <c r="C49" s="3327"/>
      <c r="D49" s="1476">
        <v>0</v>
      </c>
      <c r="E49" s="315" t="s">
        <v>1337</v>
      </c>
      <c r="F49" s="2230" t="s">
        <v>28</v>
      </c>
      <c r="G49" s="3397"/>
      <c r="H49" s="2132" t="s">
        <v>2124</v>
      </c>
      <c r="I49" s="2133"/>
      <c r="J49" s="2307">
        <v>4</v>
      </c>
      <c r="K49" s="3391" t="str">
        <f>IF(项目基本情况!E8="房地产抵押价值","房地产抵押价值","抵押担保权已注销时的房地产抵押价值")</f>
        <v>房地产抵押价值</v>
      </c>
      <c r="L49" s="3391"/>
      <c r="M49" s="3413">
        <f ca="1">IF(项目基本情况!E8="房地产抵押价值",H107,H109)</f>
        <v>34292</v>
      </c>
      <c r="N49" s="3413"/>
      <c r="O49" s="3413"/>
    </row>
    <row r="50" spans="1:35" ht="25.5" customHeight="1">
      <c r="A50" s="2335"/>
      <c r="B50" s="3327" t="s">
        <v>1338</v>
      </c>
      <c r="C50" s="3327"/>
      <c r="D50" s="2187"/>
      <c r="E50" s="322"/>
      <c r="F50" s="2230"/>
      <c r="G50" s="3398"/>
      <c r="H50" s="2134" t="s">
        <v>2125</v>
      </c>
      <c r="I50" s="2133"/>
      <c r="J50" s="3410" t="s">
        <v>1339</v>
      </c>
      <c r="K50" s="3410"/>
      <c r="L50" s="3410"/>
      <c r="M50" s="3410"/>
      <c r="N50" s="3410"/>
      <c r="O50" s="3410"/>
    </row>
    <row r="51" spans="1:35" ht="20.45" customHeight="1">
      <c r="A51" s="2336"/>
      <c r="B51" s="3327" t="s">
        <v>1340</v>
      </c>
      <c r="C51" s="3327"/>
      <c r="D51" s="1022"/>
      <c r="E51" s="318"/>
      <c r="F51" s="2230"/>
      <c r="G51" s="3399"/>
      <c r="H51" s="2134" t="s">
        <v>2126</v>
      </c>
      <c r="I51" s="2133"/>
      <c r="J51" s="2308" t="s">
        <v>1341</v>
      </c>
      <c r="K51" s="3391" t="s">
        <v>1342</v>
      </c>
      <c r="L51" s="3391"/>
      <c r="M51" s="2308" t="s">
        <v>1343</v>
      </c>
      <c r="N51" s="2308" t="s">
        <v>1344</v>
      </c>
      <c r="O51" s="2308" t="s">
        <v>1345</v>
      </c>
    </row>
    <row r="52" spans="1:35" ht="24" customHeight="1">
      <c r="A52" s="2151" t="s">
        <v>1346</v>
      </c>
      <c r="B52" s="3327" t="s">
        <v>1347</v>
      </c>
      <c r="C52" s="3327"/>
      <c r="D52" s="1022">
        <f ca="1">ROUND(D45*'数据-取费表'!B41/(1+'数据-取费表'!C42),0)</f>
        <v>1796</v>
      </c>
      <c r="E52" s="1254" t="s">
        <v>1348</v>
      </c>
      <c r="F52" s="2337">
        <f>'数据-取费表'!B41</f>
        <v>5.5000000000000007E-2</v>
      </c>
      <c r="G52" s="2338"/>
      <c r="H52" s="2328"/>
      <c r="I52" s="1667"/>
      <c r="J52" s="2307">
        <v>1</v>
      </c>
      <c r="K52" s="3392" t="s">
        <v>1349</v>
      </c>
      <c r="L52" s="3392"/>
      <c r="M52" s="2309">
        <f ca="1">D48</f>
        <v>1796</v>
      </c>
      <c r="N52" s="2307" t="str">
        <f>E48</f>
        <v>销售额×税（费）率</v>
      </c>
      <c r="O52" s="2310">
        <f>F48</f>
        <v>5.5000000000000007E-2</v>
      </c>
    </row>
    <row r="53" spans="1:35" ht="12" customHeight="1">
      <c r="A53" s="2151" t="s">
        <v>1350</v>
      </c>
      <c r="B53" s="3353" t="s">
        <v>2281</v>
      </c>
      <c r="C53" s="3354"/>
      <c r="D53" s="1022">
        <f ca="1">ROUND(D45*'数据-取费表'!B41/(1+'数据-取费表'!C42),0)</f>
        <v>1796</v>
      </c>
      <c r="E53" s="1254" t="s">
        <v>1348</v>
      </c>
      <c r="F53" s="2337">
        <f>'数据-取费表'!B41</f>
        <v>5.5000000000000007E-2</v>
      </c>
      <c r="G53" s="2338"/>
      <c r="H53" s="2328"/>
      <c r="I53" s="1667"/>
      <c r="J53" s="2307">
        <v>2</v>
      </c>
      <c r="K53" s="3392" t="s">
        <v>1351</v>
      </c>
      <c r="L53" s="3392"/>
      <c r="M53" s="2309">
        <f t="shared" ref="M53:O54" ca="1" si="0">D55</f>
        <v>17</v>
      </c>
      <c r="N53" s="2307" t="str">
        <f t="shared" si="0"/>
        <v>销售额×税（费）率</v>
      </c>
      <c r="O53" s="2310">
        <f t="shared" si="0"/>
        <v>5.0000000000000001E-4</v>
      </c>
    </row>
    <row r="54" spans="1:35" ht="12" customHeight="1">
      <c r="A54" s="2151" t="s">
        <v>1352</v>
      </c>
      <c r="B54" s="3353" t="s">
        <v>2282</v>
      </c>
      <c r="C54" s="3354"/>
      <c r="D54" s="1022">
        <f ca="1">C68</f>
        <v>1796</v>
      </c>
      <c r="E54" s="318" t="s">
        <v>1353</v>
      </c>
      <c r="F54" s="2337">
        <f>'数据-取费表'!B41</f>
        <v>5.5000000000000007E-2</v>
      </c>
      <c r="G54" s="2338"/>
      <c r="H54" s="2339"/>
      <c r="I54" s="1667"/>
      <c r="J54" s="2307">
        <v>3</v>
      </c>
      <c r="K54" s="3392" t="s">
        <v>1354</v>
      </c>
      <c r="L54" s="3392"/>
      <c r="M54" s="2309">
        <f t="shared" ca="1" si="0"/>
        <v>1633</v>
      </c>
      <c r="N54" s="2307" t="str">
        <f t="shared" si="0"/>
        <v>增值额×税（费）率</v>
      </c>
      <c r="O54" s="2311" t="str">
        <f t="shared" si="0"/>
        <v>——</v>
      </c>
    </row>
    <row r="55" spans="1:35" ht="24" customHeight="1">
      <c r="A55" s="3342" t="s">
        <v>1355</v>
      </c>
      <c r="B55" s="3343"/>
      <c r="C55" s="3343"/>
      <c r="D55" s="12">
        <f ca="1">IF(H55="个人住宅",0,ROUND(D45*I55,0))</f>
        <v>17</v>
      </c>
      <c r="E55" s="1254" t="s">
        <v>1356</v>
      </c>
      <c r="F55" s="2337">
        <f>IF(H55="正常",I55,"免征")</f>
        <v>5.0000000000000001E-4</v>
      </c>
      <c r="G55" s="2338"/>
      <c r="H55" s="2334" t="s">
        <v>3922</v>
      </c>
      <c r="I55" s="156">
        <f>'数据-取费表'!B49</f>
        <v>5.0000000000000001E-4</v>
      </c>
      <c r="J55" s="2307" t="str">
        <f>IF(H59="非个人房产","",4)</f>
        <v/>
      </c>
      <c r="K55" s="3392" t="str">
        <f>IF(H59="非个人房产","——","个人所得税")</f>
        <v>——</v>
      </c>
      <c r="L55" s="3392"/>
      <c r="M55" s="2312" t="str">
        <f>D59</f>
        <v>——</v>
      </c>
      <c r="N55" s="1881" t="str">
        <f>E59</f>
        <v>——</v>
      </c>
      <c r="O55" s="2313" t="str">
        <f>F59</f>
        <v>——</v>
      </c>
    </row>
    <row r="56" spans="1:35" ht="24.75">
      <c r="A56" s="3342" t="s">
        <v>1357</v>
      </c>
      <c r="B56" s="3343"/>
      <c r="C56" s="3343"/>
      <c r="D56" s="1502">
        <f ca="1">ROUND(D45/1.05*5%,0)</f>
        <v>1633</v>
      </c>
      <c r="E56" s="1254" t="s">
        <v>1358</v>
      </c>
      <c r="F56" s="2337" t="str">
        <f>IF(H56="正常",F58,"免征")</f>
        <v>——</v>
      </c>
      <c r="G56" s="2340" t="s">
        <v>1359</v>
      </c>
      <c r="H56" s="2341" t="s">
        <v>3922</v>
      </c>
      <c r="I56" s="1668"/>
      <c r="J56" s="2307" t="str">
        <f>IF(项目基本情况!K6="上海银行",IF(J55="",4,J55+1),"")</f>
        <v/>
      </c>
      <c r="K56" s="3415" t="str">
        <f>IF(项目基本情况!K6="上海银行","其他处置费用","")</f>
        <v/>
      </c>
      <c r="L56" s="3416"/>
      <c r="M56" s="2309" t="str">
        <f>IF(项目基本情况!K6="上海银行",M69,"")</f>
        <v/>
      </c>
      <c r="N56" s="3415" t="str">
        <f>IF(项目基本情况!K6="上海银行","包含处置中涉及的律师、诉讼、拍卖、评估等费用","")</f>
        <v/>
      </c>
      <c r="O56" s="3418"/>
    </row>
    <row r="57" spans="1:35" ht="12.75">
      <c r="A57" s="2151" t="s">
        <v>1335</v>
      </c>
      <c r="B57" s="3353" t="s">
        <v>1360</v>
      </c>
      <c r="C57" s="3354"/>
      <c r="D57" s="1476">
        <v>0</v>
      </c>
      <c r="E57" s="315" t="s">
        <v>1337</v>
      </c>
      <c r="F57" s="293"/>
      <c r="G57" s="2338"/>
      <c r="H57" s="2342"/>
      <c r="I57" s="1668"/>
      <c r="J57" s="3392">
        <f>IF(AND(J55="",J56=""),4,IF(项目基本情况!K6="上海银行",结果表!J56+1,结果表!J55+1))</f>
        <v>4</v>
      </c>
      <c r="K57" s="3392" t="s">
        <v>1361</v>
      </c>
      <c r="L57" s="2314" t="s">
        <v>1362</v>
      </c>
      <c r="M57" s="2315"/>
      <c r="N57" s="2316">
        <f ca="1">SUMIF(M52:M56,"&lt;9e307")</f>
        <v>3446</v>
      </c>
      <c r="O57" s="2317"/>
      <c r="P57" s="2462">
        <f ca="1">N57/M49</f>
        <v>0.10048991018313309</v>
      </c>
    </row>
    <row r="58" spans="1:35" ht="24.75">
      <c r="A58" s="2151" t="s">
        <v>1346</v>
      </c>
      <c r="B58" s="3353" t="s">
        <v>1363</v>
      </c>
      <c r="C58" s="3327"/>
      <c r="D58" s="12">
        <f ca="1">IF(H58="转让取得",C81,C97)</f>
        <v>0</v>
      </c>
      <c r="E58" s="1254" t="s">
        <v>1358</v>
      </c>
      <c r="F58" s="293" t="s">
        <v>28</v>
      </c>
      <c r="G58" s="2338"/>
      <c r="H58" s="2341" t="s">
        <v>3923</v>
      </c>
      <c r="I58" s="1668"/>
      <c r="J58" s="3392"/>
      <c r="K58" s="3392"/>
      <c r="L58" s="2314" t="s">
        <v>1364</v>
      </c>
      <c r="M58" s="2318"/>
      <c r="N58" s="2319" t="str">
        <f ca="1">NUMBERSTRING(INT(N57*10000),2)&amp;"元整"</f>
        <v>叁仟肆佰肆拾陆万元整</v>
      </c>
      <c r="O58" s="2320"/>
    </row>
    <row r="59" spans="1:35" ht="24.75" thickBot="1">
      <c r="A59" s="3395" t="s">
        <v>1365</v>
      </c>
      <c r="B59" s="3396"/>
      <c r="C59" s="3396"/>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1359</v>
      </c>
      <c r="H59" s="2136" t="s">
        <v>3924</v>
      </c>
      <c r="I59" s="2135" t="s">
        <v>2127</v>
      </c>
      <c r="J59" s="3393">
        <f>J57+1</f>
        <v>5</v>
      </c>
      <c r="K59" s="3392" t="s">
        <v>1366</v>
      </c>
      <c r="L59" s="2307" t="s">
        <v>1362</v>
      </c>
      <c r="M59" s="2321"/>
      <c r="N59" s="2322">
        <f ca="1">M49-N57</f>
        <v>30846</v>
      </c>
      <c r="O59" s="2323"/>
    </row>
    <row r="60" spans="1:35" ht="12" customHeight="1">
      <c r="A60" s="1669"/>
      <c r="B60" s="645"/>
      <c r="C60" s="645"/>
      <c r="D60" s="645"/>
      <c r="E60" s="1464"/>
      <c r="F60" s="1668"/>
      <c r="G60" s="1668"/>
      <c r="H60" s="150"/>
      <c r="I60" s="120"/>
      <c r="J60" s="3394"/>
      <c r="K60" s="3392"/>
      <c r="L60" s="2314" t="s">
        <v>1364</v>
      </c>
      <c r="M60" s="2318"/>
      <c r="N60" s="2319" t="str">
        <f ca="1">NUMBERSTRING(INT(N59*10000),2)&amp;"元整"</f>
        <v>叁亿零捌佰肆拾陆万元整</v>
      </c>
      <c r="O60" s="2320"/>
    </row>
    <row r="61" spans="1:35" ht="13.5" thickBot="1">
      <c r="A61" s="3340" t="s">
        <v>1367</v>
      </c>
      <c r="B61" s="3340"/>
      <c r="C61" s="3340"/>
      <c r="D61" s="3340"/>
      <c r="E61" s="3340"/>
      <c r="F61" s="1668"/>
      <c r="G61" s="1668"/>
      <c r="H61" s="150"/>
      <c r="I61" s="120"/>
      <c r="J61" s="2307">
        <f>J59+1</f>
        <v>6</v>
      </c>
      <c r="K61" s="3392" t="s">
        <v>1368</v>
      </c>
      <c r="L61" s="3392"/>
      <c r="M61" s="2324"/>
      <c r="N61" s="2325">
        <f ca="1">ROUND(N59*10000/'数据-汇总表'!E3,0)</f>
        <v>12854</v>
      </c>
      <c r="O61" s="2326"/>
    </row>
    <row r="62" spans="1:35" ht="12.75">
      <c r="A62" s="3358" t="s">
        <v>1369</v>
      </c>
      <c r="B62" s="3359"/>
      <c r="C62" s="1863"/>
      <c r="D62" s="1863" t="s">
        <v>1370</v>
      </c>
      <c r="E62" s="157" t="s">
        <v>1371</v>
      </c>
      <c r="F62" s="1668"/>
      <c r="G62" s="1668"/>
      <c r="H62" s="150"/>
      <c r="I62" s="120"/>
    </row>
    <row r="63" spans="1:35" ht="12.75">
      <c r="A63" s="164" t="s">
        <v>330</v>
      </c>
      <c r="B63" s="158" t="s">
        <v>1372</v>
      </c>
      <c r="C63" s="2347">
        <f ca="1">ROUND((C64+C65)/(1+'数据-取费表'!C42),0)</f>
        <v>32659</v>
      </c>
      <c r="D63" s="158"/>
      <c r="E63" s="159"/>
      <c r="F63" s="1668"/>
      <c r="G63" s="1668"/>
      <c r="H63" s="150"/>
      <c r="I63" s="120"/>
      <c r="J63" s="3417" t="s">
        <v>1373</v>
      </c>
      <c r="K63" s="1243" t="s">
        <v>1374</v>
      </c>
      <c r="L63" s="1243">
        <f ca="1">IF(M49&gt;10000,M49*0.5%,IF(AND(M49&gt;1000,M49&lt;=10000),M49*1%,IF(AND(M49&gt;100,M49&lt;=1000),M49*3%,IF(AND(M49&gt;10,M49&lt;=100),M49*5%,M49*8%))))</f>
        <v>171.46</v>
      </c>
      <c r="M63" s="293">
        <f ca="1">ROUND(L63,1)</f>
        <v>171.5</v>
      </c>
      <c r="N63" s="2327"/>
      <c r="Z63" s="1621"/>
      <c r="AI63" s="1559"/>
    </row>
    <row r="64" spans="1:35" ht="14.25" customHeight="1">
      <c r="A64" s="160" t="s">
        <v>325</v>
      </c>
      <c r="B64" s="161" t="s">
        <v>1375</v>
      </c>
      <c r="C64" s="2348">
        <f ca="1">D45</f>
        <v>34292</v>
      </c>
      <c r="D64" s="161" t="s">
        <v>26</v>
      </c>
      <c r="E64" s="163"/>
      <c r="F64" s="1668"/>
      <c r="G64" s="1668"/>
      <c r="H64" s="150"/>
      <c r="I64" s="120"/>
      <c r="J64" s="3417"/>
      <c r="K64" s="1243" t="s">
        <v>1376</v>
      </c>
      <c r="L64" s="1243">
        <f ca="1">IF(M49&gt;2000,M49*0.5%,IF(AND(M49&gt;1000,M49&lt;=2000),M49*0.6%,IF(AND(M49&gt;500,M49&lt;=1000),M49*0.7%,IF(AND(M49&gt;200,M49&lt;=500),M49*0.8%,IF(AND(M49&gt;100,M49&lt;=200),M49*0.9%,IF(AND(M49&gt;50,M49&lt;=100),M49*1%,IF(AND(M49&gt;20,M49&lt;=50),M49*1.5%,IF(AND(M49&gt;10,M49&lt;=20),M49*2%,IF(AND(M49&gt;1,M49&lt;=10),M49*2.5%)))))))))</f>
        <v>171.46</v>
      </c>
      <c r="M64" s="293">
        <f t="shared" ref="M64:M65" ca="1" si="1">ROUND(L64,1)</f>
        <v>171.5</v>
      </c>
      <c r="N64" s="2328" t="s">
        <v>1377</v>
      </c>
      <c r="Z64" s="1621"/>
      <c r="AI64" s="1559"/>
    </row>
    <row r="65" spans="1:35" ht="14.25" customHeight="1">
      <c r="A65" s="160" t="s">
        <v>326</v>
      </c>
      <c r="B65" s="161" t="s">
        <v>1378</v>
      </c>
      <c r="C65" s="2349"/>
      <c r="D65" s="161"/>
      <c r="E65" s="163"/>
      <c r="F65" s="1668"/>
      <c r="G65" s="1668"/>
      <c r="H65" s="150"/>
      <c r="I65" s="120"/>
      <c r="J65" s="3417"/>
      <c r="K65" s="1243" t="s">
        <v>1379</v>
      </c>
      <c r="L65" s="1243">
        <f ca="1">IF(M49&gt;1000,M49*0.1%,IF(AND(M49&gt;500,M49&lt;=1000),M49*0.5%,IF(AND(M49&gt;50,M49&lt;=500),M49*1%,IF(AND(M49&gt;1,M49&lt;=50),M49*1.5%))))</f>
        <v>34.292000000000002</v>
      </c>
      <c r="M65" s="293">
        <f t="shared" ca="1" si="1"/>
        <v>34.299999999999997</v>
      </c>
      <c r="N65" s="2328" t="s">
        <v>1377</v>
      </c>
      <c r="Z65" s="1621"/>
      <c r="AI65" s="1559"/>
    </row>
    <row r="66" spans="1:35" ht="14.25" customHeight="1">
      <c r="A66" s="164" t="s">
        <v>327</v>
      </c>
      <c r="B66" s="165" t="s">
        <v>1380</v>
      </c>
      <c r="C66" s="2350"/>
      <c r="D66" s="165" t="s">
        <v>26</v>
      </c>
      <c r="E66" s="1249" t="s">
        <v>665</v>
      </c>
      <c r="F66" s="1668"/>
      <c r="G66" s="1668"/>
      <c r="H66" s="150"/>
      <c r="I66" s="120"/>
      <c r="J66" s="3417"/>
      <c r="K66" s="1243" t="s">
        <v>1381</v>
      </c>
      <c r="L66" s="1243">
        <f ca="1">M49*0.5%</f>
        <v>171.46</v>
      </c>
      <c r="M66" s="293">
        <f ca="1">IF(L66&gt;0.5,0.5,ROUND(L66,0))</f>
        <v>0.5</v>
      </c>
      <c r="N66" s="2328" t="s">
        <v>1382</v>
      </c>
      <c r="Z66" s="1621"/>
      <c r="AI66" s="1559"/>
    </row>
    <row r="67" spans="1:35" ht="14.25" customHeight="1">
      <c r="A67" s="164" t="s">
        <v>328</v>
      </c>
      <c r="B67" s="165" t="s">
        <v>1383</v>
      </c>
      <c r="C67" s="2351">
        <f ca="1">C63-C66</f>
        <v>32659</v>
      </c>
      <c r="D67" s="161" t="s">
        <v>26</v>
      </c>
      <c r="E67" s="163"/>
      <c r="F67" s="1668"/>
      <c r="G67" s="1668"/>
      <c r="H67" s="150"/>
      <c r="I67" s="120"/>
      <c r="J67" s="3417"/>
      <c r="K67" s="1243" t="s">
        <v>1384</v>
      </c>
      <c r="L67" s="1243">
        <f ca="1">IF(M49&gt;=10000,(8.25+(M49-10000)*0.01%),IF(AND(M49&gt;=8000,M49&lt;10000),(7.85+(M49-8000)*0.02%),IF(AND(M49&gt;=5000,M49&lt;8000),(6.65+(M49-5000)*0.04%),IF(AND(M49&gt;=2000,M49&lt;5000),(4.25+(PM49-2000)*0.08%),IF(AND(M49&gt;=1000,M49&lt;2000),(2.75+(M49-1000)*0.15%),IF(AND(M49&gt;=100,M49&lt;1000),(0.5+(M49-100)*0.25%),IF(AND(M49&gt;0,M49&lt;100),M49*0.5%)))))))</f>
        <v>10.6792</v>
      </c>
      <c r="M67" s="293">
        <f ca="1">ROUND(L67*0.9,1)</f>
        <v>9.6</v>
      </c>
      <c r="N67" s="2327"/>
      <c r="Z67" s="1621"/>
      <c r="AI67" s="1559"/>
    </row>
    <row r="68" spans="1:35" ht="14.25" customHeight="1" thickBot="1">
      <c r="A68" s="167" t="s">
        <v>329</v>
      </c>
      <c r="B68" s="168" t="s">
        <v>1385</v>
      </c>
      <c r="C68" s="2352">
        <f ca="1">IF(C67&lt;=0,0,ROUND(C67*D68,0))</f>
        <v>1796</v>
      </c>
      <c r="D68" s="2353">
        <f>'数据-取费表'!B41</f>
        <v>5.5000000000000007E-2</v>
      </c>
      <c r="E68" s="169"/>
      <c r="F68" s="1668"/>
      <c r="G68" s="1668"/>
      <c r="H68" s="150"/>
      <c r="I68" s="120"/>
      <c r="J68" s="3417"/>
      <c r="K68" s="1243" t="s">
        <v>1386</v>
      </c>
      <c r="L68" s="1243">
        <f ca="1">IF(M49&gt;10000,M49*0.5%,IF(AND(M49&gt;5000,M49&lt;=10000),M49*1%,IF(AND(M49&gt;1000,M49&lt;=5000),M49*2%,IF(AND(M49&gt;200,M49&lt;=1000),M49*3%,M49*5%))))</f>
        <v>171.46</v>
      </c>
      <c r="M68" s="293">
        <f ca="1">ROUND(L68,1)</f>
        <v>171.5</v>
      </c>
      <c r="N68" s="2327"/>
      <c r="Z68" s="1621"/>
      <c r="AI68" s="1559"/>
    </row>
    <row r="69" spans="1:35" ht="16.5" customHeight="1">
      <c r="A69" s="1670"/>
      <c r="B69" s="1671"/>
      <c r="C69" s="1672"/>
      <c r="D69" s="1673"/>
      <c r="E69" s="1674"/>
      <c r="F69" s="1464"/>
      <c r="G69" s="1464"/>
      <c r="H69" s="1465"/>
      <c r="I69" s="645"/>
      <c r="J69" s="3417"/>
      <c r="K69" s="1243" t="s">
        <v>1387</v>
      </c>
      <c r="L69" s="1243"/>
      <c r="M69" s="293">
        <f ca="1">ROUND(SUM(M63:M68),0)</f>
        <v>559</v>
      </c>
      <c r="N69" s="2329">
        <f ca="1">M69/M49</f>
        <v>1.6301178117345154E-2</v>
      </c>
      <c r="Z69" s="1621"/>
      <c r="AI69" s="1559"/>
    </row>
    <row r="70" spans="1:35" s="641" customFormat="1" ht="15" thickBot="1">
      <c r="A70" s="3379" t="s">
        <v>1388</v>
      </c>
      <c r="B70" s="3380"/>
      <c r="C70" s="3380"/>
      <c r="D70" s="3380"/>
      <c r="E70" s="3380"/>
      <c r="F70" s="3380"/>
      <c r="G70" s="3380"/>
      <c r="H70" s="3380"/>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58" t="s">
        <v>1369</v>
      </c>
      <c r="B71" s="3359"/>
      <c r="C71" s="1863"/>
      <c r="D71" s="1863" t="s">
        <v>1370</v>
      </c>
      <c r="E71" s="170" t="s">
        <v>1371</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1389</v>
      </c>
      <c r="C72" s="2351">
        <f ca="1">ROUND(D45/(1+'数据-取费表'!C42),0)</f>
        <v>32659</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1390</v>
      </c>
      <c r="C73" s="2351">
        <f ca="1">C74+C78</f>
        <v>163</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1391</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1392</v>
      </c>
      <c r="C75" s="2354"/>
      <c r="D75" s="161" t="s">
        <v>26</v>
      </c>
      <c r="E75" s="175" t="s">
        <v>1393</v>
      </c>
      <c r="F75" s="2355"/>
      <c r="G75" s="175" t="s">
        <v>1394</v>
      </c>
      <c r="H75" s="2356"/>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1395</v>
      </c>
      <c r="C76" s="161">
        <f>IF(F75="购房发票",ROUND(C75*H75*D76,0),0)</f>
        <v>0</v>
      </c>
      <c r="D76" s="2357">
        <v>0.05</v>
      </c>
      <c r="E76" s="3353" t="s">
        <v>1396</v>
      </c>
      <c r="F76" s="3327"/>
      <c r="G76" s="3327"/>
      <c r="H76" s="337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1397</v>
      </c>
      <c r="C77" s="161">
        <f>ROUND(IF(G77="个人住宅",0,IF(G77="2016年5月1日前购买",C75*D77,C75*D77/(1+'数据-取费表'!C42))),0)</f>
        <v>0</v>
      </c>
      <c r="D77" s="2358">
        <f>'数据-取费表'!B48+'数据-取费表'!B49</f>
        <v>3.0499999999999999E-2</v>
      </c>
      <c r="E77" s="12" t="s">
        <v>1398</v>
      </c>
      <c r="F77" s="177"/>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1399</v>
      </c>
      <c r="C78" s="2359">
        <f ca="1">ROUND(D45*D78/(1+'数据-取费表'!C42),0)</f>
        <v>163</v>
      </c>
      <c r="D78" s="2360">
        <f>'数据-取费表'!B43</f>
        <v>5.000000000000001E-3</v>
      </c>
      <c r="E78" s="3337" t="s">
        <v>1400</v>
      </c>
      <c r="F78" s="3338"/>
      <c r="G78" s="3338"/>
      <c r="H78" s="3347"/>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1401</v>
      </c>
      <c r="C79" s="2351">
        <f ca="1">C72-C73</f>
        <v>32496</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1402</v>
      </c>
      <c r="C80" s="2361">
        <f ca="1">IF(C79&lt;=0,0,C79/C73)</f>
        <v>199.36196319018404</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1403</v>
      </c>
      <c r="C81" s="2362">
        <f ca="1">ROUND(IF(C79&lt;=0,0,IF(C80&gt;=200%,C79*60%-C73*35%,IF(C80&gt;=100%,C79*50%-C73*15%,IF(C80&gt;=50%,C79*40%-C73*5%,IF(C80&lt;50%,C79*30%,0))))),0)</f>
        <v>19441</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79" t="s">
        <v>1404</v>
      </c>
      <c r="B83" s="3380"/>
      <c r="C83" s="3380"/>
      <c r="D83" s="3380"/>
      <c r="E83" s="3380"/>
      <c r="F83" s="3380"/>
      <c r="G83" s="3380"/>
      <c r="H83" s="3380"/>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58" t="s">
        <v>1369</v>
      </c>
      <c r="B84" s="3359"/>
      <c r="C84" s="1863"/>
      <c r="D84" s="1863" t="s">
        <v>1370</v>
      </c>
      <c r="E84" s="170" t="s">
        <v>1371</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1389</v>
      </c>
      <c r="C85" s="2351">
        <f ca="1">ROUND(D45/(1+'数据-取费表'!C42),0)</f>
        <v>32659</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1390</v>
      </c>
      <c r="C86" s="2351">
        <f ca="1">IF(H88="仅含出让金",C87+C90+C91+C92+C93+C94,C87+C91+C92+C93+C94)</f>
        <v>51383</v>
      </c>
      <c r="D86" s="2364"/>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1405</v>
      </c>
      <c r="C87" s="2359">
        <f>C88+C89</f>
        <v>27977</v>
      </c>
      <c r="D87" s="2360"/>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1406</v>
      </c>
      <c r="C88" s="2365">
        <f>ROUND('数据-汇总表'!E3/地价款明细!D27*地价款明细!G28,0)</f>
        <v>27149</v>
      </c>
      <c r="D88" s="2360"/>
      <c r="E88" s="184" t="s">
        <v>1407</v>
      </c>
      <c r="F88" s="2146"/>
      <c r="G88" s="185" t="s">
        <v>1408</v>
      </c>
      <c r="H88" s="1682" t="s">
        <v>3925</v>
      </c>
      <c r="I88" s="1679"/>
      <c r="J88" s="2305" t="s">
        <v>2278</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1397</v>
      </c>
      <c r="C89" s="2359">
        <f>ROUND(C88*D89,0)</f>
        <v>828</v>
      </c>
      <c r="D89" s="2360">
        <f>'数据-取费表'!B48+'数据-取费表'!B49</f>
        <v>3.0499999999999999E-2</v>
      </c>
      <c r="E89" s="184" t="s">
        <v>1409</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1410</v>
      </c>
      <c r="C90" s="2365"/>
      <c r="D90" s="2360"/>
      <c r="E90" s="184" t="str">
        <f>IF(H88="-","土地取得成本中已包含该笔费用"," ")</f>
        <v xml:space="preserve"> </v>
      </c>
      <c r="F90" s="2146"/>
      <c r="G90" s="3419" t="s">
        <v>2119</v>
      </c>
      <c r="H90" s="3420"/>
      <c r="I90" s="1679"/>
      <c r="J90" s="2305" t="s">
        <v>2279</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1411</v>
      </c>
      <c r="B91" s="161" t="s">
        <v>1412</v>
      </c>
      <c r="C91" s="2359">
        <f ca="1">IF(H91="——",成本法!C33,I91)</f>
        <v>11423</v>
      </c>
      <c r="D91" s="2360"/>
      <c r="E91" s="3337" t="s">
        <v>1413</v>
      </c>
      <c r="F91" s="3338"/>
      <c r="G91" s="3338"/>
      <c r="H91" s="1683" t="s">
        <v>43</v>
      </c>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1414</v>
      </c>
      <c r="B92" s="161" t="s">
        <v>1415</v>
      </c>
      <c r="C92" s="2359">
        <f ca="1">ROUND((C87+C90+C91)*D92,0)</f>
        <v>3940</v>
      </c>
      <c r="D92" s="2366">
        <v>0.1</v>
      </c>
      <c r="E92" s="3337" t="s">
        <v>1416</v>
      </c>
      <c r="F92" s="3338"/>
      <c r="G92" s="3338"/>
      <c r="H92" s="3347"/>
      <c r="I92" s="1679"/>
      <c r="J92" s="2306" t="s">
        <v>2280</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1417</v>
      </c>
      <c r="B93" s="161" t="s">
        <v>1399</v>
      </c>
      <c r="C93" s="2359">
        <f ca="1">ROUND(D45*D93/(1+'数据-取费表'!C42),0)</f>
        <v>163</v>
      </c>
      <c r="D93" s="2360">
        <f>'数据-取费表'!B43</f>
        <v>5.000000000000001E-3</v>
      </c>
      <c r="E93" s="3337" t="s">
        <v>1400</v>
      </c>
      <c r="F93" s="3338"/>
      <c r="G93" s="3338"/>
      <c r="H93" s="3347"/>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1418</v>
      </c>
      <c r="B94" s="161" t="s">
        <v>1419</v>
      </c>
      <c r="C94" s="2365">
        <f ca="1">ROUND((C87+C90+C91)*D94,0)</f>
        <v>7880</v>
      </c>
      <c r="D94" s="2360">
        <v>0.2</v>
      </c>
      <c r="E94" s="3348" t="s">
        <v>1420</v>
      </c>
      <c r="F94" s="3349"/>
      <c r="G94" s="3349"/>
      <c r="H94" s="335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1401</v>
      </c>
      <c r="C95" s="2351">
        <f ca="1">ROUND(C85-C86,0)</f>
        <v>-18724</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1402</v>
      </c>
      <c r="C96" s="2361">
        <f ca="1">IF(C95&lt;=0,0,C95/C86)</f>
        <v>0</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1403</v>
      </c>
      <c r="C97" s="2362">
        <f ca="1">ROUND(IF(C95&lt;=0,0,IF(C96&gt;=200%,C95*60%-C86*35%,IF(C96&gt;=100%,C95*50%-C86*15%,IF(C96&gt;=50%,C95*40%-C86*5%,IF(C96&lt;50%,C95*30%,0))))),0)</f>
        <v>0</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1421</v>
      </c>
      <c r="B99" s="645"/>
      <c r="C99" s="645"/>
      <c r="D99" s="645"/>
      <c r="E99" s="1464"/>
      <c r="F99" s="1464"/>
      <c r="G99" s="1464"/>
      <c r="H99" s="1465"/>
      <c r="I99" s="120"/>
    </row>
    <row r="100" spans="1:35" ht="18.75" customHeight="1">
      <c r="A100" s="3321" t="s">
        <v>1422</v>
      </c>
      <c r="B100" s="3322"/>
      <c r="C100" s="3322"/>
      <c r="D100" s="3339"/>
      <c r="E100" s="3322" t="s">
        <v>1423</v>
      </c>
      <c r="F100" s="3322"/>
      <c r="G100" s="3322"/>
      <c r="H100" s="3339"/>
      <c r="I100" s="120"/>
    </row>
    <row r="101" spans="1:35" ht="18.75" customHeight="1">
      <c r="A101" s="3400" t="s">
        <v>1424</v>
      </c>
      <c r="B101" s="3401"/>
      <c r="C101" s="2368" t="str">
        <f>C4</f>
        <v>成本法</v>
      </c>
      <c r="D101" s="2369" t="str">
        <f>D4</f>
        <v>假设开发法</v>
      </c>
      <c r="E101" s="3414" t="s">
        <v>1425</v>
      </c>
      <c r="F101" s="3371"/>
      <c r="G101" s="1685" t="s">
        <v>1426</v>
      </c>
      <c r="H101" s="2378">
        <f ca="1">H118</f>
        <v>34292</v>
      </c>
      <c r="I101" s="120"/>
    </row>
    <row r="102" spans="1:35" ht="18.75" customHeight="1">
      <c r="A102" s="3373" t="s">
        <v>1427</v>
      </c>
      <c r="B102" s="2367" t="s">
        <v>1426</v>
      </c>
      <c r="C102" s="2368">
        <f ca="1">IF(D32="楼面单价",ROUND(C19,0),C19)</f>
        <v>39163</v>
      </c>
      <c r="D102" s="2369">
        <f ca="1">IF(D32="楼面单价",ROUND(D19,0),D19)</f>
        <v>26985</v>
      </c>
      <c r="E102" s="3414"/>
      <c r="F102" s="3371"/>
      <c r="G102" s="1685" t="s">
        <v>1428</v>
      </c>
      <c r="H102" s="2338">
        <f ca="1">I118</f>
        <v>14290</v>
      </c>
      <c r="I102" s="120"/>
    </row>
    <row r="103" spans="1:35" ht="42.75" customHeight="1">
      <c r="A103" s="3373"/>
      <c r="B103" s="2367" t="s">
        <v>1428</v>
      </c>
      <c r="C103" s="2370">
        <f ca="1">C20</f>
        <v>16320</v>
      </c>
      <c r="D103" s="2371">
        <f ca="1">D20</f>
        <v>11245</v>
      </c>
      <c r="E103" s="3408" t="s">
        <v>1429</v>
      </c>
      <c r="F103" s="3409"/>
      <c r="G103" s="1686" t="s">
        <v>1430</v>
      </c>
      <c r="H103" s="2378">
        <f>IF(D36="正常操作",H104+H105+H106,H105+H106)</f>
        <v>0</v>
      </c>
      <c r="I103" s="120"/>
    </row>
    <row r="104" spans="1:35" ht="18.75" customHeight="1">
      <c r="A104" s="3373" t="s">
        <v>1431</v>
      </c>
      <c r="B104" s="2372" t="s">
        <v>1426</v>
      </c>
      <c r="C104" s="2373">
        <f ca="1">H118</f>
        <v>34292</v>
      </c>
      <c r="D104" s="2374"/>
      <c r="E104" s="1553" t="s">
        <v>1432</v>
      </c>
      <c r="F104" s="1546"/>
      <c r="G104" s="1686" t="s">
        <v>1430</v>
      </c>
      <c r="H104" s="2379">
        <f>IF(D36="同一抵押权人同一抵押物续贷",C36&amp;"（续贷，未扣减，详见特别提示）",C36)</f>
        <v>0</v>
      </c>
      <c r="I104" s="120"/>
    </row>
    <row r="105" spans="1:35" ht="18.75" customHeight="1" thickBot="1">
      <c r="A105" s="3374"/>
      <c r="B105" s="2375" t="s">
        <v>1428</v>
      </c>
      <c r="C105" s="2376">
        <f ca="1">I118</f>
        <v>14290</v>
      </c>
      <c r="D105" s="2377"/>
      <c r="E105" s="1553" t="s">
        <v>1433</v>
      </c>
      <c r="F105" s="1546"/>
      <c r="G105" s="1686" t="s">
        <v>1430</v>
      </c>
      <c r="H105" s="2380">
        <f>C37</f>
        <v>0</v>
      </c>
      <c r="I105" s="120"/>
    </row>
    <row r="106" spans="1:35" ht="18.75" customHeight="1">
      <c r="A106" s="645" t="s">
        <v>1434</v>
      </c>
      <c r="B106" s="645"/>
      <c r="C106" s="645"/>
      <c r="D106" s="645"/>
      <c r="E106" s="1687" t="s">
        <v>1435</v>
      </c>
      <c r="F106" s="1546"/>
      <c r="G106" s="1686" t="s">
        <v>1430</v>
      </c>
      <c r="H106" s="2380">
        <f>C38</f>
        <v>0</v>
      </c>
      <c r="I106" s="120"/>
    </row>
    <row r="107" spans="1:35" ht="18.75" customHeight="1">
      <c r="A107" s="120"/>
      <c r="B107" s="120"/>
      <c r="C107" s="120"/>
      <c r="D107" s="120"/>
      <c r="E107" s="3370" t="str">
        <f>IF(项目基本情况!E8="已注销","——","3.房地产抵押价值")</f>
        <v>3.房地产抵押价值</v>
      </c>
      <c r="F107" s="3371"/>
      <c r="G107" s="1685" t="s">
        <v>1426</v>
      </c>
      <c r="H107" s="2378">
        <f ca="1">IF(E107="——","——",H101-H103)</f>
        <v>34292</v>
      </c>
      <c r="I107" s="120"/>
    </row>
    <row r="108" spans="1:35" ht="18.75" customHeight="1">
      <c r="A108" s="120"/>
      <c r="B108" s="120"/>
      <c r="C108" s="120"/>
      <c r="D108" s="120"/>
      <c r="E108" s="3370"/>
      <c r="F108" s="3371"/>
      <c r="G108" s="1685" t="s">
        <v>1428</v>
      </c>
      <c r="H108" s="2338">
        <f ca="1">IF(H107=H101,H102,ROUND(H107*10000/'数据-汇总表'!E3,0))</f>
        <v>14290</v>
      </c>
      <c r="I108" s="120"/>
    </row>
    <row r="109" spans="1:35" ht="18.75" customHeight="1">
      <c r="A109" s="120"/>
      <c r="B109" s="120"/>
      <c r="C109" s="120"/>
      <c r="D109" s="120"/>
      <c r="E109" s="3370" t="str">
        <f>IF(项目基本情况!E8="已注销及未注销","4.抵押担保权已注销时的房地产抵押价值",IF(项目基本情况!E8="已注销","3.抵押担保权已注销时的房地产抵押价值","——"))</f>
        <v>——</v>
      </c>
      <c r="F109" s="3371"/>
      <c r="G109" s="1685" t="s">
        <v>1426</v>
      </c>
      <c r="H109" s="2381" t="str">
        <f>IF(E109="——","——",H101-H105-H106)</f>
        <v>——</v>
      </c>
      <c r="I109" s="120"/>
    </row>
    <row r="110" spans="1:35" ht="18.75" customHeight="1">
      <c r="A110" s="120"/>
      <c r="B110" s="120"/>
      <c r="C110" s="120"/>
      <c r="D110" s="120"/>
      <c r="E110" s="3370"/>
      <c r="F110" s="3371"/>
      <c r="G110" s="1685" t="s">
        <v>1428</v>
      </c>
      <c r="H110" s="2338" t="str">
        <f>IF(H109="——","——",ROUND(H109*10000/'数据-汇总表'!E3,0))</f>
        <v>——</v>
      </c>
      <c r="I110" s="120"/>
    </row>
    <row r="111" spans="1:35" ht="18.75" customHeight="1">
      <c r="A111" s="120"/>
      <c r="B111" s="120"/>
      <c r="C111" s="120"/>
      <c r="D111" s="120"/>
      <c r="E111" s="3402" t="str">
        <f>IF(项目基本情况!E9="抵押净值",IF(OR(项目基本情况!E8="已注销",项目基本情况!E8="房地产抵押价值"),"4.抵押净值","5.抵押净值"),"——")</f>
        <v>——</v>
      </c>
      <c r="F111" s="3372"/>
      <c r="G111" s="1685" t="s">
        <v>1426</v>
      </c>
      <c r="H111" s="2378" t="str">
        <f>IF(E111="——","——",N59)</f>
        <v>——</v>
      </c>
      <c r="I111" s="120"/>
    </row>
    <row r="112" spans="1:35" ht="18.75" customHeight="1" thickBot="1">
      <c r="A112" s="120"/>
      <c r="B112" s="120"/>
      <c r="C112" s="120"/>
      <c r="D112" s="120"/>
      <c r="E112" s="3403"/>
      <c r="F112" s="3404"/>
      <c r="G112" s="1688" t="s">
        <v>1428</v>
      </c>
      <c r="H112" s="2382" t="str">
        <f>IF(E111="——","——",N61)</f>
        <v>——</v>
      </c>
      <c r="I112" s="120"/>
    </row>
    <row r="113" spans="1:27" ht="18.75" customHeight="1">
      <c r="A113" s="120"/>
      <c r="B113" s="120"/>
      <c r="C113" s="120"/>
      <c r="D113" s="120"/>
      <c r="E113" s="3375" t="s">
        <v>1434</v>
      </c>
      <c r="F113" s="3375"/>
      <c r="G113" s="3375"/>
      <c r="H113" s="3375"/>
      <c r="I113" s="120"/>
    </row>
    <row r="114" spans="1:27" ht="3.75" customHeight="1">
      <c r="A114" s="645"/>
      <c r="B114" s="645"/>
      <c r="C114" s="645"/>
      <c r="D114" s="645"/>
      <c r="E114" s="1669"/>
      <c r="F114" s="1669"/>
      <c r="G114" s="1669"/>
      <c r="H114" s="1669"/>
      <c r="I114" s="645"/>
    </row>
    <row r="115" spans="1:27" ht="18.75" customHeight="1">
      <c r="A115" s="3385" t="s">
        <v>1436</v>
      </c>
      <c r="B115" s="3386"/>
      <c r="C115" s="3386"/>
      <c r="D115" s="3386"/>
      <c r="E115" s="3386"/>
      <c r="F115" s="3386"/>
      <c r="G115" s="3386"/>
      <c r="H115" s="3386"/>
      <c r="I115" s="3387"/>
    </row>
    <row r="116" spans="1:27" ht="27" customHeight="1">
      <c r="A116" s="3341" t="s">
        <v>1437</v>
      </c>
      <c r="B116" s="3376" t="s">
        <v>3860</v>
      </c>
      <c r="C116" s="3376" t="s">
        <v>3861</v>
      </c>
      <c r="D116" s="3389" t="s">
        <v>1438</v>
      </c>
      <c r="E116" s="3390"/>
      <c r="F116" s="3384" t="s">
        <v>1439</v>
      </c>
      <c r="G116" s="3384"/>
      <c r="H116" s="3341" t="s">
        <v>1440</v>
      </c>
      <c r="I116" s="3341"/>
    </row>
    <row r="117" spans="1:27" ht="18.75" customHeight="1">
      <c r="A117" s="3341"/>
      <c r="B117" s="3377"/>
      <c r="C117" s="3377"/>
      <c r="D117" s="2148" t="s">
        <v>1441</v>
      </c>
      <c r="E117" s="2148" t="s">
        <v>1442</v>
      </c>
      <c r="F117" s="2148" t="s">
        <v>1441</v>
      </c>
      <c r="G117" s="2148" t="s">
        <v>1443</v>
      </c>
      <c r="H117" s="2148" t="s">
        <v>1441</v>
      </c>
      <c r="I117" s="2148" t="s">
        <v>1443</v>
      </c>
    </row>
    <row r="118" spans="1:27" ht="24.75" customHeight="1">
      <c r="A118" s="2383" t="str">
        <f>项目基本情况!S2</f>
        <v>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v>
      </c>
      <c r="B118" s="2148">
        <f>M18</f>
        <v>23997.3</v>
      </c>
      <c r="C118" s="2148">
        <f>M19</f>
        <v>6542.04</v>
      </c>
      <c r="D118" s="2148">
        <f ca="1">ROUND(IF(D32="总价",C34,E118*B118/10000),0)</f>
        <v>21021</v>
      </c>
      <c r="E118" s="2148">
        <f ca="1">ROUND(IF(C33="自定义",IF(D32="楼面单价",C34,D118*10000/B118),I118-G118),0)</f>
        <v>8760</v>
      </c>
      <c r="F118" s="2148">
        <f ca="1">ROUND(IF(D32="总价",C35,G118*B118/10000),0)</f>
        <v>13271</v>
      </c>
      <c r="G118" s="2148">
        <f ca="1">ROUND(IF(D32="楼面单价",C35,F118*10000/B118),0)</f>
        <v>5530</v>
      </c>
      <c r="H118" s="2148">
        <f ca="1">ROUND(IF(D32="总价",C32,I118*B118/10000),0)</f>
        <v>34292</v>
      </c>
      <c r="I118" s="2148">
        <f ca="1">ROUND(IF(D32="楼面单价",C32,H118*10000/B118),0)</f>
        <v>14290</v>
      </c>
    </row>
    <row r="119" spans="1:27" ht="18.75" customHeight="1">
      <c r="A119" s="3341" t="s">
        <v>1444</v>
      </c>
      <c r="B119" s="3341"/>
      <c r="C119" s="3341"/>
      <c r="D119" s="3381" t="str">
        <f ca="1">NUMBERSTRING(INT(D118*10000),2)&amp;"元整"</f>
        <v>贰亿壹仟零贰拾壹万元整</v>
      </c>
      <c r="E119" s="3383"/>
      <c r="F119" s="3381" t="str">
        <f ca="1">NUMBERSTRING(INT(F118*10000),2)&amp;"元整"</f>
        <v>壹亿叁仟贰佰柒拾壹万元整</v>
      </c>
      <c r="G119" s="3383"/>
      <c r="H119" s="3381" t="str">
        <f ca="1">NUMBERSTRING(INT(H118*10000),2)&amp;"元整"</f>
        <v>叁亿肆仟贰佰玖拾贰万元整</v>
      </c>
      <c r="I119" s="3383"/>
    </row>
    <row r="120" spans="1:27" ht="18.75" customHeight="1">
      <c r="A120" s="3405" t="str">
        <f>IF(项目基本情况!B9="房地产市场价值","",MID(E103,3,LEN(E103)-2))</f>
        <v>估价师知悉的法定优先受偿款</v>
      </c>
      <c r="B120" s="3406"/>
      <c r="C120" s="3407"/>
      <c r="D120" s="3405">
        <f>H103</f>
        <v>0</v>
      </c>
      <c r="E120" s="3406"/>
      <c r="F120" s="3406"/>
      <c r="G120" s="3406"/>
      <c r="H120" s="3406"/>
      <c r="I120" s="340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81" t="s">
        <v>1444</v>
      </c>
      <c r="B121" s="3382"/>
      <c r="C121" s="3383"/>
      <c r="D121" s="3381" t="str">
        <f>IF(D120=0,"零元整",NUMBERSTRING(INT(D120*10000),2)&amp;"元整")</f>
        <v>零元整</v>
      </c>
      <c r="E121" s="3382"/>
      <c r="F121" s="3382"/>
      <c r="G121" s="3382"/>
      <c r="H121" s="3382"/>
      <c r="I121" s="3383"/>
      <c r="AA121" s="683"/>
    </row>
    <row r="122" spans="1:27" ht="18.75" customHeight="1">
      <c r="A122" s="3372" t="str">
        <f>IF(项目基本情况!B9="房地产市场价值","",MID(E107,3,LEN(E107)-2))</f>
        <v>房地产抵押价值</v>
      </c>
      <c r="B122" s="3372"/>
      <c r="C122" s="3372"/>
      <c r="D122" s="3405">
        <f ca="1">H107</f>
        <v>34292</v>
      </c>
      <c r="E122" s="3406"/>
      <c r="F122" s="3406"/>
      <c r="G122" s="3406"/>
      <c r="H122" s="3406"/>
      <c r="I122" s="3407"/>
      <c r="AA122" s="683"/>
    </row>
    <row r="123" spans="1:27" ht="18.75" customHeight="1">
      <c r="A123" s="3341" t="s">
        <v>1444</v>
      </c>
      <c r="B123" s="3341"/>
      <c r="C123" s="3341"/>
      <c r="D123" s="3381" t="str">
        <f ca="1">NUMBERSTRING(INT(D122*10000),2)&amp;"元整"</f>
        <v>叁亿肆仟贰佰玖拾贰万元整</v>
      </c>
      <c r="E123" s="3382"/>
      <c r="F123" s="3382"/>
      <c r="G123" s="3382"/>
      <c r="H123" s="3382"/>
      <c r="I123" s="3383"/>
      <c r="AA123" s="683"/>
    </row>
    <row r="124" spans="1:27" ht="18.75" customHeight="1">
      <c r="A124" s="3372" t="str">
        <f>IF(项目基本情况!B9="房地产市场价值","",MID(E109,3,LEN(E109)-2))</f>
        <v/>
      </c>
      <c r="B124" s="3372"/>
      <c r="C124" s="3372"/>
      <c r="D124" s="3405" t="str">
        <f>H109</f>
        <v>——</v>
      </c>
      <c r="E124" s="3406"/>
      <c r="F124" s="3406"/>
      <c r="G124" s="3406"/>
      <c r="H124" s="3406"/>
      <c r="I124" s="3407"/>
      <c r="AA124" s="683"/>
    </row>
    <row r="125" spans="1:27" ht="18.75" customHeight="1">
      <c r="A125" s="3341" t="s">
        <v>1444</v>
      </c>
      <c r="B125" s="3341"/>
      <c r="C125" s="3341"/>
      <c r="D125" s="3381" t="e">
        <f>NUMBERSTRING(INT(D124*10000),2)&amp;"元整"</f>
        <v>#VALUE!</v>
      </c>
      <c r="E125" s="3382"/>
      <c r="F125" s="3382"/>
      <c r="G125" s="3382"/>
      <c r="H125" s="3382"/>
      <c r="I125" s="3383"/>
      <c r="AA125" s="683"/>
    </row>
    <row r="126" spans="1:27" ht="18.75" customHeight="1">
      <c r="A126" s="3372" t="str">
        <f>IF(项目基本情况!B9="房地产市场价值","",MID(E111,3,LEN(E111)-2))</f>
        <v/>
      </c>
      <c r="B126" s="3372"/>
      <c r="C126" s="3372"/>
      <c r="D126" s="3405" t="str">
        <f>H111</f>
        <v>——</v>
      </c>
      <c r="E126" s="3406"/>
      <c r="F126" s="3406"/>
      <c r="G126" s="3406"/>
      <c r="H126" s="3406"/>
      <c r="I126" s="3407"/>
      <c r="AA126" s="683"/>
    </row>
    <row r="127" spans="1:27" ht="18.75" customHeight="1">
      <c r="A127" s="3341" t="s">
        <v>1444</v>
      </c>
      <c r="B127" s="3341"/>
      <c r="C127" s="3341"/>
      <c r="D127" s="3381" t="e">
        <f>NUMBERSTRING(INT(D126*10000),2)&amp;"元整"</f>
        <v>#VALUE!</v>
      </c>
      <c r="E127" s="3382"/>
      <c r="F127" s="3382"/>
      <c r="G127" s="3382"/>
      <c r="H127" s="3382"/>
      <c r="I127" s="3383"/>
      <c r="AA127" s="683"/>
    </row>
    <row r="128" spans="1:27" ht="21.75" customHeight="1">
      <c r="A128" s="3388" t="s">
        <v>1445</v>
      </c>
      <c r="B128" s="3388"/>
      <c r="C128" s="3388"/>
      <c r="D128" s="3388"/>
      <c r="E128" s="3388"/>
      <c r="F128" s="3388"/>
      <c r="G128" s="3388"/>
      <c r="H128" s="3388"/>
      <c r="I128" s="3388"/>
      <c r="AA128" s="683"/>
    </row>
    <row r="129" spans="1:35" ht="21.75" customHeight="1">
      <c r="A129" s="1689" t="s">
        <v>1446</v>
      </c>
      <c r="B129" s="1690"/>
      <c r="C129" s="1691" t="s">
        <v>1447</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1448</v>
      </c>
      <c r="G135" s="1704"/>
      <c r="H135" s="1704"/>
      <c r="I135" s="1705" t="s">
        <v>1449</v>
      </c>
    </row>
    <row r="136" spans="1:35" ht="21.75" customHeight="1">
      <c r="A136" s="683"/>
      <c r="B136" s="1706" t="s">
        <v>1450</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1451</v>
      </c>
    </row>
    <row r="139" spans="1:35" ht="21.75" customHeight="1">
      <c r="A139" s="683"/>
      <c r="B139" s="1706" t="s">
        <v>1452</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1451</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opNz1Lw62opVlbHQR53mJstDNX2+26G0itTgAaW4SjhWA7uLlQbrVgoliS1tMYNBKNg5lD4fpLz1bfOiL2pWXw==" saltValue="TR3HN9KpBDdX7QxMuMWAO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230" t="str">
        <f>项目基本情况!B1</f>
        <v>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抵押价值预评估</v>
      </c>
      <c r="C37" s="3230"/>
      <c r="D37" s="3230"/>
      <c r="E37" s="3230"/>
      <c r="F37" s="3230"/>
      <c r="G37" s="3230"/>
      <c r="H37" s="3230"/>
      <c r="I37" s="3230"/>
    </row>
    <row r="38" spans="1:9">
      <c r="A38" s="792"/>
      <c r="B38" s="792"/>
    </row>
    <row r="39" spans="1:9">
      <c r="A39" s="790" t="s">
        <v>371</v>
      </c>
      <c r="B39" s="790" t="s">
        <v>373</v>
      </c>
    </row>
    <row r="40" spans="1:9">
      <c r="A40" s="790"/>
      <c r="B40" s="1376" t="str">
        <f>项目基本情况!B5</f>
        <v>恒丰</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ht="12.75">
      <c r="B46" s="1376" t="str">
        <f ca="1">项目基本情况!K4</f>
        <v>郑燚（注册号：1120070131)、崔锴（注册号：1120100036)</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J512"/>
  <sheetViews>
    <sheetView view="pageBreakPreview" topLeftCell="D49" zoomScaleNormal="100" zoomScaleSheetLayoutView="100" zoomScalePageLayoutView="80" workbookViewId="0">
      <selection activeCell="M63" sqref="M63"/>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1256</v>
      </c>
      <c r="B1" s="645"/>
      <c r="C1" s="1618"/>
      <c r="D1" s="645"/>
      <c r="E1" s="645"/>
      <c r="F1" s="1619" t="s">
        <v>1257</v>
      </c>
      <c r="G1" s="1451" t="s">
        <v>3807</v>
      </c>
      <c r="H1" s="1619" t="str">
        <f>IF(G1="现房","——","估价对象范围")</f>
        <v>估价对象范围</v>
      </c>
      <c r="I1" s="1620"/>
    </row>
    <row r="2" spans="1:12" ht="21.75" customHeight="1" thickBot="1">
      <c r="A2" s="3361" t="str">
        <f>项目基本情况!S2</f>
        <v>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v>
      </c>
      <c r="B2" s="3362"/>
      <c r="C2" s="3362"/>
      <c r="D2" s="3362"/>
      <c r="E2" s="3362"/>
      <c r="F2" s="3362"/>
      <c r="G2" s="3362"/>
      <c r="H2" s="3362"/>
      <c r="I2" s="3363"/>
    </row>
    <row r="3" spans="1:12" ht="12.75">
      <c r="A3" s="3365" t="s">
        <v>1258</v>
      </c>
      <c r="B3" s="3366"/>
      <c r="C3" s="3366"/>
      <c r="D3" s="3366"/>
      <c r="E3" s="3366"/>
      <c r="F3" s="3366"/>
      <c r="G3" s="3366"/>
      <c r="H3" s="3366"/>
      <c r="I3" s="3366"/>
    </row>
    <row r="4" spans="1:12" ht="14.25">
      <c r="A4" s="1622" t="s">
        <v>1259</v>
      </c>
      <c r="B4" s="1623" t="s">
        <v>1260</v>
      </c>
      <c r="C4" s="1624" t="s">
        <v>3808</v>
      </c>
      <c r="D4" s="1624" t="s">
        <v>3809</v>
      </c>
      <c r="E4" s="3367" t="s">
        <v>1261</v>
      </c>
      <c r="F4" s="3368"/>
      <c r="G4" s="3368"/>
      <c r="H4" s="3368"/>
      <c r="I4" s="3369"/>
      <c r="K4" s="137" t="str">
        <f>IF(ISNUMBER(FIND("比较法",核对项目总净值!C4)),"比较法",IF(ISNUMBER(FIND("成本法",核对项目总净值!C4)),"成本法",IF(ISNUMBER(FIND("假设开发法",核对项目总净值!C4)),"假设开发法",IF(ISNUMBER(FIND("收益法",核对项目总净值!C4)),"收益法","基准地价系数修正法"))))</f>
        <v>成本法</v>
      </c>
      <c r="L4" s="137" t="str">
        <f>IF(ISNUMBER(FIND("比较法",核对项目总净值!D4)),"比较法",IF(ISNUMBER(FIND("成本法",核对项目总净值!D4)),"成本法",IF(ISNUMBER(FIND("假设开发法",核对项目总净值!D4)),"假设开发法",IF(ISNUMBER(FIND("收益法",核对项目总净值!D4)),"收益法","基准地价系数修正法"))))</f>
        <v>假设开发法</v>
      </c>
    </row>
    <row r="5" spans="1:12" ht="12.75">
      <c r="A5" s="3341" t="s">
        <v>1262</v>
      </c>
      <c r="B5" s="3328">
        <v>25</v>
      </c>
      <c r="C5" s="3344"/>
      <c r="D5" s="3364"/>
      <c r="E5" s="122" t="s">
        <v>1263</v>
      </c>
      <c r="F5" s="1625"/>
      <c r="G5" s="1625"/>
      <c r="H5" s="1625"/>
      <c r="I5" s="1279"/>
    </row>
    <row r="6" spans="1:12" ht="12.75">
      <c r="A6" s="3341"/>
      <c r="B6" s="3328"/>
      <c r="C6" s="3345"/>
      <c r="D6" s="3364"/>
      <c r="E6" s="122" t="s">
        <v>1264</v>
      </c>
      <c r="F6" s="1625"/>
      <c r="G6" s="1625"/>
      <c r="H6" s="1625"/>
      <c r="I6" s="1279"/>
    </row>
    <row r="7" spans="1:12" ht="12.75">
      <c r="A7" s="3341"/>
      <c r="B7" s="3328"/>
      <c r="C7" s="3346"/>
      <c r="D7" s="3364"/>
      <c r="E7" s="122" t="s">
        <v>1265</v>
      </c>
      <c r="F7" s="1625"/>
      <c r="G7" s="1625"/>
      <c r="H7" s="1625"/>
      <c r="I7" s="1279"/>
    </row>
    <row r="8" spans="1:12" ht="12.75">
      <c r="A8" s="3341" t="s">
        <v>1266</v>
      </c>
      <c r="B8" s="3328">
        <v>15</v>
      </c>
      <c r="C8" s="3344"/>
      <c r="D8" s="3364"/>
      <c r="E8" s="122" t="s">
        <v>1267</v>
      </c>
      <c r="F8" s="1625"/>
      <c r="G8" s="1625"/>
      <c r="H8" s="1625"/>
      <c r="I8" s="1279"/>
    </row>
    <row r="9" spans="1:12" ht="12.75">
      <c r="A9" s="3341"/>
      <c r="B9" s="3328"/>
      <c r="C9" s="3346"/>
      <c r="D9" s="3364"/>
      <c r="E9" s="122" t="s">
        <v>1268</v>
      </c>
      <c r="F9" s="1625"/>
      <c r="G9" s="1625"/>
      <c r="H9" s="1625"/>
      <c r="I9" s="1279"/>
    </row>
    <row r="10" spans="1:12" ht="12.75">
      <c r="A10" s="3341" t="s">
        <v>1269</v>
      </c>
      <c r="B10" s="3328">
        <v>15</v>
      </c>
      <c r="C10" s="3344"/>
      <c r="D10" s="3364"/>
      <c r="E10" s="122" t="s">
        <v>1270</v>
      </c>
      <c r="F10" s="1625"/>
      <c r="G10" s="1625"/>
      <c r="H10" s="1625"/>
      <c r="I10" s="1279"/>
    </row>
    <row r="11" spans="1:12" ht="12.75">
      <c r="A11" s="3341"/>
      <c r="B11" s="3328"/>
      <c r="C11" s="3346"/>
      <c r="D11" s="3364"/>
      <c r="E11" s="122" t="s">
        <v>1271</v>
      </c>
      <c r="F11" s="1625"/>
      <c r="G11" s="1625"/>
      <c r="H11" s="1625"/>
      <c r="I11" s="1279"/>
    </row>
    <row r="12" spans="1:12" ht="12.75">
      <c r="A12" s="3341" t="s">
        <v>1272</v>
      </c>
      <c r="B12" s="3328">
        <v>15</v>
      </c>
      <c r="C12" s="3344"/>
      <c r="D12" s="3364"/>
      <c r="E12" s="122" t="s">
        <v>1273</v>
      </c>
      <c r="F12" s="1625"/>
      <c r="G12" s="1625"/>
      <c r="H12" s="1625"/>
      <c r="I12" s="1279"/>
    </row>
    <row r="13" spans="1:12" ht="12.75">
      <c r="A13" s="3341"/>
      <c r="B13" s="3328"/>
      <c r="C13" s="3346"/>
      <c r="D13" s="3364"/>
      <c r="E13" s="122" t="s">
        <v>1274</v>
      </c>
      <c r="F13" s="1625"/>
      <c r="G13" s="1625"/>
      <c r="H13" s="1625"/>
      <c r="I13" s="1279"/>
    </row>
    <row r="14" spans="1:12" ht="12.75">
      <c r="A14" s="3341" t="s">
        <v>1275</v>
      </c>
      <c r="B14" s="3328">
        <v>30</v>
      </c>
      <c r="C14" s="3344">
        <v>6</v>
      </c>
      <c r="D14" s="3364">
        <v>4</v>
      </c>
      <c r="E14" s="122" t="s">
        <v>1276</v>
      </c>
      <c r="F14" s="1625"/>
      <c r="G14" s="1625"/>
      <c r="H14" s="1625"/>
      <c r="I14" s="1279"/>
    </row>
    <row r="15" spans="1:12" ht="12.75">
      <c r="A15" s="3341"/>
      <c r="B15" s="3328"/>
      <c r="C15" s="3345"/>
      <c r="D15" s="3364"/>
      <c r="E15" s="122" t="s">
        <v>1277</v>
      </c>
      <c r="F15" s="1625"/>
      <c r="G15" s="1625"/>
      <c r="H15" s="1625"/>
      <c r="I15" s="1279"/>
    </row>
    <row r="16" spans="1:12" ht="12.75">
      <c r="A16" s="3341"/>
      <c r="B16" s="3328"/>
      <c r="C16" s="3346"/>
      <c r="D16" s="3364"/>
      <c r="E16" s="122" t="s">
        <v>1278</v>
      </c>
      <c r="F16" s="1625"/>
      <c r="G16" s="1625"/>
      <c r="H16" s="1625"/>
      <c r="I16" s="1279"/>
    </row>
    <row r="17" spans="1:36" ht="15">
      <c r="A17" s="1626" t="s">
        <v>1279</v>
      </c>
      <c r="B17" s="54"/>
      <c r="C17" s="123">
        <f>SUM(C5:C16)</f>
        <v>6</v>
      </c>
      <c r="D17" s="123">
        <f>SUM(D5:D16)</f>
        <v>4</v>
      </c>
      <c r="E17" s="120"/>
      <c r="F17" s="120"/>
      <c r="G17" s="120"/>
      <c r="H17" s="120"/>
      <c r="I17" s="120"/>
      <c r="K17" s="293"/>
      <c r="L17" s="293" t="s">
        <v>1280</v>
      </c>
      <c r="M17" s="293" t="s">
        <v>1281</v>
      </c>
    </row>
    <row r="18" spans="1:36" ht="31.9" customHeight="1" thickBot="1">
      <c r="A18" s="1627" t="s">
        <v>1282</v>
      </c>
      <c r="B18" s="1540"/>
      <c r="C18" s="124">
        <f>ROUND(C17/SUM(C17:D17),2)</f>
        <v>0.6</v>
      </c>
      <c r="D18" s="124">
        <f>1-C18</f>
        <v>0.4</v>
      </c>
      <c r="E18" s="3351" t="s">
        <v>2121</v>
      </c>
      <c r="F18" s="3352"/>
      <c r="G18" s="3352"/>
      <c r="H18" s="3352"/>
      <c r="I18" s="3352"/>
      <c r="K18" s="293" t="s">
        <v>1283</v>
      </c>
      <c r="L18" s="293">
        <f>IF(C1="",'数据-汇总表'!E3,SUMIF(项目类型,C1,'数据-汇总表'!E17:E26)+SUMIF(项目类型,C1,'数据-汇总表'!I17:I26))</f>
        <v>23997.3</v>
      </c>
      <c r="M18" s="293">
        <f>IF(C1="",'数据-汇总表'!E3,SUMIF(项目类型,C1,'数据-汇总表'!E17:E26))</f>
        <v>23997.3</v>
      </c>
    </row>
    <row r="19" spans="1:36" ht="15">
      <c r="A19" s="1628" t="s">
        <v>1284</v>
      </c>
      <c r="B19" s="1629" t="s">
        <v>1285</v>
      </c>
      <c r="C19" s="125">
        <f ca="1">SUMIF(INDIRECT("'"&amp;C4&amp;"'"&amp;"!A:A"),核对项目总净值!B19,INDIRECT("'"&amp;C4&amp;"'"&amp;"!B:B"))</f>
        <v>39163</v>
      </c>
      <c r="D19" s="126">
        <f ca="1">SUMIF(INDIRECT("'"&amp;D4&amp;"'"&amp;"!A:A"),核对项目总净值!B19,INDIRECT("'"&amp;D4&amp;"'"&amp;"!B:B"))</f>
        <v>26985</v>
      </c>
      <c r="E19" s="1628" t="s">
        <v>1286</v>
      </c>
      <c r="F19" s="1629" t="s">
        <v>1285</v>
      </c>
      <c r="G19" s="127">
        <f ca="1">ROUND(C19*$C$18+D19*$D$18,0)</f>
        <v>34292</v>
      </c>
      <c r="H19" s="1630" t="s">
        <v>1287</v>
      </c>
      <c r="I19" s="120"/>
      <c r="K19" s="293" t="s">
        <v>1288</v>
      </c>
      <c r="L19" s="293">
        <f>IF(C1="",'数据-汇总表'!D3,SUMIF(项目类型,C1,'数据-汇总表'!D17:D26)+SUMIF(项目类型,C1,'数据-汇总表'!H17:H27))</f>
        <v>6542.04</v>
      </c>
      <c r="M19" s="293">
        <f>IF(C1="",'数据-汇总表'!D3,SUMIF(项目类型,C1,'数据-汇总表'!D17:D26))</f>
        <v>6542.04</v>
      </c>
    </row>
    <row r="20" spans="1:36" ht="15">
      <c r="A20" s="1631"/>
      <c r="B20" s="43" t="s">
        <v>1289</v>
      </c>
      <c r="C20" s="128">
        <f ca="1">SUMIF(INDIRECT("'"&amp;C4&amp;"'"&amp;"!A:A"),核对项目总净值!B20,INDIRECT("'"&amp;C4&amp;"'"&amp;"!B:B"))</f>
        <v>16320</v>
      </c>
      <c r="D20" s="129">
        <f ca="1">SUMIF(INDIRECT("'"&amp;D4&amp;"'"&amp;"!A:A"),核对项目总净值!B20,INDIRECT("'"&amp;D4&amp;"'"&amp;"!B:B"))</f>
        <v>11245</v>
      </c>
      <c r="E20" s="1631"/>
      <c r="F20" s="43" t="s">
        <v>1289</v>
      </c>
      <c r="G20" s="130">
        <f ca="1">ROUND(C20*$C$18+D20*$D$18,0)</f>
        <v>14290</v>
      </c>
      <c r="H20" s="758" t="s">
        <v>1290</v>
      </c>
      <c r="I20" s="120"/>
    </row>
    <row r="21" spans="1:36" ht="15" customHeight="1" thickBot="1">
      <c r="A21" s="448"/>
      <c r="B21" s="92" t="s">
        <v>1291</v>
      </c>
      <c r="C21" s="677">
        <f ca="1">ROUND(C19*10000/L19,0)</f>
        <v>59864</v>
      </c>
      <c r="D21" s="678">
        <f ca="1">ROUND(D19*10000/L19,0)</f>
        <v>41249</v>
      </c>
      <c r="E21" s="448"/>
      <c r="F21" s="92" t="s">
        <v>1291</v>
      </c>
      <c r="G21" s="131">
        <f ca="1">ROUND(G19*10000/L19,0)</f>
        <v>52418</v>
      </c>
      <c r="H21" s="1632" t="s">
        <v>1290</v>
      </c>
      <c r="I21" s="120"/>
    </row>
    <row r="22" spans="1:36" ht="15" thickBot="1">
      <c r="A22" s="1562" t="s">
        <v>1292</v>
      </c>
      <c r="B22" s="1633"/>
      <c r="C22" s="1634"/>
      <c r="D22" s="679">
        <f ca="1">IF(C19&lt;D19,D19/C19-1,C19/D19-1)</f>
        <v>0.45128775245506758</v>
      </c>
      <c r="E22" s="120"/>
      <c r="F22" s="120"/>
      <c r="G22" s="120"/>
      <c r="H22" s="120"/>
      <c r="I22" s="120"/>
    </row>
    <row r="23" spans="1:36" ht="13.5" thickBot="1">
      <c r="A23" s="645"/>
      <c r="B23" s="645"/>
      <c r="C23" s="645"/>
      <c r="D23" s="645"/>
      <c r="E23" s="120"/>
      <c r="F23" s="120"/>
      <c r="G23" s="120"/>
      <c r="H23" s="120"/>
      <c r="I23" s="120"/>
    </row>
    <row r="24" spans="1:36" ht="14.25">
      <c r="A24" s="3335" t="s">
        <v>1293</v>
      </c>
      <c r="B24" s="1629" t="s">
        <v>1285</v>
      </c>
      <c r="C24" s="127">
        <f>IF(B30=0,0,D30)</f>
        <v>0</v>
      </c>
      <c r="D24" s="1635"/>
      <c r="E24" s="120"/>
      <c r="F24" s="120"/>
      <c r="G24" s="120"/>
      <c r="H24" s="120"/>
      <c r="I24" s="120"/>
    </row>
    <row r="25" spans="1:36" ht="14.25">
      <c r="A25" s="3336"/>
      <c r="B25" s="43" t="s">
        <v>1289</v>
      </c>
      <c r="C25" s="132">
        <f>IF(B30=0,0,C30)</f>
        <v>0</v>
      </c>
      <c r="D25" s="1636"/>
      <c r="E25" s="120"/>
      <c r="F25" s="120"/>
      <c r="G25" s="120"/>
      <c r="H25" s="120"/>
      <c r="I25" s="120"/>
    </row>
    <row r="26" spans="1:36" ht="13.5" customHeight="1">
      <c r="A26" s="1637" t="s">
        <v>1294</v>
      </c>
      <c r="B26" s="133" t="s">
        <v>1295</v>
      </c>
      <c r="C26" s="133" t="s">
        <v>1296</v>
      </c>
      <c r="D26" s="134" t="s">
        <v>1297</v>
      </c>
      <c r="E26" s="120"/>
      <c r="F26" s="120"/>
      <c r="G26" s="120"/>
      <c r="H26" s="120"/>
      <c r="I26" s="120"/>
    </row>
    <row r="27" spans="1:36" ht="14.25">
      <c r="A27" s="1637"/>
      <c r="B27" s="133">
        <v>0</v>
      </c>
      <c r="C27" s="133">
        <v>0</v>
      </c>
      <c r="D27" s="134">
        <f>ROUND(C27*B27/10000,0)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1298</v>
      </c>
      <c r="B30" s="133"/>
      <c r="C30" s="133"/>
      <c r="D30" s="133"/>
      <c r="E30" s="2125" t="s">
        <v>2122</v>
      </c>
      <c r="F30" s="120"/>
      <c r="G30" s="120"/>
      <c r="H30" s="120"/>
      <c r="I30" s="120"/>
    </row>
    <row r="31" spans="1:36" s="2131" customFormat="1" ht="26.45" customHeight="1" thickTop="1" thickBot="1">
      <c r="A31" s="2126"/>
      <c r="B31" s="2127"/>
      <c r="C31" s="2127"/>
      <c r="D31" s="2127"/>
      <c r="E31" s="2127"/>
      <c r="F31" s="2127"/>
      <c r="G31" s="2127"/>
      <c r="H31" s="2127"/>
      <c r="I31" s="2128" t="s">
        <v>2123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1299</v>
      </c>
      <c r="B32" s="1533"/>
      <c r="C32" s="135">
        <f ca="1">IF(D32="总价",G19-C24,G20-C25)</f>
        <v>34292</v>
      </c>
      <c r="D32" s="1639" t="s">
        <v>3858</v>
      </c>
      <c r="E32" s="120"/>
      <c r="F32" s="120"/>
      <c r="G32" s="120"/>
      <c r="H32" s="120"/>
      <c r="I32" s="120"/>
    </row>
    <row r="33" spans="1:15" ht="15">
      <c r="A33" s="738" t="s">
        <v>1300</v>
      </c>
      <c r="B33" s="122"/>
      <c r="C33" s="1640" t="s">
        <v>3859</v>
      </c>
      <c r="D33" s="1641" t="s">
        <v>3808</v>
      </c>
      <c r="E33" s="1642" t="s">
        <v>1301</v>
      </c>
      <c r="F33" s="1643" t="str">
        <f>IF(D32="楼面单价","取值（单价）","取值（总价）")</f>
        <v>取值（总价）</v>
      </c>
      <c r="G33" s="120"/>
      <c r="H33" s="120"/>
      <c r="I33" s="120"/>
    </row>
    <row r="34" spans="1:15" ht="15">
      <c r="A34" s="1644"/>
      <c r="B34" s="1645" t="s">
        <v>1302</v>
      </c>
      <c r="C34" s="139">
        <f ca="1">IF(C33="自定义",F34,C32-C35)</f>
        <v>21021</v>
      </c>
      <c r="D34" s="806">
        <f ca="1">IF(C33="自定义",ROUND(C34/C32,3),IF(C33="收益比率",SUMIF(INDIRECT("'"&amp;D33&amp;"'"&amp;"!b:b"),"土地收益比率",INDIRECT("'"&amp;D33&amp;"'"&amp;"!c:c")),SUMIF(INDIRECT("'"&amp;D33&amp;"'"&amp;"!b:b"),"土地成本比率",INDIRECT("'"&amp;D33&amp;"'"&amp;"!c:c"))))</f>
        <v>0.61299999999999999</v>
      </c>
      <c r="E34" s="1646" t="s">
        <v>1303</v>
      </c>
      <c r="F34" s="1241"/>
      <c r="G34" s="120"/>
      <c r="H34" s="120"/>
      <c r="I34" s="120"/>
    </row>
    <row r="35" spans="1:15" ht="15.75" thickBot="1">
      <c r="A35" s="1647"/>
      <c r="B35" s="1648" t="s">
        <v>1304</v>
      </c>
      <c r="C35" s="1088">
        <f ca="1">IF(C33="自定义",F35,ROUND(C32*D35,0))</f>
        <v>13271</v>
      </c>
      <c r="D35" s="1089">
        <f ca="1">IF(C33="自定义",ROUND(C35/C32,3),IF(C33="收益比率",SUMIF(INDIRECT("'"&amp;D33&amp;"'"&amp;"!b:b"),"建筑物收益比率",INDIRECT("'"&amp;D33&amp;"'"&amp;"!c:c")),SUMIF(INDIRECT("'"&amp;D33&amp;"'"&amp;"!b:b"),"建筑物成本比率",INDIRECT("'"&amp;D33&amp;"'"&amp;"!c:c"))))</f>
        <v>0.38700000000000001</v>
      </c>
      <c r="E35" s="1649" t="s">
        <v>1305</v>
      </c>
      <c r="F35" s="145"/>
      <c r="G35" s="120"/>
      <c r="H35" s="120"/>
      <c r="I35" s="120"/>
    </row>
    <row r="36" spans="1:15" ht="15.75" thickBot="1">
      <c r="A36" s="3355" t="s">
        <v>1306</v>
      </c>
      <c r="B36" s="1650" t="s">
        <v>1307</v>
      </c>
      <c r="C36" s="136"/>
      <c r="D36" s="1651"/>
      <c r="E36" s="1565"/>
      <c r="F36" s="1652"/>
      <c r="G36" s="120"/>
      <c r="H36" s="120"/>
      <c r="I36" s="120"/>
    </row>
    <row r="37" spans="1:15" ht="15.75" thickBot="1">
      <c r="A37" s="3356"/>
      <c r="B37" s="1553" t="s">
        <v>1308</v>
      </c>
      <c r="C37" s="138"/>
      <c r="D37" s="1069"/>
      <c r="E37" s="1069"/>
      <c r="F37" s="1652"/>
      <c r="G37" s="120"/>
      <c r="H37" s="120"/>
      <c r="I37" s="120"/>
    </row>
    <row r="38" spans="1:15" ht="15.75" thickBot="1">
      <c r="A38" s="3357"/>
      <c r="B38" s="1653" t="s">
        <v>1309</v>
      </c>
      <c r="C38" s="640"/>
      <c r="D38" s="1654" t="s">
        <v>1310</v>
      </c>
      <c r="E38" s="1069"/>
      <c r="F38" s="1652"/>
      <c r="G38" s="120"/>
      <c r="H38" s="120"/>
      <c r="I38" s="120"/>
    </row>
    <row r="39" spans="1:15" ht="15">
      <c r="A39" s="1631" t="s">
        <v>1311</v>
      </c>
      <c r="B39" s="1655" t="s">
        <v>1295</v>
      </c>
      <c r="C39" s="1656" t="s">
        <v>1296</v>
      </c>
      <c r="D39" s="1656" t="s">
        <v>1314</v>
      </c>
      <c r="E39" s="1657" t="s">
        <v>1297</v>
      </c>
      <c r="F39" s="1652"/>
      <c r="G39" s="120"/>
      <c r="H39" s="120"/>
      <c r="I39" s="120"/>
    </row>
    <row r="40" spans="1:15" ht="14.25">
      <c r="A40" s="1658" t="s">
        <v>1316</v>
      </c>
      <c r="B40" s="140"/>
      <c r="C40" s="141"/>
      <c r="D40" s="141"/>
      <c r="E40" s="142"/>
      <c r="F40" s="1652"/>
      <c r="G40" s="120"/>
      <c r="H40" s="120"/>
      <c r="I40" s="120"/>
    </row>
    <row r="41" spans="1:15" ht="14.25">
      <c r="A41" s="1658" t="s">
        <v>1317</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1318</v>
      </c>
      <c r="B44" s="1662"/>
      <c r="C44" s="1662"/>
      <c r="D44" s="1663"/>
      <c r="E44" s="1663"/>
      <c r="F44" s="1664"/>
      <c r="G44" s="1664"/>
      <c r="H44" s="1664"/>
      <c r="I44" s="1664"/>
      <c r="J44" s="1665" t="s">
        <v>1319</v>
      </c>
      <c r="K44" s="4"/>
      <c r="L44" s="4"/>
      <c r="M44" s="4"/>
      <c r="N44" s="4"/>
      <c r="O44" s="4"/>
    </row>
    <row r="45" spans="1:15" ht="14.25" customHeight="1" thickBot="1">
      <c r="A45" s="3332" t="s">
        <v>1320</v>
      </c>
      <c r="B45" s="3333"/>
      <c r="C45" s="3334"/>
      <c r="D45" s="3228">
        <f ca="1">系统读取表!B6</f>
        <v>100696</v>
      </c>
      <c r="E45" s="147" t="s">
        <v>1321</v>
      </c>
      <c r="F45" s="148">
        <v>1</v>
      </c>
      <c r="G45" s="149" t="s">
        <v>1322</v>
      </c>
      <c r="H45" s="120"/>
      <c r="I45" s="120"/>
      <c r="J45" s="3410" t="s">
        <v>1323</v>
      </c>
      <c r="K45" s="3410"/>
      <c r="L45" s="3410"/>
      <c r="M45" s="3410"/>
      <c r="N45" s="3410"/>
      <c r="O45" s="3410"/>
    </row>
    <row r="46" spans="1:15" ht="14.25" customHeight="1">
      <c r="A46" s="3329" t="s">
        <v>1324</v>
      </c>
      <c r="B46" s="3330"/>
      <c r="C46" s="3330"/>
      <c r="D46" s="3330"/>
      <c r="E46" s="3330"/>
      <c r="F46" s="3330"/>
      <c r="G46" s="3331"/>
      <c r="H46" s="1666"/>
      <c r="I46" s="150"/>
      <c r="J46" s="2307">
        <v>1</v>
      </c>
      <c r="K46" s="3391" t="s">
        <v>1325</v>
      </c>
      <c r="L46" s="3391"/>
      <c r="M46" s="3411"/>
      <c r="N46" s="3411"/>
      <c r="O46" s="3411"/>
    </row>
    <row r="47" spans="1:15" ht="12" customHeight="1">
      <c r="A47" s="151" t="s">
        <v>1326</v>
      </c>
      <c r="B47" s="152"/>
      <c r="C47" s="153"/>
      <c r="D47" s="1022" t="s">
        <v>1327</v>
      </c>
      <c r="E47" s="293" t="s">
        <v>1328</v>
      </c>
      <c r="F47" s="154" t="s">
        <v>1329</v>
      </c>
      <c r="G47" s="2330" t="s">
        <v>1330</v>
      </c>
      <c r="H47" s="2331"/>
      <c r="I47" s="150"/>
      <c r="J47" s="2307">
        <v>2</v>
      </c>
      <c r="K47" s="3391" t="s">
        <v>1331</v>
      </c>
      <c r="L47" s="3391"/>
      <c r="M47" s="3412">
        <f>'数据-取费表'!B2</f>
        <v>45709</v>
      </c>
      <c r="N47" s="3412"/>
      <c r="O47" s="3412"/>
    </row>
    <row r="48" spans="1:15" ht="25.5">
      <c r="A48" s="3360" t="s">
        <v>1332</v>
      </c>
      <c r="B48" s="3343"/>
      <c r="C48" s="3343"/>
      <c r="D48" s="12">
        <f ca="1">IF(H48="情况1",0,IF(H48="情况2",D52,IF(H48="情况3",D53,IF(H48="情况4",D54))))</f>
        <v>5275</v>
      </c>
      <c r="E48" s="1254" t="str">
        <f>IF(H48="情况4","(销售额-原购置价)×税（费）率","销售额×税（费）率")</f>
        <v>销售额×税（费）率</v>
      </c>
      <c r="F48" s="2332">
        <f>IF(H48="情况1","免征",'数据-取费表'!B41)</f>
        <v>5.5000000000000007E-2</v>
      </c>
      <c r="G48" s="2333" t="s">
        <v>1333</v>
      </c>
      <c r="H48" s="2334" t="s">
        <v>3921</v>
      </c>
      <c r="I48" s="1666"/>
      <c r="J48" s="2307">
        <v>3</v>
      </c>
      <c r="K48" s="3391" t="s">
        <v>1334</v>
      </c>
      <c r="L48" s="3391"/>
      <c r="M48" s="3421">
        <f ca="1">D45</f>
        <v>100696</v>
      </c>
      <c r="N48" s="3421"/>
      <c r="O48" s="3421"/>
    </row>
    <row r="49" spans="1:35" ht="25.5" customHeight="1">
      <c r="A49" s="2150" t="s">
        <v>1335</v>
      </c>
      <c r="B49" s="3327" t="s">
        <v>1336</v>
      </c>
      <c r="C49" s="3327"/>
      <c r="D49" s="1476">
        <v>0</v>
      </c>
      <c r="E49" s="315" t="s">
        <v>1337</v>
      </c>
      <c r="F49" s="2230" t="s">
        <v>28</v>
      </c>
      <c r="G49" s="3397"/>
      <c r="H49" s="2132" t="s">
        <v>2124</v>
      </c>
      <c r="I49" s="2133"/>
      <c r="J49" s="2307">
        <v>4</v>
      </c>
      <c r="K49" s="3391" t="str">
        <f>IF(项目基本情况!E8="房地产抵押价值","房地产抵押价值","抵押担保权已注销时的房地产抵押价值")</f>
        <v>房地产抵押价值</v>
      </c>
      <c r="L49" s="3391"/>
      <c r="M49" s="3421">
        <f ca="1">D45</f>
        <v>100696</v>
      </c>
      <c r="N49" s="3421"/>
      <c r="O49" s="3421"/>
    </row>
    <row r="50" spans="1:35" ht="25.5" customHeight="1">
      <c r="A50" s="2335"/>
      <c r="B50" s="3327" t="s">
        <v>1338</v>
      </c>
      <c r="C50" s="3327"/>
      <c r="D50" s="2187"/>
      <c r="E50" s="322"/>
      <c r="F50" s="2230"/>
      <c r="G50" s="3398"/>
      <c r="H50" s="2134" t="s">
        <v>2125</v>
      </c>
      <c r="I50" s="2133"/>
      <c r="J50" s="3410" t="s">
        <v>1339</v>
      </c>
      <c r="K50" s="3410"/>
      <c r="L50" s="3410"/>
      <c r="M50" s="3410"/>
      <c r="N50" s="3410"/>
      <c r="O50" s="3410"/>
    </row>
    <row r="51" spans="1:35" ht="20.45" customHeight="1">
      <c r="A51" s="2336"/>
      <c r="B51" s="3327" t="s">
        <v>1340</v>
      </c>
      <c r="C51" s="3327"/>
      <c r="D51" s="1022"/>
      <c r="E51" s="318"/>
      <c r="F51" s="2230"/>
      <c r="G51" s="3399"/>
      <c r="H51" s="2134" t="s">
        <v>2126</v>
      </c>
      <c r="I51" s="2133"/>
      <c r="J51" s="2308" t="s">
        <v>1341</v>
      </c>
      <c r="K51" s="3391" t="s">
        <v>1342</v>
      </c>
      <c r="L51" s="3391"/>
      <c r="M51" s="2308" t="s">
        <v>1343</v>
      </c>
      <c r="N51" s="2308" t="s">
        <v>1344</v>
      </c>
      <c r="O51" s="2308" t="s">
        <v>1345</v>
      </c>
    </row>
    <row r="52" spans="1:35" ht="24" customHeight="1">
      <c r="A52" s="2151" t="s">
        <v>1346</v>
      </c>
      <c r="B52" s="3327" t="s">
        <v>1347</v>
      </c>
      <c r="C52" s="3327"/>
      <c r="D52" s="1022">
        <f ca="1">ROUND(D45*'数据-取费表'!B41/(1+'数据-取费表'!C42),0)</f>
        <v>5275</v>
      </c>
      <c r="E52" s="1254" t="s">
        <v>1348</v>
      </c>
      <c r="F52" s="2337">
        <f>'数据-取费表'!B41</f>
        <v>5.5000000000000007E-2</v>
      </c>
      <c r="G52" s="2338"/>
      <c r="H52" s="2328"/>
      <c r="I52" s="1667"/>
      <c r="J52" s="2307">
        <v>1</v>
      </c>
      <c r="K52" s="3392" t="s">
        <v>1349</v>
      </c>
      <c r="L52" s="3392"/>
      <c r="M52" s="2309">
        <f ca="1">D48</f>
        <v>5275</v>
      </c>
      <c r="N52" s="2307" t="str">
        <f>E48</f>
        <v>销售额×税（费）率</v>
      </c>
      <c r="O52" s="2310">
        <f>F48</f>
        <v>5.5000000000000007E-2</v>
      </c>
    </row>
    <row r="53" spans="1:35" ht="12" customHeight="1">
      <c r="A53" s="2151" t="s">
        <v>1350</v>
      </c>
      <c r="B53" s="3353" t="s">
        <v>2281</v>
      </c>
      <c r="C53" s="3354"/>
      <c r="D53" s="1022">
        <f ca="1">ROUND(D45*'数据-取费表'!B41/(1+'数据-取费表'!C42),0)</f>
        <v>5275</v>
      </c>
      <c r="E53" s="1254" t="s">
        <v>1348</v>
      </c>
      <c r="F53" s="2337">
        <f>'数据-取费表'!B41</f>
        <v>5.5000000000000007E-2</v>
      </c>
      <c r="G53" s="2338"/>
      <c r="H53" s="2328"/>
      <c r="I53" s="1667"/>
      <c r="J53" s="2307">
        <v>2</v>
      </c>
      <c r="K53" s="3392" t="s">
        <v>1351</v>
      </c>
      <c r="L53" s="3392"/>
      <c r="M53" s="2309">
        <f t="shared" ref="M53:O54" ca="1" si="0">D55</f>
        <v>50</v>
      </c>
      <c r="N53" s="2307" t="str">
        <f t="shared" si="0"/>
        <v>销售额×税（费）率</v>
      </c>
      <c r="O53" s="2310">
        <f t="shared" si="0"/>
        <v>5.0000000000000001E-4</v>
      </c>
    </row>
    <row r="54" spans="1:35" ht="12" customHeight="1">
      <c r="A54" s="2151" t="s">
        <v>1352</v>
      </c>
      <c r="B54" s="3353" t="s">
        <v>2282</v>
      </c>
      <c r="C54" s="3354"/>
      <c r="D54" s="1022">
        <f ca="1">C68</f>
        <v>5275</v>
      </c>
      <c r="E54" s="318" t="s">
        <v>1353</v>
      </c>
      <c r="F54" s="2337">
        <f>'数据-取费表'!B41</f>
        <v>5.5000000000000007E-2</v>
      </c>
      <c r="G54" s="2338"/>
      <c r="H54" s="2339"/>
      <c r="I54" s="1667"/>
      <c r="J54" s="2307">
        <v>3</v>
      </c>
      <c r="K54" s="3392" t="s">
        <v>1354</v>
      </c>
      <c r="L54" s="3392"/>
      <c r="M54" s="2309">
        <f t="shared" ca="1" si="0"/>
        <v>4795</v>
      </c>
      <c r="N54" s="2307" t="str">
        <f t="shared" si="0"/>
        <v>增值额×税（费）率</v>
      </c>
      <c r="O54" s="2311" t="str">
        <f t="shared" si="0"/>
        <v>——</v>
      </c>
    </row>
    <row r="55" spans="1:35" ht="24" customHeight="1">
      <c r="A55" s="3342" t="s">
        <v>1355</v>
      </c>
      <c r="B55" s="3343"/>
      <c r="C55" s="3343"/>
      <c r="D55" s="12">
        <f ca="1">IF(H55="个人住宅",0,ROUND(D45*I55,0))</f>
        <v>50</v>
      </c>
      <c r="E55" s="1254" t="s">
        <v>1356</v>
      </c>
      <c r="F55" s="2337">
        <f>IF(H55="正常",I55,"免征")</f>
        <v>5.0000000000000001E-4</v>
      </c>
      <c r="G55" s="2338"/>
      <c r="H55" s="2334" t="s">
        <v>3922</v>
      </c>
      <c r="I55" s="156">
        <f>'数据-取费表'!B49</f>
        <v>5.0000000000000001E-4</v>
      </c>
      <c r="J55" s="2307" t="str">
        <f>IF(H59="非个人房产","",4)</f>
        <v/>
      </c>
      <c r="K55" s="3392" t="str">
        <f>IF(H59="非个人房产","——","个人所得税")</f>
        <v>——</v>
      </c>
      <c r="L55" s="3392"/>
      <c r="M55" s="2312" t="str">
        <f>D59</f>
        <v>——</v>
      </c>
      <c r="N55" s="1881" t="str">
        <f>E59</f>
        <v>——</v>
      </c>
      <c r="O55" s="2313" t="str">
        <f>F59</f>
        <v>——</v>
      </c>
    </row>
    <row r="56" spans="1:35" ht="24.75">
      <c r="A56" s="3342" t="s">
        <v>1357</v>
      </c>
      <c r="B56" s="3343"/>
      <c r="C56" s="3343"/>
      <c r="D56" s="1502">
        <f ca="1">ROUND(D45/1.05*5%,0)</f>
        <v>4795</v>
      </c>
      <c r="E56" s="1254" t="s">
        <v>1358</v>
      </c>
      <c r="F56" s="2337" t="str">
        <f>IF(H56="正常",F58,"免征")</f>
        <v>——</v>
      </c>
      <c r="G56" s="2340" t="s">
        <v>1359</v>
      </c>
      <c r="H56" s="2341" t="s">
        <v>3922</v>
      </c>
      <c r="I56" s="1668"/>
      <c r="J56" s="2307" t="str">
        <f>IF(项目基本情况!K6="上海银行",IF(J55="",4,J55+1),"")</f>
        <v/>
      </c>
      <c r="K56" s="3415" t="str">
        <f>IF(项目基本情况!K6="上海银行","其他处置费用","")</f>
        <v/>
      </c>
      <c r="L56" s="3416"/>
      <c r="M56" s="2309" t="str">
        <f>IF(项目基本情况!K6="上海银行",M69,"")</f>
        <v/>
      </c>
      <c r="N56" s="3415" t="str">
        <f>IF(项目基本情况!K6="上海银行","包含处置中涉及的律师、诉讼、拍卖、评估等费用","")</f>
        <v/>
      </c>
      <c r="O56" s="3418"/>
    </row>
    <row r="57" spans="1:35" ht="12.75">
      <c r="A57" s="2151" t="s">
        <v>1335</v>
      </c>
      <c r="B57" s="3353" t="s">
        <v>1360</v>
      </c>
      <c r="C57" s="3354"/>
      <c r="D57" s="1476">
        <v>0</v>
      </c>
      <c r="E57" s="315" t="s">
        <v>1337</v>
      </c>
      <c r="F57" s="293"/>
      <c r="G57" s="2338"/>
      <c r="H57" s="2342"/>
      <c r="I57" s="1668"/>
      <c r="J57" s="3392">
        <f>IF(AND(J55="",J56=""),4,IF(项目基本情况!K6="上海银行",核对项目总净值!J56+1,核对项目总净值!J55+1))</f>
        <v>4</v>
      </c>
      <c r="K57" s="3392" t="s">
        <v>1361</v>
      </c>
      <c r="L57" s="2314" t="s">
        <v>1362</v>
      </c>
      <c r="M57" s="2315"/>
      <c r="N57" s="2316">
        <f ca="1">SUMIF(M52:M56,"&lt;9e307")</f>
        <v>10120</v>
      </c>
      <c r="O57" s="2317"/>
      <c r="P57" s="2462">
        <f ca="1">N57/M49</f>
        <v>0.10050051640581552</v>
      </c>
    </row>
    <row r="58" spans="1:35" ht="24.75">
      <c r="A58" s="2151" t="s">
        <v>1346</v>
      </c>
      <c r="B58" s="3353" t="s">
        <v>1363</v>
      </c>
      <c r="C58" s="3327"/>
      <c r="D58" s="12">
        <f ca="1">IF(H58="转让取得",C81,C97)</f>
        <v>0</v>
      </c>
      <c r="E58" s="1254" t="s">
        <v>1358</v>
      </c>
      <c r="F58" s="293" t="s">
        <v>28</v>
      </c>
      <c r="G58" s="2338"/>
      <c r="H58" s="2341" t="s">
        <v>3923</v>
      </c>
      <c r="I58" s="1668"/>
      <c r="J58" s="3392"/>
      <c r="K58" s="3392"/>
      <c r="L58" s="2314" t="s">
        <v>1364</v>
      </c>
      <c r="M58" s="2318"/>
      <c r="N58" s="2319" t="str">
        <f ca="1">NUMBERSTRING(INT(N57*10000),2)&amp;"元整"</f>
        <v>壹亿零壹佰贰拾万元整</v>
      </c>
      <c r="O58" s="2320"/>
    </row>
    <row r="59" spans="1:35" ht="24.75" thickBot="1">
      <c r="A59" s="3395" t="s">
        <v>1365</v>
      </c>
      <c r="B59" s="3396"/>
      <c r="C59" s="3396"/>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1359</v>
      </c>
      <c r="H59" s="2136" t="s">
        <v>3924</v>
      </c>
      <c r="I59" s="2135" t="s">
        <v>2127</v>
      </c>
      <c r="J59" s="3393">
        <f>J57+1</f>
        <v>5</v>
      </c>
      <c r="K59" s="3392" t="s">
        <v>1366</v>
      </c>
      <c r="L59" s="2307" t="s">
        <v>1362</v>
      </c>
      <c r="M59" s="2321"/>
      <c r="N59" s="2322">
        <f ca="1">M49-N57</f>
        <v>90576</v>
      </c>
      <c r="O59" s="2323"/>
    </row>
    <row r="60" spans="1:35" ht="12" customHeight="1">
      <c r="A60" s="1669"/>
      <c r="B60" s="645"/>
      <c r="C60" s="645"/>
      <c r="D60" s="645"/>
      <c r="E60" s="1464"/>
      <c r="F60" s="1668"/>
      <c r="G60" s="1668"/>
      <c r="H60" s="150"/>
      <c r="I60" s="120"/>
      <c r="J60" s="3394"/>
      <c r="K60" s="3392"/>
      <c r="L60" s="2314" t="s">
        <v>1364</v>
      </c>
      <c r="M60" s="2318"/>
      <c r="N60" s="2319" t="str">
        <f ca="1">NUMBERSTRING(INT(N59*10000),2)&amp;"元整"</f>
        <v>玖亿零伍佰柒拾陆万元整</v>
      </c>
      <c r="O60" s="2320"/>
    </row>
    <row r="61" spans="1:35" ht="13.5" thickBot="1">
      <c r="A61" s="3340" t="s">
        <v>1367</v>
      </c>
      <c r="B61" s="3340"/>
      <c r="C61" s="3340"/>
      <c r="D61" s="3340"/>
      <c r="E61" s="3340"/>
      <c r="F61" s="1668"/>
      <c r="G61" s="1668"/>
      <c r="H61" s="150"/>
      <c r="I61" s="120"/>
      <c r="J61" s="2307">
        <f>J59+1</f>
        <v>6</v>
      </c>
      <c r="K61" s="3392" t="s">
        <v>1368</v>
      </c>
      <c r="L61" s="3392"/>
      <c r="M61" s="2324"/>
      <c r="N61" s="2325">
        <f ca="1">ROUND(N59*10000/系统读取表!B1,0)</f>
        <v>10601</v>
      </c>
      <c r="O61" s="2326"/>
    </row>
    <row r="62" spans="1:35" ht="12.75">
      <c r="A62" s="3358" t="s">
        <v>1369</v>
      </c>
      <c r="B62" s="3359"/>
      <c r="C62" s="1863"/>
      <c r="D62" s="1863" t="s">
        <v>1370</v>
      </c>
      <c r="E62" s="157" t="s">
        <v>1371</v>
      </c>
      <c r="F62" s="1668"/>
      <c r="G62" s="1668"/>
      <c r="H62" s="150"/>
      <c r="I62" s="120"/>
    </row>
    <row r="63" spans="1:35" ht="12.75">
      <c r="A63" s="164" t="s">
        <v>330</v>
      </c>
      <c r="B63" s="158" t="s">
        <v>1372</v>
      </c>
      <c r="C63" s="2347">
        <f ca="1">ROUND((C64+C65)/(1+'数据-取费表'!C42),0)</f>
        <v>95901</v>
      </c>
      <c r="D63" s="158"/>
      <c r="E63" s="159"/>
      <c r="F63" s="1668"/>
      <c r="G63" s="1668"/>
      <c r="H63" s="150"/>
      <c r="I63" s="120"/>
      <c r="J63" s="3417" t="s">
        <v>1373</v>
      </c>
      <c r="K63" s="1243" t="s">
        <v>1374</v>
      </c>
      <c r="L63" s="1243">
        <f ca="1">IF(M49&gt;10000,M49*0.5%,IF(AND(M49&gt;1000,M49&lt;=10000),M49*1%,IF(AND(M49&gt;100,M49&lt;=1000),M49*3%,IF(AND(M49&gt;10,M49&lt;=100),M49*5%,M49*8%))))</f>
        <v>503.48</v>
      </c>
      <c r="M63" s="293">
        <f ca="1">ROUND(L63,1)</f>
        <v>503.5</v>
      </c>
      <c r="N63" s="2327"/>
      <c r="Z63" s="1621"/>
      <c r="AI63" s="1559"/>
    </row>
    <row r="64" spans="1:35" ht="14.25" customHeight="1">
      <c r="A64" s="160" t="s">
        <v>325</v>
      </c>
      <c r="B64" s="161" t="s">
        <v>1375</v>
      </c>
      <c r="C64" s="2348">
        <f ca="1">D45</f>
        <v>100696</v>
      </c>
      <c r="D64" s="161" t="s">
        <v>26</v>
      </c>
      <c r="E64" s="163"/>
      <c r="F64" s="1668"/>
      <c r="G64" s="1668"/>
      <c r="H64" s="150"/>
      <c r="I64" s="120"/>
      <c r="J64" s="3417"/>
      <c r="K64" s="1243" t="s">
        <v>1376</v>
      </c>
      <c r="L64" s="1243">
        <f ca="1">IF(M49&gt;2000,M49*0.5%,IF(AND(M49&gt;1000,M49&lt;=2000),M49*0.6%,IF(AND(M49&gt;500,M49&lt;=1000),M49*0.7%,IF(AND(M49&gt;200,M49&lt;=500),M49*0.8%,IF(AND(M49&gt;100,M49&lt;=200),M49*0.9%,IF(AND(M49&gt;50,M49&lt;=100),M49*1%,IF(AND(M49&gt;20,M49&lt;=50),M49*1.5%,IF(AND(M49&gt;10,M49&lt;=20),M49*2%,IF(AND(M49&gt;1,M49&lt;=10),M49*2.5%)))))))))</f>
        <v>503.48</v>
      </c>
      <c r="M64" s="293">
        <f t="shared" ref="M64:M65" ca="1" si="1">ROUND(L64,1)</f>
        <v>503.5</v>
      </c>
      <c r="N64" s="2328" t="s">
        <v>1377</v>
      </c>
      <c r="Z64" s="1621"/>
      <c r="AI64" s="1559"/>
    </row>
    <row r="65" spans="1:35" ht="14.25" customHeight="1">
      <c r="A65" s="160" t="s">
        <v>326</v>
      </c>
      <c r="B65" s="161" t="s">
        <v>1378</v>
      </c>
      <c r="C65" s="2349"/>
      <c r="D65" s="161"/>
      <c r="E65" s="163"/>
      <c r="F65" s="1668"/>
      <c r="G65" s="1668"/>
      <c r="H65" s="150"/>
      <c r="I65" s="120"/>
      <c r="J65" s="3417"/>
      <c r="K65" s="1243" t="s">
        <v>1379</v>
      </c>
      <c r="L65" s="1243">
        <f ca="1">IF(M49&gt;1000,M49*0.1%,IF(AND(M49&gt;500,M49&lt;=1000),M49*0.5%,IF(AND(M49&gt;50,M49&lt;=500),M49*1%,IF(AND(M49&gt;1,M49&lt;=50),M49*1.5%))))</f>
        <v>100.696</v>
      </c>
      <c r="M65" s="293">
        <f t="shared" ca="1" si="1"/>
        <v>100.7</v>
      </c>
      <c r="N65" s="2328" t="s">
        <v>1377</v>
      </c>
      <c r="Z65" s="1621"/>
      <c r="AI65" s="1559"/>
    </row>
    <row r="66" spans="1:35" ht="14.25" customHeight="1">
      <c r="A66" s="164" t="s">
        <v>327</v>
      </c>
      <c r="B66" s="165" t="s">
        <v>1380</v>
      </c>
      <c r="C66" s="2350"/>
      <c r="D66" s="165" t="s">
        <v>26</v>
      </c>
      <c r="E66" s="1249" t="s">
        <v>665</v>
      </c>
      <c r="F66" s="1668"/>
      <c r="G66" s="1668"/>
      <c r="H66" s="150"/>
      <c r="I66" s="120"/>
      <c r="J66" s="3417"/>
      <c r="K66" s="1243" t="s">
        <v>1381</v>
      </c>
      <c r="L66" s="1243">
        <f ca="1">M49*0.5%</f>
        <v>503.48</v>
      </c>
      <c r="M66" s="293">
        <f ca="1">IF(L66&gt;0.5,0.5,ROUND(L66,0))</f>
        <v>0.5</v>
      </c>
      <c r="N66" s="2328" t="s">
        <v>1382</v>
      </c>
      <c r="Z66" s="1621"/>
      <c r="AI66" s="1559"/>
    </row>
    <row r="67" spans="1:35" ht="14.25" customHeight="1">
      <c r="A67" s="164" t="s">
        <v>328</v>
      </c>
      <c r="B67" s="165" t="s">
        <v>1383</v>
      </c>
      <c r="C67" s="2351">
        <f ca="1">C63-C66</f>
        <v>95901</v>
      </c>
      <c r="D67" s="161" t="s">
        <v>26</v>
      </c>
      <c r="E67" s="163"/>
      <c r="F67" s="1668"/>
      <c r="G67" s="1668"/>
      <c r="H67" s="150"/>
      <c r="I67" s="120"/>
      <c r="J67" s="3417"/>
      <c r="K67" s="1243" t="s">
        <v>1384</v>
      </c>
      <c r="L67" s="1243">
        <f ca="1">IF(M49&gt;=10000,(8.25+(M49-10000)*0.01%),IF(AND(M49&gt;=8000,M49&lt;10000),(7.85+(M49-8000)*0.02%),IF(AND(M49&gt;=5000,M49&lt;8000),(6.65+(M49-5000)*0.04%),IF(AND(M49&gt;=2000,M49&lt;5000),(4.25+(PM49-2000)*0.08%),IF(AND(M49&gt;=1000,M49&lt;2000),(2.75+(M49-1000)*0.15%),IF(AND(M49&gt;=100,M49&lt;1000),(0.5+(M49-100)*0.25%),IF(AND(M49&gt;0,M49&lt;100),M49*0.5%)))))))</f>
        <v>17.319600000000001</v>
      </c>
      <c r="M67" s="293">
        <f ca="1">ROUND(L67*0.9,1)</f>
        <v>15.6</v>
      </c>
      <c r="N67" s="2327"/>
      <c r="Z67" s="1621"/>
      <c r="AI67" s="1559"/>
    </row>
    <row r="68" spans="1:35" ht="14.25" customHeight="1" thickBot="1">
      <c r="A68" s="167" t="s">
        <v>329</v>
      </c>
      <c r="B68" s="168" t="s">
        <v>1385</v>
      </c>
      <c r="C68" s="2352">
        <f ca="1">IF(C67&lt;=0,0,ROUND(C67*D68,0))</f>
        <v>5275</v>
      </c>
      <c r="D68" s="2353">
        <f>'数据-取费表'!B41</f>
        <v>5.5000000000000007E-2</v>
      </c>
      <c r="E68" s="169"/>
      <c r="F68" s="1668"/>
      <c r="G68" s="1668"/>
      <c r="H68" s="150"/>
      <c r="I68" s="120"/>
      <c r="J68" s="3417"/>
      <c r="K68" s="1243" t="s">
        <v>1386</v>
      </c>
      <c r="L68" s="1243">
        <f ca="1">IF(M49&gt;10000,M49*0.5%,IF(AND(M49&gt;5000,M49&lt;=10000),M49*1%,IF(AND(M49&gt;1000,M49&lt;=5000),M49*2%,IF(AND(M49&gt;200,M49&lt;=1000),M49*3%,M49*5%))))</f>
        <v>503.48</v>
      </c>
      <c r="M68" s="293">
        <f ca="1">ROUND(L68,1)</f>
        <v>503.5</v>
      </c>
      <c r="N68" s="2327"/>
      <c r="Z68" s="1621"/>
      <c r="AI68" s="1559"/>
    </row>
    <row r="69" spans="1:35" ht="16.5" customHeight="1">
      <c r="A69" s="1670"/>
      <c r="B69" s="1671"/>
      <c r="C69" s="1672"/>
      <c r="D69" s="1673"/>
      <c r="E69" s="1674"/>
      <c r="F69" s="1464"/>
      <c r="G69" s="1464"/>
      <c r="H69" s="1465"/>
      <c r="I69" s="645"/>
      <c r="J69" s="3417"/>
      <c r="K69" s="1243" t="s">
        <v>1387</v>
      </c>
      <c r="L69" s="1243"/>
      <c r="M69" s="293">
        <f ca="1">ROUND(SUM(M63:M68),0)</f>
        <v>1627</v>
      </c>
      <c r="N69" s="2329">
        <f ca="1">M69/M49</f>
        <v>1.6157543497259078E-2</v>
      </c>
      <c r="Z69" s="1621"/>
      <c r="AI69" s="1559"/>
    </row>
    <row r="70" spans="1:35" s="641" customFormat="1" ht="15" thickBot="1">
      <c r="A70" s="3379" t="s">
        <v>1388</v>
      </c>
      <c r="B70" s="3380"/>
      <c r="C70" s="3380"/>
      <c r="D70" s="3380"/>
      <c r="E70" s="3380"/>
      <c r="F70" s="3380"/>
      <c r="G70" s="3380"/>
      <c r="H70" s="3380"/>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58" t="s">
        <v>1369</v>
      </c>
      <c r="B71" s="3359"/>
      <c r="C71" s="1863"/>
      <c r="D71" s="1863" t="s">
        <v>1370</v>
      </c>
      <c r="E71" s="170" t="s">
        <v>1371</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1389</v>
      </c>
      <c r="C72" s="2351">
        <f ca="1">ROUND(D45/(1+'数据-取费表'!C42),0)</f>
        <v>95901</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1390</v>
      </c>
      <c r="C73" s="2351">
        <f ca="1">C74+C78</f>
        <v>480</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1391</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1392</v>
      </c>
      <c r="C75" s="2354"/>
      <c r="D75" s="161" t="s">
        <v>26</v>
      </c>
      <c r="E75" s="175" t="s">
        <v>1393</v>
      </c>
      <c r="F75" s="2355"/>
      <c r="G75" s="175" t="s">
        <v>1394</v>
      </c>
      <c r="H75" s="2356"/>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1395</v>
      </c>
      <c r="C76" s="161">
        <f>IF(F75="购房发票",ROUND(C75*H75*D76,0),0)</f>
        <v>0</v>
      </c>
      <c r="D76" s="2357">
        <v>0.05</v>
      </c>
      <c r="E76" s="3353" t="s">
        <v>1396</v>
      </c>
      <c r="F76" s="3327"/>
      <c r="G76" s="3327"/>
      <c r="H76" s="337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1397</v>
      </c>
      <c r="C77" s="161">
        <f>ROUND(IF(G77="个人住宅",0,IF(G77="2016年5月1日前购买",C75*D77,C75*D77/(1+'数据-取费表'!C42))),0)</f>
        <v>0</v>
      </c>
      <c r="D77" s="2358">
        <f>'数据-取费表'!B48+'数据-取费表'!B49</f>
        <v>3.0499999999999999E-2</v>
      </c>
      <c r="E77" s="12" t="s">
        <v>1398</v>
      </c>
      <c r="F77" s="177"/>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1399</v>
      </c>
      <c r="C78" s="2359">
        <f ca="1">ROUND(D45*D78/(1+'数据-取费表'!C42),0)</f>
        <v>480</v>
      </c>
      <c r="D78" s="2360">
        <f>'数据-取费表'!B43</f>
        <v>5.000000000000001E-3</v>
      </c>
      <c r="E78" s="3337" t="s">
        <v>1400</v>
      </c>
      <c r="F78" s="3338"/>
      <c r="G78" s="3338"/>
      <c r="H78" s="3347"/>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328</v>
      </c>
      <c r="B79" s="165" t="s">
        <v>1401</v>
      </c>
      <c r="C79" s="2351">
        <f ca="1">C72-C73</f>
        <v>95421</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1402</v>
      </c>
      <c r="C80" s="2361">
        <f ca="1">IF(C79&lt;=0,0,C79/C73)</f>
        <v>198.79374999999999</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1403</v>
      </c>
      <c r="C81" s="2362">
        <f ca="1">ROUND(IF(C79&lt;=0,0,IF(C80&gt;=200%,C79*60%-C73*35%,IF(C80&gt;=100%,C79*50%-C73*15%,IF(C80&gt;=50%,C79*40%-C73*5%,IF(C80&lt;50%,C79*30%,0))))),0)</f>
        <v>57085</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79" t="s">
        <v>1404</v>
      </c>
      <c r="B83" s="3380"/>
      <c r="C83" s="3380"/>
      <c r="D83" s="3380"/>
      <c r="E83" s="3380"/>
      <c r="F83" s="3380"/>
      <c r="G83" s="3380"/>
      <c r="H83" s="3380"/>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58" t="s">
        <v>1369</v>
      </c>
      <c r="B84" s="3359"/>
      <c r="C84" s="1863"/>
      <c r="D84" s="1863" t="s">
        <v>1370</v>
      </c>
      <c r="E84" s="170" t="s">
        <v>1371</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1389</v>
      </c>
      <c r="C85" s="2351">
        <f ca="1">ROUND(D45/(1+'数据-取费表'!C42),0)</f>
        <v>95901</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1390</v>
      </c>
      <c r="C86" s="2351">
        <f ca="1">IF(H88="仅含出让金",C87+C90+C91+C92+C93+C94,C87+C91+C92+C93+C94)</f>
        <v>144824</v>
      </c>
      <c r="D86" s="2364"/>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1405</v>
      </c>
      <c r="C87" s="2359">
        <f>C88+C89</f>
        <v>99611</v>
      </c>
      <c r="D87" s="2360"/>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1406</v>
      </c>
      <c r="C88" s="2365">
        <f>ROUND(系统读取表!B1/地价款明细!D27*地价款明细!G28,0)</f>
        <v>96663</v>
      </c>
      <c r="D88" s="2360"/>
      <c r="E88" s="184" t="s">
        <v>1407</v>
      </c>
      <c r="F88" s="2146"/>
      <c r="G88" s="185" t="s">
        <v>1408</v>
      </c>
      <c r="H88" s="1682" t="s">
        <v>3925</v>
      </c>
      <c r="I88" s="1679"/>
      <c r="J88" s="2305" t="s">
        <v>2278</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1397</v>
      </c>
      <c r="C89" s="2359">
        <f>ROUND(C88*D89,0)</f>
        <v>2948</v>
      </c>
      <c r="D89" s="2360">
        <f>'数据-取费表'!B48+'数据-取费表'!B49</f>
        <v>3.0499999999999999E-2</v>
      </c>
      <c r="E89" s="184" t="s">
        <v>1409</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1410</v>
      </c>
      <c r="C90" s="2365"/>
      <c r="D90" s="2360"/>
      <c r="E90" s="184" t="str">
        <f>IF(H88="-","土地取得成本中已包含该笔费用"," ")</f>
        <v xml:space="preserve"> </v>
      </c>
      <c r="F90" s="2146"/>
      <c r="G90" s="3419" t="s">
        <v>2119</v>
      </c>
      <c r="H90" s="3420"/>
      <c r="I90" s="1679"/>
      <c r="J90" s="2305" t="s">
        <v>2279</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1411</v>
      </c>
      <c r="B91" s="161" t="s">
        <v>1412</v>
      </c>
      <c r="C91" s="2359">
        <f ca="1">IF(H91="——",成本法!C33,I91)</f>
        <v>11423</v>
      </c>
      <c r="D91" s="2360"/>
      <c r="E91" s="3337" t="s">
        <v>1413</v>
      </c>
      <c r="F91" s="3338"/>
      <c r="G91" s="3338"/>
      <c r="H91" s="1683" t="s">
        <v>43</v>
      </c>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1414</v>
      </c>
      <c r="B92" s="161" t="s">
        <v>1415</v>
      </c>
      <c r="C92" s="2359">
        <f ca="1">ROUND((C87+C90+C91)*D92,0)</f>
        <v>11103</v>
      </c>
      <c r="D92" s="2366">
        <v>0.1</v>
      </c>
      <c r="E92" s="3337" t="s">
        <v>1416</v>
      </c>
      <c r="F92" s="3338"/>
      <c r="G92" s="3338"/>
      <c r="H92" s="3347"/>
      <c r="I92" s="1679"/>
      <c r="J92" s="2306" t="s">
        <v>2280</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1417</v>
      </c>
      <c r="B93" s="161" t="s">
        <v>1399</v>
      </c>
      <c r="C93" s="2359">
        <f ca="1">ROUND(D45*D93/(1+'数据-取费表'!C42),0)</f>
        <v>480</v>
      </c>
      <c r="D93" s="2360">
        <f>'数据-取费表'!B43</f>
        <v>5.000000000000001E-3</v>
      </c>
      <c r="E93" s="3337" t="s">
        <v>1400</v>
      </c>
      <c r="F93" s="3338"/>
      <c r="G93" s="3338"/>
      <c r="H93" s="3347"/>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1418</v>
      </c>
      <c r="B94" s="161" t="s">
        <v>1419</v>
      </c>
      <c r="C94" s="2365">
        <f ca="1">ROUND((C87+C90+C91)*D94,0)</f>
        <v>22207</v>
      </c>
      <c r="D94" s="2360">
        <v>0.2</v>
      </c>
      <c r="E94" s="3348" t="s">
        <v>1420</v>
      </c>
      <c r="F94" s="3349"/>
      <c r="G94" s="3349"/>
      <c r="H94" s="335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328</v>
      </c>
      <c r="B95" s="165" t="s">
        <v>1401</v>
      </c>
      <c r="C95" s="2351">
        <f ca="1">ROUND(C85-C86,0)</f>
        <v>-48923</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1402</v>
      </c>
      <c r="C96" s="2361">
        <f ca="1">IF(C95&lt;=0,0,C95/C86)</f>
        <v>0</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1403</v>
      </c>
      <c r="C97" s="2362">
        <f ca="1">ROUND(IF(C95&lt;=0,0,IF(C96&gt;=200%,C95*60%-C86*35%,IF(C96&gt;=100%,C95*50%-C86*15%,IF(C96&gt;=50%,C95*40%-C86*5%,IF(C96&lt;50%,C95*30%,0))))),0)</f>
        <v>0</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1421</v>
      </c>
      <c r="B99" s="645"/>
      <c r="C99" s="645"/>
      <c r="D99" s="645"/>
      <c r="E99" s="1464"/>
      <c r="F99" s="1464"/>
      <c r="G99" s="1464"/>
      <c r="H99" s="1465"/>
      <c r="I99" s="120"/>
    </row>
    <row r="100" spans="1:35" ht="18.75" customHeight="1">
      <c r="A100" s="3321" t="s">
        <v>1422</v>
      </c>
      <c r="B100" s="3322"/>
      <c r="C100" s="3322"/>
      <c r="D100" s="3339"/>
      <c r="E100" s="3322" t="s">
        <v>1423</v>
      </c>
      <c r="F100" s="3322"/>
      <c r="G100" s="3322"/>
      <c r="H100" s="3339"/>
      <c r="I100" s="120"/>
    </row>
    <row r="101" spans="1:35" ht="18.75" customHeight="1">
      <c r="A101" s="3400" t="s">
        <v>1424</v>
      </c>
      <c r="B101" s="3401"/>
      <c r="C101" s="2368" t="str">
        <f>C4</f>
        <v>成本法</v>
      </c>
      <c r="D101" s="2369" t="str">
        <f>D4</f>
        <v>假设开发法</v>
      </c>
      <c r="E101" s="3414" t="s">
        <v>1425</v>
      </c>
      <c r="F101" s="3371"/>
      <c r="G101" s="1685" t="s">
        <v>1426</v>
      </c>
      <c r="H101" s="2378">
        <f ca="1">H118</f>
        <v>34292</v>
      </c>
      <c r="I101" s="120"/>
    </row>
    <row r="102" spans="1:35" ht="18.75" customHeight="1">
      <c r="A102" s="3373" t="s">
        <v>1427</v>
      </c>
      <c r="B102" s="2367" t="s">
        <v>1426</v>
      </c>
      <c r="C102" s="2368">
        <f ca="1">IF(D32="楼面单价",ROUND(C19,0),C19)</f>
        <v>39163</v>
      </c>
      <c r="D102" s="2369">
        <f ca="1">IF(D32="楼面单价",ROUND(D19,0),D19)</f>
        <v>26985</v>
      </c>
      <c r="E102" s="3414"/>
      <c r="F102" s="3371"/>
      <c r="G102" s="1685" t="s">
        <v>1428</v>
      </c>
      <c r="H102" s="2338">
        <f ca="1">I118</f>
        <v>14290</v>
      </c>
      <c r="I102" s="120"/>
    </row>
    <row r="103" spans="1:35" ht="42.75" customHeight="1">
      <c r="A103" s="3373"/>
      <c r="B103" s="2367" t="s">
        <v>1428</v>
      </c>
      <c r="C103" s="2370">
        <f ca="1">C20</f>
        <v>16320</v>
      </c>
      <c r="D103" s="2371">
        <f ca="1">D20</f>
        <v>11245</v>
      </c>
      <c r="E103" s="3408" t="s">
        <v>1429</v>
      </c>
      <c r="F103" s="3409"/>
      <c r="G103" s="1686" t="s">
        <v>1430</v>
      </c>
      <c r="H103" s="2378">
        <f>IF(D36="正常操作",H104+H105+H106,H105+H106)</f>
        <v>0</v>
      </c>
      <c r="I103" s="120"/>
    </row>
    <row r="104" spans="1:35" ht="18.75" customHeight="1">
      <c r="A104" s="3373" t="s">
        <v>1431</v>
      </c>
      <c r="B104" s="2372" t="s">
        <v>1426</v>
      </c>
      <c r="C104" s="2373">
        <f ca="1">H118</f>
        <v>34292</v>
      </c>
      <c r="D104" s="2374"/>
      <c r="E104" s="1553" t="s">
        <v>1432</v>
      </c>
      <c r="F104" s="1546"/>
      <c r="G104" s="1686" t="s">
        <v>1430</v>
      </c>
      <c r="H104" s="2379">
        <f>IF(D36="同一抵押权人同一抵押物续贷",C36&amp;"（续贷，未扣减，详见特别提示）",C36)</f>
        <v>0</v>
      </c>
      <c r="I104" s="120"/>
    </row>
    <row r="105" spans="1:35" ht="18.75" customHeight="1" thickBot="1">
      <c r="A105" s="3374"/>
      <c r="B105" s="2375" t="s">
        <v>1428</v>
      </c>
      <c r="C105" s="2376">
        <f ca="1">I118</f>
        <v>14290</v>
      </c>
      <c r="D105" s="2377"/>
      <c r="E105" s="1553" t="s">
        <v>1433</v>
      </c>
      <c r="F105" s="1546"/>
      <c r="G105" s="1686" t="s">
        <v>1430</v>
      </c>
      <c r="H105" s="2380">
        <f>C37</f>
        <v>0</v>
      </c>
      <c r="I105" s="120"/>
    </row>
    <row r="106" spans="1:35" ht="18.75" customHeight="1">
      <c r="A106" s="645" t="s">
        <v>1434</v>
      </c>
      <c r="B106" s="645"/>
      <c r="C106" s="645"/>
      <c r="D106" s="645"/>
      <c r="E106" s="1687" t="s">
        <v>1435</v>
      </c>
      <c r="F106" s="1546"/>
      <c r="G106" s="1686" t="s">
        <v>1430</v>
      </c>
      <c r="H106" s="2380">
        <f>C38</f>
        <v>0</v>
      </c>
      <c r="I106" s="120"/>
    </row>
    <row r="107" spans="1:35" ht="18.75" customHeight="1">
      <c r="A107" s="120"/>
      <c r="B107" s="120"/>
      <c r="C107" s="120"/>
      <c r="D107" s="120"/>
      <c r="E107" s="3370" t="str">
        <f>IF(项目基本情况!E8="已注销","——","3.房地产抵押价值")</f>
        <v>3.房地产抵押价值</v>
      </c>
      <c r="F107" s="3371"/>
      <c r="G107" s="1685" t="s">
        <v>1426</v>
      </c>
      <c r="H107" s="2378">
        <f ca="1">IF(E107="——","——",H101-H103)</f>
        <v>34292</v>
      </c>
      <c r="I107" s="120"/>
    </row>
    <row r="108" spans="1:35" ht="18.75" customHeight="1">
      <c r="A108" s="120"/>
      <c r="B108" s="120"/>
      <c r="C108" s="120"/>
      <c r="D108" s="120"/>
      <c r="E108" s="3370"/>
      <c r="F108" s="3371"/>
      <c r="G108" s="1685" t="s">
        <v>1428</v>
      </c>
      <c r="H108" s="2338">
        <f ca="1">IF(H107=H101,H102,ROUND(H107*10000/'数据-汇总表'!E3,0))</f>
        <v>14290</v>
      </c>
      <c r="I108" s="120"/>
    </row>
    <row r="109" spans="1:35" ht="18.75" customHeight="1">
      <c r="A109" s="120"/>
      <c r="B109" s="120"/>
      <c r="C109" s="120"/>
      <c r="D109" s="120"/>
      <c r="E109" s="3370" t="str">
        <f>IF(项目基本情况!E8="已注销及未注销","4.抵押担保权已注销时的房地产抵押价值",IF(项目基本情况!E8="已注销","3.抵押担保权已注销时的房地产抵押价值","——"))</f>
        <v>——</v>
      </c>
      <c r="F109" s="3371"/>
      <c r="G109" s="1685" t="s">
        <v>1426</v>
      </c>
      <c r="H109" s="2381" t="str">
        <f>IF(E109="——","——",H101-H105-H106)</f>
        <v>——</v>
      </c>
      <c r="I109" s="120"/>
    </row>
    <row r="110" spans="1:35" ht="18.75" customHeight="1">
      <c r="A110" s="120"/>
      <c r="B110" s="120"/>
      <c r="C110" s="120"/>
      <c r="D110" s="120"/>
      <c r="E110" s="3370"/>
      <c r="F110" s="3371"/>
      <c r="G110" s="1685" t="s">
        <v>1428</v>
      </c>
      <c r="H110" s="2338" t="str">
        <f>IF(H109="——","——",ROUND(H109*10000/'数据-汇总表'!E3,0))</f>
        <v>——</v>
      </c>
      <c r="I110" s="120"/>
    </row>
    <row r="111" spans="1:35" ht="18.75" customHeight="1">
      <c r="A111" s="120"/>
      <c r="B111" s="120"/>
      <c r="C111" s="120"/>
      <c r="D111" s="120"/>
      <c r="E111" s="3402" t="str">
        <f>IF(项目基本情况!E9="抵押净值",IF(OR(项目基本情况!E8="已注销",项目基本情况!E8="房地产抵押价值"),"4.抵押净值","5.抵押净值"),"——")</f>
        <v>——</v>
      </c>
      <c r="F111" s="3372"/>
      <c r="G111" s="1685" t="s">
        <v>1426</v>
      </c>
      <c r="H111" s="2378" t="str">
        <f>IF(E111="——","——",N59)</f>
        <v>——</v>
      </c>
      <c r="I111" s="120"/>
    </row>
    <row r="112" spans="1:35" ht="18.75" customHeight="1" thickBot="1">
      <c r="A112" s="120"/>
      <c r="B112" s="120"/>
      <c r="C112" s="120"/>
      <c r="D112" s="120"/>
      <c r="E112" s="3403"/>
      <c r="F112" s="3404"/>
      <c r="G112" s="1688" t="s">
        <v>1428</v>
      </c>
      <c r="H112" s="2382" t="str">
        <f>IF(E111="——","——",N61)</f>
        <v>——</v>
      </c>
      <c r="I112" s="120"/>
    </row>
    <row r="113" spans="1:27" ht="18.75" customHeight="1">
      <c r="A113" s="120"/>
      <c r="B113" s="120"/>
      <c r="C113" s="120"/>
      <c r="D113" s="120"/>
      <c r="E113" s="3375" t="s">
        <v>1434</v>
      </c>
      <c r="F113" s="3375"/>
      <c r="G113" s="3375"/>
      <c r="H113" s="3375"/>
      <c r="I113" s="120"/>
    </row>
    <row r="114" spans="1:27" ht="3.75" customHeight="1">
      <c r="A114" s="645"/>
      <c r="B114" s="645"/>
      <c r="C114" s="645"/>
      <c r="D114" s="645"/>
      <c r="E114" s="1669"/>
      <c r="F114" s="1669"/>
      <c r="G114" s="1669"/>
      <c r="H114" s="1669"/>
      <c r="I114" s="645"/>
    </row>
    <row r="115" spans="1:27" ht="18.75" customHeight="1">
      <c r="A115" s="3385" t="s">
        <v>1436</v>
      </c>
      <c r="B115" s="3386"/>
      <c r="C115" s="3386"/>
      <c r="D115" s="3386"/>
      <c r="E115" s="3386"/>
      <c r="F115" s="3386"/>
      <c r="G115" s="3386"/>
      <c r="H115" s="3386"/>
      <c r="I115" s="3387"/>
    </row>
    <row r="116" spans="1:27" ht="27" customHeight="1">
      <c r="A116" s="3341" t="s">
        <v>1437</v>
      </c>
      <c r="B116" s="3376" t="s">
        <v>3860</v>
      </c>
      <c r="C116" s="3376" t="s">
        <v>3861</v>
      </c>
      <c r="D116" s="3389" t="s">
        <v>1438</v>
      </c>
      <c r="E116" s="3390"/>
      <c r="F116" s="3384" t="s">
        <v>1439</v>
      </c>
      <c r="G116" s="3384"/>
      <c r="H116" s="3341" t="s">
        <v>1440</v>
      </c>
      <c r="I116" s="3341"/>
    </row>
    <row r="117" spans="1:27" ht="18.75" customHeight="1">
      <c r="A117" s="3341"/>
      <c r="B117" s="3377"/>
      <c r="C117" s="3377"/>
      <c r="D117" s="2148" t="s">
        <v>1441</v>
      </c>
      <c r="E117" s="2148" t="s">
        <v>1442</v>
      </c>
      <c r="F117" s="2148" t="s">
        <v>1441</v>
      </c>
      <c r="G117" s="2148" t="s">
        <v>1443</v>
      </c>
      <c r="H117" s="2148" t="s">
        <v>1441</v>
      </c>
      <c r="I117" s="2148" t="s">
        <v>1443</v>
      </c>
    </row>
    <row r="118" spans="1:27" ht="24.75" customHeight="1">
      <c r="A118" s="2383" t="str">
        <f>项目基本情况!S2</f>
        <v>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v>
      </c>
      <c r="B118" s="2148">
        <f>M18</f>
        <v>23997.3</v>
      </c>
      <c r="C118" s="2148">
        <f>M19</f>
        <v>6542.04</v>
      </c>
      <c r="D118" s="2148">
        <f ca="1">ROUND(IF(D32="总价",C34,E118*B118/10000),0)</f>
        <v>21021</v>
      </c>
      <c r="E118" s="2148">
        <f ca="1">ROUND(IF(C33="自定义",IF(D32="楼面单价",C34,D118*10000/B118),I118-G118),0)</f>
        <v>8760</v>
      </c>
      <c r="F118" s="2148">
        <f ca="1">ROUND(IF(D32="总价",C35,G118*B118/10000),0)</f>
        <v>13271</v>
      </c>
      <c r="G118" s="2148">
        <f ca="1">ROUND(IF(D32="楼面单价",C35,F118*10000/B118),0)</f>
        <v>5530</v>
      </c>
      <c r="H118" s="2148">
        <f ca="1">ROUND(IF(D32="总价",C32,I118*B118/10000),0)</f>
        <v>34292</v>
      </c>
      <c r="I118" s="2148">
        <f ca="1">ROUND(IF(D32="楼面单价",C32,H118*10000/B118),0)</f>
        <v>14290</v>
      </c>
    </row>
    <row r="119" spans="1:27" ht="18.75" customHeight="1">
      <c r="A119" s="3341" t="s">
        <v>1444</v>
      </c>
      <c r="B119" s="3341"/>
      <c r="C119" s="3341"/>
      <c r="D119" s="3381" t="str">
        <f ca="1">NUMBERSTRING(INT(D118*10000),2)&amp;"元整"</f>
        <v>贰亿壹仟零贰拾壹万元整</v>
      </c>
      <c r="E119" s="3383"/>
      <c r="F119" s="3381" t="str">
        <f ca="1">NUMBERSTRING(INT(F118*10000),2)&amp;"元整"</f>
        <v>壹亿叁仟贰佰柒拾壹万元整</v>
      </c>
      <c r="G119" s="3383"/>
      <c r="H119" s="3381" t="str">
        <f ca="1">NUMBERSTRING(INT(H118*10000),2)&amp;"元整"</f>
        <v>叁亿肆仟贰佰玖拾贰万元整</v>
      </c>
      <c r="I119" s="3383"/>
    </row>
    <row r="120" spans="1:27" ht="18.75" customHeight="1">
      <c r="A120" s="3405" t="str">
        <f>IF(项目基本情况!B9="房地产市场价值","",MID(E103,3,LEN(E103)-2))</f>
        <v>估价师知悉的法定优先受偿款</v>
      </c>
      <c r="B120" s="3406"/>
      <c r="C120" s="3407"/>
      <c r="D120" s="3405">
        <f>H103</f>
        <v>0</v>
      </c>
      <c r="E120" s="3406"/>
      <c r="F120" s="3406"/>
      <c r="G120" s="3406"/>
      <c r="H120" s="3406"/>
      <c r="I120" s="340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81" t="s">
        <v>1444</v>
      </c>
      <c r="B121" s="3382"/>
      <c r="C121" s="3383"/>
      <c r="D121" s="3381" t="str">
        <f>IF(D120=0,"零元整",NUMBERSTRING(INT(D120*10000),2)&amp;"元整")</f>
        <v>零元整</v>
      </c>
      <c r="E121" s="3382"/>
      <c r="F121" s="3382"/>
      <c r="G121" s="3382"/>
      <c r="H121" s="3382"/>
      <c r="I121" s="3383"/>
      <c r="AA121" s="683"/>
    </row>
    <row r="122" spans="1:27" ht="18.75" customHeight="1">
      <c r="A122" s="3372" t="str">
        <f>IF(项目基本情况!B9="房地产市场价值","",MID(E107,3,LEN(E107)-2))</f>
        <v>房地产抵押价值</v>
      </c>
      <c r="B122" s="3372"/>
      <c r="C122" s="3372"/>
      <c r="D122" s="3405">
        <f ca="1">H107</f>
        <v>34292</v>
      </c>
      <c r="E122" s="3406"/>
      <c r="F122" s="3406"/>
      <c r="G122" s="3406"/>
      <c r="H122" s="3406"/>
      <c r="I122" s="3407"/>
      <c r="AA122" s="683"/>
    </row>
    <row r="123" spans="1:27" ht="18.75" customHeight="1">
      <c r="A123" s="3341" t="s">
        <v>1444</v>
      </c>
      <c r="B123" s="3341"/>
      <c r="C123" s="3341"/>
      <c r="D123" s="3381" t="str">
        <f ca="1">NUMBERSTRING(INT(D122*10000),2)&amp;"元整"</f>
        <v>叁亿肆仟贰佰玖拾贰万元整</v>
      </c>
      <c r="E123" s="3382"/>
      <c r="F123" s="3382"/>
      <c r="G123" s="3382"/>
      <c r="H123" s="3382"/>
      <c r="I123" s="3383"/>
      <c r="AA123" s="683"/>
    </row>
    <row r="124" spans="1:27" ht="18.75" customHeight="1">
      <c r="A124" s="3372" t="str">
        <f>IF(项目基本情况!B9="房地产市场价值","",MID(E109,3,LEN(E109)-2))</f>
        <v/>
      </c>
      <c r="B124" s="3372"/>
      <c r="C124" s="3372"/>
      <c r="D124" s="3405" t="str">
        <f>H109</f>
        <v>——</v>
      </c>
      <c r="E124" s="3406"/>
      <c r="F124" s="3406"/>
      <c r="G124" s="3406"/>
      <c r="H124" s="3406"/>
      <c r="I124" s="3407"/>
      <c r="AA124" s="683"/>
    </row>
    <row r="125" spans="1:27" ht="18.75" customHeight="1">
      <c r="A125" s="3341" t="s">
        <v>1444</v>
      </c>
      <c r="B125" s="3341"/>
      <c r="C125" s="3341"/>
      <c r="D125" s="3381" t="e">
        <f>NUMBERSTRING(INT(D124*10000),2)&amp;"元整"</f>
        <v>#VALUE!</v>
      </c>
      <c r="E125" s="3382"/>
      <c r="F125" s="3382"/>
      <c r="G125" s="3382"/>
      <c r="H125" s="3382"/>
      <c r="I125" s="3383"/>
      <c r="AA125" s="683"/>
    </row>
    <row r="126" spans="1:27" ht="18.75" customHeight="1">
      <c r="A126" s="3372" t="str">
        <f>IF(项目基本情况!B9="房地产市场价值","",MID(E111,3,LEN(E111)-2))</f>
        <v/>
      </c>
      <c r="B126" s="3372"/>
      <c r="C126" s="3372"/>
      <c r="D126" s="3405" t="str">
        <f>H111</f>
        <v>——</v>
      </c>
      <c r="E126" s="3406"/>
      <c r="F126" s="3406"/>
      <c r="G126" s="3406"/>
      <c r="H126" s="3406"/>
      <c r="I126" s="3407"/>
      <c r="AA126" s="683"/>
    </row>
    <row r="127" spans="1:27" ht="18.75" customHeight="1">
      <c r="A127" s="3341" t="s">
        <v>1444</v>
      </c>
      <c r="B127" s="3341"/>
      <c r="C127" s="3341"/>
      <c r="D127" s="3381" t="e">
        <f>NUMBERSTRING(INT(D126*10000),2)&amp;"元整"</f>
        <v>#VALUE!</v>
      </c>
      <c r="E127" s="3382"/>
      <c r="F127" s="3382"/>
      <c r="G127" s="3382"/>
      <c r="H127" s="3382"/>
      <c r="I127" s="3383"/>
      <c r="AA127" s="683"/>
    </row>
    <row r="128" spans="1:27" ht="21.75" customHeight="1">
      <c r="A128" s="3388" t="s">
        <v>1445</v>
      </c>
      <c r="B128" s="3388"/>
      <c r="C128" s="3388"/>
      <c r="D128" s="3388"/>
      <c r="E128" s="3388"/>
      <c r="F128" s="3388"/>
      <c r="G128" s="3388"/>
      <c r="H128" s="3388"/>
      <c r="I128" s="3388"/>
      <c r="AA128" s="683"/>
    </row>
    <row r="129" spans="1:35" ht="21.75" customHeight="1">
      <c r="A129" s="1689" t="s">
        <v>1446</v>
      </c>
      <c r="B129" s="1690"/>
      <c r="C129" s="1691" t="s">
        <v>1447</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1448</v>
      </c>
      <c r="G135" s="1704"/>
      <c r="H135" s="1704"/>
      <c r="I135" s="1705" t="s">
        <v>1449</v>
      </c>
    </row>
    <row r="136" spans="1:35" ht="21.75" customHeight="1">
      <c r="A136" s="683"/>
      <c r="B136" s="1706" t="s">
        <v>1450</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1451</v>
      </c>
    </row>
    <row r="139" spans="1:35" ht="21.75" customHeight="1">
      <c r="A139" s="683"/>
      <c r="B139" s="1706" t="s">
        <v>1452</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1451</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6" stopIfTrue="1" operator="equal">
      <formula>25</formula>
    </cfRule>
  </conditionalFormatting>
  <conditionalFormatting sqref="C8:D13">
    <cfRule type="cellIs" dxfId="134" priority="5" stopIfTrue="1" operator="equal">
      <formula>15</formula>
    </cfRule>
  </conditionalFormatting>
  <conditionalFormatting sqref="C14:D16">
    <cfRule type="cellIs" dxfId="133" priority="4"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topLeftCell="A4" workbookViewId="0">
      <selection activeCell="F27" sqref="F27"/>
    </sheetView>
  </sheetViews>
  <sheetFormatPr defaultRowHeight="13.5"/>
  <cols>
    <col min="1" max="1" width="19.125" style="2811" customWidth="1"/>
    <col min="2" max="2" width="12.875" style="2811" customWidth="1"/>
    <col min="3" max="3" width="14.875" style="2811" customWidth="1"/>
    <col min="4" max="4" width="20.875" style="2811" customWidth="1"/>
    <col min="5" max="5" width="17.25" style="2811" customWidth="1"/>
    <col min="6" max="6" width="14" style="2811" customWidth="1"/>
    <col min="7" max="16384" width="9" style="2811"/>
  </cols>
  <sheetData>
    <row r="2" spans="1:6">
      <c r="A2" s="3422" t="s">
        <v>3900</v>
      </c>
      <c r="B2" s="3422"/>
      <c r="C2" s="3422"/>
      <c r="D2" s="3422"/>
      <c r="E2" s="3422"/>
    </row>
    <row r="3" spans="1:6">
      <c r="A3" s="3218" t="s">
        <v>3901</v>
      </c>
      <c r="B3" s="3218" t="s">
        <v>3902</v>
      </c>
      <c r="C3" s="3218" t="s">
        <v>3903</v>
      </c>
      <c r="D3" s="3218" t="s">
        <v>3919</v>
      </c>
      <c r="E3" s="3218" t="s">
        <v>3904</v>
      </c>
    </row>
    <row r="4" spans="1:6">
      <c r="A4" s="3219">
        <v>44099</v>
      </c>
      <c r="B4" s="3151" t="s">
        <v>3905</v>
      </c>
      <c r="C4" s="3151" t="s">
        <v>3906</v>
      </c>
      <c r="D4" s="3220">
        <v>249600000</v>
      </c>
      <c r="E4" s="3151">
        <v>1</v>
      </c>
      <c r="F4" s="1419"/>
    </row>
    <row r="5" spans="1:6">
      <c r="A5" s="3219">
        <v>44101</v>
      </c>
      <c r="B5" s="3151" t="s">
        <v>3907</v>
      </c>
      <c r="C5" s="3151" t="s">
        <v>3906</v>
      </c>
      <c r="D5" s="3220">
        <v>124800000</v>
      </c>
      <c r="E5" s="3151">
        <v>2</v>
      </c>
      <c r="F5" s="1419"/>
    </row>
    <row r="6" spans="1:6">
      <c r="A6" s="3219">
        <v>44099</v>
      </c>
      <c r="B6" s="3151" t="s">
        <v>3908</v>
      </c>
      <c r="C6" s="3151" t="s">
        <v>3906</v>
      </c>
      <c r="D6" s="3220">
        <v>249600000</v>
      </c>
      <c r="E6" s="3151">
        <v>3</v>
      </c>
      <c r="F6" s="1419"/>
    </row>
    <row r="7" spans="1:6">
      <c r="A7" s="3219">
        <v>44099</v>
      </c>
      <c r="B7" s="3151" t="s">
        <v>3905</v>
      </c>
      <c r="C7" s="3151" t="s">
        <v>3909</v>
      </c>
      <c r="D7" s="3220">
        <v>931029519.25999999</v>
      </c>
      <c r="E7" s="3151">
        <v>4</v>
      </c>
      <c r="F7" s="1419"/>
    </row>
    <row r="8" spans="1:6">
      <c r="A8" s="3219">
        <v>44099</v>
      </c>
      <c r="B8" s="3151" t="s">
        <v>3908</v>
      </c>
      <c r="C8" s="3151" t="s">
        <v>3909</v>
      </c>
      <c r="D8" s="3220">
        <v>978798951.83000004</v>
      </c>
      <c r="E8" s="3151">
        <v>5</v>
      </c>
      <c r="F8" s="1419"/>
    </row>
    <row r="9" spans="1:6">
      <c r="A9" s="3219">
        <v>44103</v>
      </c>
      <c r="B9" s="3151" t="s">
        <v>3905</v>
      </c>
      <c r="C9" s="3151" t="s">
        <v>3909</v>
      </c>
      <c r="D9" s="3220">
        <v>59902581.740000002</v>
      </c>
      <c r="E9" s="3151">
        <v>6</v>
      </c>
      <c r="F9" s="1419"/>
    </row>
    <row r="10" spans="1:6">
      <c r="A10" s="3219">
        <v>44103</v>
      </c>
      <c r="B10" s="3151" t="s">
        <v>3907</v>
      </c>
      <c r="C10" s="3151" t="s">
        <v>3909</v>
      </c>
      <c r="D10" s="3220">
        <v>28332519.09</v>
      </c>
      <c r="E10" s="3151">
        <v>7</v>
      </c>
      <c r="F10" s="1419"/>
    </row>
    <row r="11" spans="1:6">
      <c r="A11" s="3219">
        <v>44103</v>
      </c>
      <c r="B11" s="3151" t="s">
        <v>3908</v>
      </c>
      <c r="C11" s="3151" t="s">
        <v>3909</v>
      </c>
      <c r="D11" s="3220">
        <v>62326299.170000002</v>
      </c>
      <c r="E11" s="3151">
        <v>8</v>
      </c>
      <c r="F11" s="1419"/>
    </row>
    <row r="12" spans="1:6">
      <c r="A12" s="3219">
        <v>44099</v>
      </c>
      <c r="B12" s="3151" t="s">
        <v>3907</v>
      </c>
      <c r="C12" s="3151" t="s">
        <v>3909</v>
      </c>
      <c r="D12" s="3220">
        <v>433610128.91000003</v>
      </c>
      <c r="E12" s="3151">
        <v>9</v>
      </c>
      <c r="F12" s="1419"/>
    </row>
    <row r="13" spans="1:6">
      <c r="A13" s="3219">
        <v>44144</v>
      </c>
      <c r="B13" s="3151" t="s">
        <v>3910</v>
      </c>
      <c r="C13" s="3151" t="s">
        <v>3911</v>
      </c>
      <c r="D13" s="3220">
        <v>93540000</v>
      </c>
      <c r="E13" s="3151">
        <v>10</v>
      </c>
      <c r="F13" s="1419"/>
    </row>
    <row r="14" spans="1:6">
      <c r="A14" s="3219">
        <v>44140</v>
      </c>
      <c r="B14" s="3151" t="s">
        <v>3910</v>
      </c>
      <c r="C14" s="3151" t="s">
        <v>3912</v>
      </c>
      <c r="D14" s="3220">
        <v>1559000</v>
      </c>
      <c r="E14" s="3151">
        <v>11</v>
      </c>
      <c r="F14" s="1419"/>
    </row>
    <row r="15" spans="1:6">
      <c r="A15" s="3219">
        <v>43865</v>
      </c>
      <c r="B15" s="3151" t="s">
        <v>3910</v>
      </c>
      <c r="C15" s="3151" t="s">
        <v>3913</v>
      </c>
      <c r="D15" s="3220">
        <v>96936418</v>
      </c>
      <c r="E15" s="3151">
        <v>12</v>
      </c>
      <c r="F15" s="1419"/>
    </row>
    <row r="16" spans="1:6">
      <c r="A16" s="3219">
        <v>43870</v>
      </c>
      <c r="B16" s="3151" t="s">
        <v>3910</v>
      </c>
      <c r="C16" s="3151" t="s">
        <v>3914</v>
      </c>
      <c r="D16" s="3220">
        <v>2908092.54</v>
      </c>
      <c r="E16" s="3151">
        <v>13</v>
      </c>
      <c r="F16" s="1419"/>
    </row>
    <row r="17" spans="1:10">
      <c r="A17" s="3219">
        <v>43868</v>
      </c>
      <c r="B17" s="3151" t="s">
        <v>3910</v>
      </c>
      <c r="C17" s="3151" t="s">
        <v>3915</v>
      </c>
      <c r="D17" s="3220">
        <v>48468.2</v>
      </c>
      <c r="E17" s="3151">
        <v>14</v>
      </c>
      <c r="F17" s="1419"/>
    </row>
    <row r="18" spans="1:10">
      <c r="D18" s="3221"/>
    </row>
    <row r="19" spans="1:10">
      <c r="C19" s="2811" t="s">
        <v>3916</v>
      </c>
      <c r="D19" s="3221">
        <f>SUM(D4:D12)</f>
        <v>3118000000</v>
      </c>
      <c r="E19" s="1419" t="s">
        <v>3920</v>
      </c>
    </row>
    <row r="20" spans="1:10">
      <c r="C20" s="1419" t="s">
        <v>3917</v>
      </c>
      <c r="D20" s="3221">
        <f>D19*3%</f>
        <v>93540000</v>
      </c>
      <c r="E20" s="1419" t="s">
        <v>3920</v>
      </c>
    </row>
    <row r="21" spans="1:10">
      <c r="C21" s="1419" t="s">
        <v>3918</v>
      </c>
      <c r="D21" s="2811">
        <f>D19*0.05%</f>
        <v>1559000</v>
      </c>
      <c r="E21" s="1419" t="s">
        <v>3920</v>
      </c>
    </row>
    <row r="22" spans="1:10">
      <c r="E22" s="1419"/>
    </row>
    <row r="24" spans="1:10">
      <c r="B24" s="1419" t="s">
        <v>3929</v>
      </c>
      <c r="C24" s="1419" t="s">
        <v>3930</v>
      </c>
      <c r="D24" s="1419" t="s">
        <v>3926</v>
      </c>
      <c r="E24" s="1419" t="s">
        <v>3931</v>
      </c>
      <c r="F24" s="1419" t="s">
        <v>3932</v>
      </c>
      <c r="G24" s="1419" t="s">
        <v>3926</v>
      </c>
      <c r="H24" s="1419" t="s">
        <v>3933</v>
      </c>
      <c r="J24" s="1419" t="s">
        <v>3934</v>
      </c>
    </row>
    <row r="25" spans="1:10">
      <c r="A25" s="1419" t="s">
        <v>3927</v>
      </c>
      <c r="B25" s="2811">
        <v>199025.13</v>
      </c>
      <c r="C25" s="2811">
        <v>0</v>
      </c>
      <c r="D25" s="2811">
        <f>B25+C25</f>
        <v>199025.13</v>
      </c>
      <c r="E25" s="2811">
        <f>774561400/10000</f>
        <v>77456.14</v>
      </c>
      <c r="F25" s="2811">
        <f>2343438600/10000</f>
        <v>234343.86</v>
      </c>
      <c r="G25" s="2811">
        <f>E25+F25</f>
        <v>311800</v>
      </c>
      <c r="J25" s="2811">
        <f>2100+4960</f>
        <v>7060</v>
      </c>
    </row>
    <row r="26" spans="1:10">
      <c r="A26" s="1419" t="s">
        <v>3928</v>
      </c>
      <c r="B26" s="2811">
        <v>198153.7</v>
      </c>
      <c r="C26" s="2811">
        <v>101498.88</v>
      </c>
      <c r="D26" s="2811">
        <f>B26+C26</f>
        <v>299652.58</v>
      </c>
      <c r="H26" s="2811">
        <v>9693.6417999999994</v>
      </c>
    </row>
    <row r="27" spans="1:10" ht="27">
      <c r="A27" s="3166" t="s">
        <v>3935</v>
      </c>
      <c r="B27" s="2811">
        <f>205213.7-J27</f>
        <v>198272.88</v>
      </c>
      <c r="C27" s="2811">
        <f>105092.84-19190.53</f>
        <v>85902.31</v>
      </c>
      <c r="D27" s="3222">
        <f>B27+C27</f>
        <v>284175.19</v>
      </c>
      <c r="J27" s="2811">
        <f>2014+4926.82</f>
        <v>6940.82</v>
      </c>
    </row>
    <row r="28" spans="1:10">
      <c r="G28" s="3222">
        <f>G25+H26</f>
        <v>321493.64179999998</v>
      </c>
    </row>
  </sheetData>
  <mergeCells count="1">
    <mergeCell ref="A2:E2"/>
  </mergeCells>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1453</v>
      </c>
      <c r="B1" s="1372"/>
      <c r="C1" s="189"/>
      <c r="D1" s="189"/>
      <c r="E1" s="189"/>
      <c r="F1" s="189"/>
      <c r="G1" s="1060">
        <f>MATCH(B1,'数据-取费表'!A6:A16,0)+5</f>
        <v>7</v>
      </c>
    </row>
    <row r="2" spans="1:9" s="191" customFormat="1" ht="18" customHeight="1">
      <c r="A2" s="192" t="s">
        <v>1454</v>
      </c>
      <c r="B2" s="193">
        <f ca="1">IF(D2="——",C52,C52-E2)</f>
        <v>39163</v>
      </c>
      <c r="C2" s="190" t="s">
        <v>1455</v>
      </c>
      <c r="D2" s="1709" t="s">
        <v>43</v>
      </c>
      <c r="E2" s="1087" t="e">
        <f ca="1">SUMIF(INDIRECT("'"&amp;G2&amp;"'"&amp;"!A:A"),"承租人权益价值",INDIRECT("'"&amp;G2&amp;"'"&amp;"!c:c"))</f>
        <v>#REF!</v>
      </c>
      <c r="F2" s="1710" t="s">
        <v>1455</v>
      </c>
      <c r="G2" s="1711"/>
    </row>
    <row r="3" spans="1:9" s="191" customFormat="1" ht="18" customHeight="1" thickBot="1">
      <c r="A3" s="194" t="s">
        <v>1456</v>
      </c>
      <c r="B3" s="195">
        <f ca="1">ROUND(B2*10000/(IF(B1="",'数据-汇总表'!E3,INDIRECT("'数据-取费表'!k"&amp;$G$1))),0)</f>
        <v>16320</v>
      </c>
      <c r="C3" s="190" t="s">
        <v>1457</v>
      </c>
      <c r="D3" s="190"/>
      <c r="E3" s="190"/>
      <c r="F3" s="190"/>
      <c r="G3" s="190"/>
    </row>
    <row r="4" spans="1:9" s="199" customFormat="1" ht="15.75">
      <c r="A4" s="196" t="s">
        <v>1458</v>
      </c>
      <c r="B4" s="197"/>
      <c r="C4" s="197"/>
      <c r="D4" s="197"/>
      <c r="E4" s="197"/>
      <c r="F4" s="197"/>
      <c r="G4" s="198"/>
    </row>
    <row r="5" spans="1:9" s="205" customFormat="1" ht="13.5" customHeight="1">
      <c r="A5" s="246" t="s">
        <v>1459</v>
      </c>
      <c r="B5" s="201" t="s">
        <v>1460</v>
      </c>
      <c r="C5" s="202">
        <f ca="1">C6+C7+C8</f>
        <v>18024</v>
      </c>
      <c r="D5" s="202" t="s">
        <v>1461</v>
      </c>
      <c r="E5" s="203" t="s">
        <v>1462</v>
      </c>
      <c r="F5" s="203" t="s">
        <v>1463</v>
      </c>
      <c r="G5" s="204"/>
    </row>
    <row r="6" spans="1:9" s="205" customFormat="1" ht="13.5" customHeight="1">
      <c r="A6" s="730" t="s">
        <v>1464</v>
      </c>
      <c r="B6" s="206" t="s">
        <v>1465</v>
      </c>
      <c r="C6" s="3227">
        <f>基准地价修正!B2</f>
        <v>17025</v>
      </c>
      <c r="D6" s="208"/>
      <c r="E6" s="209"/>
      <c r="F6" s="209"/>
      <c r="G6" s="210"/>
    </row>
    <row r="7" spans="1:9" s="205" customFormat="1" ht="13.5" customHeight="1">
      <c r="A7" s="730" t="s">
        <v>1466</v>
      </c>
      <c r="B7" s="206" t="s">
        <v>1467</v>
      </c>
      <c r="C7" s="211">
        <f>ROUND(C6*F7,0)</f>
        <v>519</v>
      </c>
      <c r="D7" s="211"/>
      <c r="E7" s="209"/>
      <c r="F7" s="212">
        <f>IF(项目基本情况!B8="出让",0,'数据-取费表'!B48+'数据-取费表'!B49)</f>
        <v>3.0499999999999999E-2</v>
      </c>
      <c r="G7" s="210"/>
    </row>
    <row r="8" spans="1:9" s="214" customFormat="1">
      <c r="A8" s="730" t="s">
        <v>1468</v>
      </c>
      <c r="B8" s="206" t="s">
        <v>1469</v>
      </c>
      <c r="C8" s="211">
        <f ca="1">IF(G8="已包含在土地购买价格中","0",IF(B1="",'数据-取费表'!B29,IF(G9="全部缴纳",C9+C10,H9)))</f>
        <v>480</v>
      </c>
      <c r="D8" s="213"/>
      <c r="E8" s="211"/>
      <c r="F8" s="212"/>
      <c r="G8" s="1712" t="s">
        <v>3786</v>
      </c>
    </row>
    <row r="9" spans="1:9" s="205" customFormat="1" ht="13.5" customHeight="1">
      <c r="A9" s="731" t="s">
        <v>355</v>
      </c>
      <c r="B9" s="215" t="s">
        <v>1470</v>
      </c>
      <c r="C9" s="216">
        <f ca="1">ROUND(D9*E9/10000,0)</f>
        <v>0</v>
      </c>
      <c r="D9" s="793">
        <f ca="1">IF(B1="",'数据-汇总表'!E5,IF(INDIRECT("'数据-取费表'!c"&amp;$G$1)="住宅",INDIRECT("'数据-取费表'!k"&amp;$G$1),0))</f>
        <v>0</v>
      </c>
      <c r="E9" s="216">
        <f>'数据-取费表'!B27</f>
        <v>160</v>
      </c>
      <c r="F9" s="212"/>
      <c r="G9" s="1713" t="s">
        <v>3787</v>
      </c>
      <c r="H9" s="1068"/>
      <c r="I9" s="1714" t="s">
        <v>1471</v>
      </c>
    </row>
    <row r="10" spans="1:9" s="205" customFormat="1" ht="13.5" customHeight="1">
      <c r="A10" s="731" t="s">
        <v>356</v>
      </c>
      <c r="B10" s="215" t="s">
        <v>1472</v>
      </c>
      <c r="C10" s="216">
        <f ca="1">ROUND(D10*E10/10000,0)</f>
        <v>480</v>
      </c>
      <c r="D10" s="793">
        <f ca="1">IF(B1="",'数据-汇总表'!E6,IF(INDIRECT("'数据-取费表'!c"&amp;$G$1)="住宅",INDIRECT("'数据-取费表'!s"&amp;$G$1),INDIRECT("'数据-取费表'!k"&amp;$G$1)+INDIRECT("'数据-取费表'!s"&amp;$G$1)))</f>
        <v>23997.3</v>
      </c>
      <c r="E10" s="216">
        <f>'数据-取费表'!B28</f>
        <v>200</v>
      </c>
      <c r="F10" s="212"/>
      <c r="G10" s="217"/>
    </row>
    <row r="11" spans="1:9" s="205" customFormat="1" ht="13.5" hidden="1" customHeight="1">
      <c r="A11" s="218" t="s">
        <v>4</v>
      </c>
      <c r="B11" s="206" t="s">
        <v>1473</v>
      </c>
      <c r="C11" s="202"/>
      <c r="D11" s="209"/>
      <c r="E11" s="209"/>
      <c r="F11" s="209"/>
      <c r="G11" s="210"/>
    </row>
    <row r="12" spans="1:9" s="205" customFormat="1" ht="13.5" hidden="1" customHeight="1">
      <c r="A12" s="218" t="s">
        <v>5</v>
      </c>
      <c r="B12" s="206" t="s">
        <v>1474</v>
      </c>
      <c r="C12" s="202">
        <v>0</v>
      </c>
      <c r="D12" s="209"/>
      <c r="E12" s="219"/>
      <c r="F12" s="212">
        <v>3.0499999999999999E-2</v>
      </c>
      <c r="G12" s="210"/>
    </row>
    <row r="13" spans="1:9" s="205" customFormat="1" ht="13.5" hidden="1" customHeight="1">
      <c r="A13" s="218" t="s">
        <v>6</v>
      </c>
      <c r="B13" s="206" t="s">
        <v>1475</v>
      </c>
      <c r="C13" s="202"/>
      <c r="D13" s="209"/>
      <c r="E13" s="209"/>
      <c r="F13" s="209"/>
      <c r="G13" s="210"/>
    </row>
    <row r="14" spans="1:9" s="205" customFormat="1" ht="13.5" hidden="1" customHeight="1">
      <c r="A14" s="218" t="s">
        <v>7</v>
      </c>
      <c r="B14" s="206" t="s">
        <v>1476</v>
      </c>
      <c r="C14" s="202"/>
      <c r="D14" s="209"/>
      <c r="E14" s="209"/>
      <c r="F14" s="209"/>
      <c r="G14" s="210" t="s">
        <v>1477</v>
      </c>
    </row>
    <row r="15" spans="1:9" s="205" customFormat="1" ht="13.5" hidden="1" customHeight="1">
      <c r="A15" s="218" t="s">
        <v>8</v>
      </c>
      <c r="B15" s="206" t="s">
        <v>1478</v>
      </c>
      <c r="C15" s="211"/>
      <c r="D15" s="209"/>
      <c r="E15" s="209"/>
      <c r="F15" s="209"/>
      <c r="G15" s="210" t="s">
        <v>1479</v>
      </c>
    </row>
    <row r="16" spans="1:9" s="205" customFormat="1" ht="13.5" hidden="1" customHeight="1">
      <c r="A16" s="218" t="s">
        <v>9</v>
      </c>
      <c r="B16" s="206" t="s">
        <v>1476</v>
      </c>
      <c r="C16" s="211"/>
      <c r="D16" s="209"/>
      <c r="E16" s="209"/>
      <c r="F16" s="209"/>
      <c r="G16" s="210"/>
    </row>
    <row r="17" spans="1:7" s="205" customFormat="1" ht="13.5" hidden="1" customHeight="1">
      <c r="A17" s="218" t="s">
        <v>10</v>
      </c>
      <c r="B17" s="206" t="s">
        <v>1480</v>
      </c>
      <c r="C17" s="220"/>
      <c r="D17" s="220"/>
      <c r="E17" s="220"/>
      <c r="F17" s="220"/>
      <c r="G17" s="210" t="s">
        <v>1479</v>
      </c>
    </row>
    <row r="18" spans="1:7" s="205" customFormat="1" ht="13.5" hidden="1" customHeight="1">
      <c r="A18" s="218" t="s">
        <v>11</v>
      </c>
      <c r="B18" s="206" t="s">
        <v>1481</v>
      </c>
      <c r="C18" s="211">
        <v>0</v>
      </c>
      <c r="D18" s="209"/>
      <c r="E18" s="209"/>
      <c r="F18" s="212">
        <v>3.0499999999999999E-2</v>
      </c>
      <c r="G18" s="210" t="s">
        <v>1482</v>
      </c>
    </row>
    <row r="19" spans="1:7" s="214" customFormat="1" ht="13.5" customHeight="1">
      <c r="A19" s="246" t="s">
        <v>1483</v>
      </c>
      <c r="B19" s="201" t="s">
        <v>1484</v>
      </c>
      <c r="C19" s="202" t="str">
        <f>IF(G19="已包含在土地取得成本中","0",ROUND(D19*E19/10000,0))</f>
        <v>0</v>
      </c>
      <c r="D19" s="203">
        <f ca="1">D9+D10</f>
        <v>23997.3</v>
      </c>
      <c r="E19" s="202">
        <f>'数据-取费表'!B31</f>
        <v>200</v>
      </c>
      <c r="F19" s="222"/>
      <c r="G19" s="1712" t="s">
        <v>3788</v>
      </c>
    </row>
    <row r="20" spans="1:7" s="205" customFormat="1" ht="13.5" customHeight="1">
      <c r="A20" s="246" t="s">
        <v>1485</v>
      </c>
      <c r="B20" s="201" t="s">
        <v>1486</v>
      </c>
      <c r="C20" s="223">
        <f ca="1">ROUND((C5+C19)*F20,0)</f>
        <v>541</v>
      </c>
      <c r="D20" s="223"/>
      <c r="E20" s="223"/>
      <c r="F20" s="224">
        <f>'数据-取费表'!B37</f>
        <v>0.03</v>
      </c>
      <c r="G20" s="225" t="s">
        <v>1487</v>
      </c>
    </row>
    <row r="21" spans="1:7" s="205" customFormat="1" ht="13.5" customHeight="1">
      <c r="A21" s="246" t="s">
        <v>1488</v>
      </c>
      <c r="B21" s="201" t="s">
        <v>1489</v>
      </c>
      <c r="C21" s="226">
        <f>F21</f>
        <v>0.03</v>
      </c>
      <c r="D21" s="227" t="s">
        <v>1490</v>
      </c>
      <c r="E21" s="223"/>
      <c r="F21" s="224">
        <f>'数据-取费表'!B38</f>
        <v>0.03</v>
      </c>
      <c r="G21" s="225" t="s">
        <v>1491</v>
      </c>
    </row>
    <row r="22" spans="1:7" s="205" customFormat="1" ht="13.5" customHeight="1">
      <c r="A22" s="246" t="s">
        <v>1492</v>
      </c>
      <c r="B22" s="201" t="s">
        <v>1493</v>
      </c>
      <c r="C22" s="1039">
        <f ca="1">ROUND(SUM(C23:C25),0)</f>
        <v>974</v>
      </c>
      <c r="D22" s="226">
        <f ca="1">C26</f>
        <v>8.0000000000000004E-4</v>
      </c>
      <c r="E22" s="227" t="s">
        <v>1490</v>
      </c>
      <c r="F22" s="228">
        <f ca="1">'数据-取费表'!B40</f>
        <v>3.1E-2</v>
      </c>
      <c r="G22" s="225" t="str">
        <f>IF('数据-取费表'!B22&lt;=1,"单利计息","复利计息")</f>
        <v>复利计息</v>
      </c>
    </row>
    <row r="23" spans="1:7" s="205" customFormat="1" ht="13.5" customHeight="1">
      <c r="A23" s="732" t="s">
        <v>1494</v>
      </c>
      <c r="B23" s="206" t="s">
        <v>1495</v>
      </c>
      <c r="C23" s="1040">
        <f ca="1">ROUND(IF('数据-取费表'!B22&lt;=1,C5*F22*'数据-取费表'!B23,C5*(POWER((1+F22),'数据-取费表'!B23)-1)),0)</f>
        <v>960</v>
      </c>
      <c r="D23" s="229"/>
      <c r="E23" s="229"/>
      <c r="F23" s="230"/>
      <c r="G23" s="231" t="s">
        <v>1496</v>
      </c>
    </row>
    <row r="24" spans="1:7" s="205" customFormat="1" ht="13.5" customHeight="1">
      <c r="A24" s="732" t="s">
        <v>1497</v>
      </c>
      <c r="B24" s="206" t="s">
        <v>1498</v>
      </c>
      <c r="C24" s="1040">
        <f ca="1">ROUND(IF('数据-取费表'!B22&lt;=1,C19*F22*('数据-取费表'!B19/2+'数据-取费表'!B21),C19*(POWER((1+F22),('数据-取费表'!B19/2+'数据-取费表'!B21))-1)),0)</f>
        <v>0</v>
      </c>
      <c r="D24" s="229"/>
      <c r="E24" s="229"/>
      <c r="F24" s="230"/>
      <c r="G24" s="231" t="s">
        <v>1499</v>
      </c>
    </row>
    <row r="25" spans="1:7" s="205" customFormat="1" ht="24">
      <c r="A25" s="732" t="s">
        <v>1500</v>
      </c>
      <c r="B25" s="206" t="s">
        <v>1501</v>
      </c>
      <c r="C25" s="1040">
        <f ca="1">ROUND(IF('数据-取费表'!B22&lt;=1,C20*F22*'数据-取费表'!B23/2,C20*(POWER((1+F22),'数据-取费表'!B23/2)-1)),0)</f>
        <v>14</v>
      </c>
      <c r="D25" s="229"/>
      <c r="E25" s="232"/>
      <c r="F25" s="230"/>
      <c r="G25" s="233" t="s">
        <v>1502</v>
      </c>
    </row>
    <row r="26" spans="1:7" s="205" customFormat="1">
      <c r="A26" s="732" t="s">
        <v>350</v>
      </c>
      <c r="B26" s="206" t="s">
        <v>1503</v>
      </c>
      <c r="C26" s="229">
        <f ca="1">ROUND(IF('数据-取费表'!B22&lt;=1,F21*F22*'数据-取费表'!B23/2,F21*(POWER((1+F22),'数据-取费表'!B23/2)-1)),4)</f>
        <v>8.0000000000000004E-4</v>
      </c>
      <c r="D26" s="229"/>
      <c r="E26" s="232"/>
      <c r="F26" s="230"/>
      <c r="G26" s="234"/>
    </row>
    <row r="27" spans="1:7" s="205" customFormat="1" ht="24.75">
      <c r="A27" s="246" t="s">
        <v>1504</v>
      </c>
      <c r="B27" s="235" t="s">
        <v>1505</v>
      </c>
      <c r="C27" s="236">
        <f ca="1">C28</f>
        <v>2367</v>
      </c>
      <c r="D27" s="226">
        <f ca="1">C29</f>
        <v>3.8E-3</v>
      </c>
      <c r="E27" s="227" t="s">
        <v>1506</v>
      </c>
      <c r="F27" s="237">
        <f ca="1">IF(B1="",'数据-取费表'!Q16,INDIRECT("'数据-取费表'!q"&amp;$G$1))</f>
        <v>0.15</v>
      </c>
      <c r="G27" s="238" t="s">
        <v>1507</v>
      </c>
    </row>
    <row r="28" spans="1:7" s="205" customFormat="1" ht="13.5" customHeight="1">
      <c r="A28" s="732" t="s">
        <v>346</v>
      </c>
      <c r="B28" s="239" t="s">
        <v>1508</v>
      </c>
      <c r="C28" s="240">
        <f ca="1">ROUND((C5+C19+C20)*F27*'数据-取费表'!B21/'数据-取费表'!B20,0)</f>
        <v>2367</v>
      </c>
      <c r="D28" s="226"/>
      <c r="E28" s="227"/>
      <c r="F28" s="237"/>
      <c r="G28" s="238"/>
    </row>
    <row r="29" spans="1:7" s="205" customFormat="1" ht="13.5" customHeight="1">
      <c r="A29" s="732" t="s">
        <v>347</v>
      </c>
      <c r="B29" s="239" t="s">
        <v>1509</v>
      </c>
      <c r="C29" s="229">
        <f ca="1">ROUND(C21*F27*'数据-取费表'!B21/'数据-取费表'!B20,4)</f>
        <v>3.8E-3</v>
      </c>
      <c r="D29" s="226"/>
      <c r="E29" s="227"/>
      <c r="F29" s="237"/>
      <c r="G29" s="238"/>
    </row>
    <row r="30" spans="1:7" s="205" customFormat="1" ht="13.5" customHeight="1">
      <c r="A30" s="246" t="s">
        <v>1510</v>
      </c>
      <c r="B30" s="201" t="s">
        <v>1511</v>
      </c>
      <c r="C30" s="226">
        <f>ROUND(F30/(1+'数据-取费表'!C42),4)</f>
        <v>5.2400000000000002E-2</v>
      </c>
      <c r="D30" s="227" t="s">
        <v>1506</v>
      </c>
      <c r="E30" s="232"/>
      <c r="F30" s="228">
        <f>'数据-取费表'!B41</f>
        <v>5.5000000000000007E-2</v>
      </c>
      <c r="G30" s="225" t="s">
        <v>1512</v>
      </c>
    </row>
    <row r="31" spans="1:7" ht="16.5" customHeight="1">
      <c r="A31" s="200">
        <v>1</v>
      </c>
      <c r="B31" s="201" t="s">
        <v>1513</v>
      </c>
      <c r="C31" s="202">
        <f ca="1">ROUND((C5+C19+C20+C22+C27)/(1-C21-D22-D27-C30),0)</f>
        <v>23993</v>
      </c>
      <c r="D31" s="221"/>
      <c r="E31" s="202"/>
      <c r="F31" s="241"/>
      <c r="G31" s="225" t="s">
        <v>1514</v>
      </c>
    </row>
    <row r="32" spans="1:7" s="199" customFormat="1" ht="15.75">
      <c r="A32" s="243" t="s">
        <v>1515</v>
      </c>
      <c r="B32" s="244"/>
      <c r="C32" s="244"/>
      <c r="D32" s="244"/>
      <c r="E32" s="244"/>
      <c r="F32" s="244"/>
      <c r="G32" s="245"/>
    </row>
    <row r="33" spans="1:7" s="205" customFormat="1" ht="13.5" customHeight="1">
      <c r="A33" s="246" t="s">
        <v>337</v>
      </c>
      <c r="B33" s="201" t="s">
        <v>1516</v>
      </c>
      <c r="C33" s="247">
        <f ca="1">SUM(C34:C38)</f>
        <v>11423</v>
      </c>
      <c r="D33" s="223"/>
      <c r="E33" s="203"/>
      <c r="F33" s="232"/>
      <c r="G33" s="225"/>
    </row>
    <row r="34" spans="1:7" s="249" customFormat="1" ht="13.5" customHeight="1">
      <c r="A34" s="732" t="s">
        <v>346</v>
      </c>
      <c r="B34" s="206" t="s">
        <v>1517</v>
      </c>
      <c r="C34" s="211">
        <f ca="1">IF(B1="",IF(F34=100%,'数据-取费表'!M16,'数据-取费表'!O16),IF(F34=100%,INDIRECT("'数据-取费表'!m"&amp;$G$1)+INDIRECT("'数据-取费表'!t"&amp;$G$1),INDIRECT("'数据-取费表'!o"&amp;$G$1)+INDIRECT("'数据-取费表'!aq"&amp;$G$1)))</f>
        <v>10199</v>
      </c>
      <c r="D34" s="208"/>
      <c r="E34" s="211"/>
      <c r="F34" s="248">
        <f ca="1">IF('数据-取费表'!B24=0,1,IF(B1="",'数据-取费表'!N16,INDIRECT("'数据-取费表'!n"&amp;$G$1)))</f>
        <v>0.85</v>
      </c>
      <c r="G34" s="210" t="s">
        <v>1518</v>
      </c>
    </row>
    <row r="35" spans="1:7" ht="13.5" customHeight="1">
      <c r="A35" s="732" t="s">
        <v>351</v>
      </c>
      <c r="B35" s="206" t="s">
        <v>1519</v>
      </c>
      <c r="C35" s="211">
        <f ca="1">ROUND(C34*F35,0)</f>
        <v>510</v>
      </c>
      <c r="D35" s="211"/>
      <c r="E35" s="211"/>
      <c r="F35" s="250">
        <f>'数据-取费表'!B33</f>
        <v>0.05</v>
      </c>
      <c r="G35" s="210" t="s">
        <v>1520</v>
      </c>
    </row>
    <row r="36" spans="1:7" ht="24">
      <c r="A36" s="732" t="s">
        <v>352</v>
      </c>
      <c r="B36" s="206" t="s">
        <v>1521</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1522</v>
      </c>
    </row>
    <row r="37" spans="1:7" s="249" customFormat="1" ht="13.5" customHeight="1">
      <c r="A37" s="732" t="s">
        <v>353</v>
      </c>
      <c r="B37" s="206" t="s">
        <v>1523</v>
      </c>
      <c r="C37" s="240">
        <f ca="1">ROUND(E37*D37*F34/10000,0)</f>
        <v>408</v>
      </c>
      <c r="D37" s="208">
        <f ca="1">D19</f>
        <v>23997.3</v>
      </c>
      <c r="E37" s="240">
        <f>'数据-取费表'!B35</f>
        <v>200</v>
      </c>
      <c r="F37" s="250"/>
      <c r="G37" s="252" t="s">
        <v>1524</v>
      </c>
    </row>
    <row r="38" spans="1:7" ht="13.5" customHeight="1">
      <c r="A38" s="732" t="s">
        <v>354</v>
      </c>
      <c r="B38" s="206" t="s">
        <v>1525</v>
      </c>
      <c r="C38" s="211">
        <f ca="1">ROUND(C34*F38,0)</f>
        <v>306</v>
      </c>
      <c r="D38" s="211"/>
      <c r="E38" s="211"/>
      <c r="F38" s="250">
        <f>'数据-取费表'!B36</f>
        <v>0.03</v>
      </c>
      <c r="G38" s="210" t="s">
        <v>1520</v>
      </c>
    </row>
    <row r="39" spans="1:7" s="205" customFormat="1" ht="13.5" customHeight="1">
      <c r="A39" s="246" t="s">
        <v>1526</v>
      </c>
      <c r="B39" s="201" t="s">
        <v>1527</v>
      </c>
      <c r="C39" s="223">
        <f ca="1">ROUND(C33*F20,0)</f>
        <v>343</v>
      </c>
      <c r="D39" s="223"/>
      <c r="E39" s="223"/>
      <c r="F39" s="224">
        <f>F20</f>
        <v>0.03</v>
      </c>
      <c r="G39" s="225" t="s">
        <v>1528</v>
      </c>
    </row>
    <row r="40" spans="1:7" s="205" customFormat="1" ht="13.5" customHeight="1">
      <c r="A40" s="246" t="s">
        <v>1529</v>
      </c>
      <c r="B40" s="201" t="s">
        <v>1530</v>
      </c>
      <c r="C40" s="226">
        <f>F21</f>
        <v>0.03</v>
      </c>
      <c r="D40" s="227" t="s">
        <v>1531</v>
      </c>
      <c r="E40" s="223"/>
      <c r="F40" s="224">
        <f>F21</f>
        <v>0.03</v>
      </c>
      <c r="G40" s="225" t="s">
        <v>1532</v>
      </c>
    </row>
    <row r="41" spans="1:7" s="205" customFormat="1" ht="13.5" customHeight="1">
      <c r="A41" s="246" t="s">
        <v>1533</v>
      </c>
      <c r="B41" s="201" t="s">
        <v>1534</v>
      </c>
      <c r="C41" s="223">
        <f ca="1">ROUND(SUM(C42:C43),0)</f>
        <v>309</v>
      </c>
      <c r="D41" s="226">
        <f ca="1">C44</f>
        <v>8.0000000000000004E-4</v>
      </c>
      <c r="E41" s="227" t="s">
        <v>1531</v>
      </c>
      <c r="F41" s="228">
        <f ca="1">F22</f>
        <v>3.1E-2</v>
      </c>
      <c r="G41" s="225" t="str">
        <f>IF('数据-取费表'!B22&lt;=1,"单利计息","复利计息")</f>
        <v>复利计息</v>
      </c>
    </row>
    <row r="42" spans="1:7" ht="13.5" customHeight="1">
      <c r="A42" s="732" t="s">
        <v>346</v>
      </c>
      <c r="B42" s="206" t="s">
        <v>1535</v>
      </c>
      <c r="C42" s="229">
        <f ca="1">ROUND(IF('数据-取费表'!B22&lt;=1,C33*F22*'数据-取费表'!B21/2,C33*(POWER((1+F22),'数据-取费表'!B21/2)-1)),0)</f>
        <v>300</v>
      </c>
      <c r="D42" s="229"/>
      <c r="E42" s="229"/>
      <c r="F42" s="230"/>
      <c r="G42" s="3423" t="s">
        <v>1536</v>
      </c>
    </row>
    <row r="43" spans="1:7" ht="13.5" customHeight="1">
      <c r="A43" s="732" t="s">
        <v>347</v>
      </c>
      <c r="B43" s="206" t="s">
        <v>1537</v>
      </c>
      <c r="C43" s="229">
        <f ca="1">ROUND(IF('数据-取费表'!B22&lt;=1,C39*F22*'数据-取费表'!B21/2,C39*(POWER((1+F22),'数据-取费表'!B21/2)-1)),0)</f>
        <v>9</v>
      </c>
      <c r="D43" s="229"/>
      <c r="E43" s="229"/>
      <c r="F43" s="230"/>
      <c r="G43" s="3424"/>
    </row>
    <row r="44" spans="1:7" ht="13.5" customHeight="1">
      <c r="A44" s="732" t="s">
        <v>348</v>
      </c>
      <c r="B44" s="206" t="s">
        <v>1538</v>
      </c>
      <c r="C44" s="229">
        <f ca="1">ROUND(IF('数据-取费表'!B22&lt;=1,C40*F22*'数据-取费表'!B21/2,C40*(POWER((1+F22),'数据-取费表'!B21/2)-1)),4)</f>
        <v>8.0000000000000004E-4</v>
      </c>
      <c r="D44" s="229"/>
      <c r="E44" s="229"/>
      <c r="F44" s="230"/>
      <c r="G44" s="3425"/>
    </row>
    <row r="45" spans="1:7" s="205" customFormat="1" ht="13.5" customHeight="1">
      <c r="A45" s="246" t="s">
        <v>1539</v>
      </c>
      <c r="B45" s="235" t="s">
        <v>1505</v>
      </c>
      <c r="C45" s="236">
        <f ca="1">C46</f>
        <v>1765</v>
      </c>
      <c r="D45" s="226">
        <f ca="1">C47</f>
        <v>4.4999999999999997E-3</v>
      </c>
      <c r="E45" s="227" t="s">
        <v>1531</v>
      </c>
      <c r="F45" s="237">
        <f ca="1">F27</f>
        <v>0.15</v>
      </c>
      <c r="G45" s="238" t="s">
        <v>1540</v>
      </c>
    </row>
    <row r="46" spans="1:7" s="205" customFormat="1" ht="13.5" customHeight="1">
      <c r="A46" s="732" t="s">
        <v>346</v>
      </c>
      <c r="B46" s="239" t="s">
        <v>1541</v>
      </c>
      <c r="C46" s="240">
        <f ca="1">ROUND((C33+C39)*F27,0)</f>
        <v>1765</v>
      </c>
      <c r="D46" s="254"/>
      <c r="E46" s="227"/>
      <c r="F46" s="237"/>
      <c r="G46" s="238"/>
    </row>
    <row r="47" spans="1:7" s="205" customFormat="1" ht="13.5" customHeight="1">
      <c r="A47" s="732" t="s">
        <v>347</v>
      </c>
      <c r="B47" s="239" t="s">
        <v>1542</v>
      </c>
      <c r="C47" s="229">
        <f ca="1">ROUND(C40*F27,4)</f>
        <v>4.4999999999999997E-3</v>
      </c>
      <c r="D47" s="254"/>
      <c r="E47" s="227"/>
      <c r="F47" s="237"/>
      <c r="G47" s="238"/>
    </row>
    <row r="48" spans="1:7" s="205" customFormat="1" ht="13.5" customHeight="1">
      <c r="A48" s="246" t="s">
        <v>1504</v>
      </c>
      <c r="B48" s="201" t="s">
        <v>1543</v>
      </c>
      <c r="C48" s="226">
        <f>ROUND(F30/(1+'数据-取费表'!C42),4)</f>
        <v>5.2400000000000002E-2</v>
      </c>
      <c r="D48" s="227" t="s">
        <v>1531</v>
      </c>
      <c r="E48" s="223"/>
      <c r="F48" s="228">
        <f>F30</f>
        <v>5.5000000000000007E-2</v>
      </c>
      <c r="G48" s="225" t="s">
        <v>1544</v>
      </c>
    </row>
    <row r="49" spans="1:7" ht="16.5" customHeight="1">
      <c r="A49" s="246" t="s">
        <v>1510</v>
      </c>
      <c r="B49" s="201" t="s">
        <v>1545</v>
      </c>
      <c r="C49" s="223">
        <f ca="1">ROUND((C33+C39+C41+C45)/(1-C40-D41-D45-C48),0)</f>
        <v>15170</v>
      </c>
      <c r="D49" s="223"/>
      <c r="E49" s="223"/>
      <c r="F49" s="255"/>
      <c r="G49" s="225" t="s">
        <v>1546</v>
      </c>
    </row>
    <row r="50" spans="1:7" s="249" customFormat="1" ht="24">
      <c r="A50" s="246" t="s">
        <v>1547</v>
      </c>
      <c r="B50" s="201" t="s">
        <v>1548</v>
      </c>
      <c r="C50" s="223"/>
      <c r="D50" s="223"/>
      <c r="E50" s="223"/>
      <c r="F50" s="255">
        <f>IF('数据-取费表'!B24=0,'数据-取费表'!N16,1)</f>
        <v>1</v>
      </c>
      <c r="G50" s="238" t="s">
        <v>1549</v>
      </c>
    </row>
    <row r="51" spans="1:7" ht="16.5" customHeight="1">
      <c r="A51" s="246" t="s">
        <v>1550</v>
      </c>
      <c r="B51" s="201" t="s">
        <v>1551</v>
      </c>
      <c r="C51" s="223">
        <f ca="1">ROUND(C49*F50,0)</f>
        <v>15170</v>
      </c>
      <c r="D51" s="223"/>
      <c r="E51" s="223"/>
      <c r="F51" s="255"/>
      <c r="G51" s="225" t="s">
        <v>1552</v>
      </c>
    </row>
    <row r="52" spans="1:7" s="199" customFormat="1" ht="16.5" thickBot="1">
      <c r="A52" s="256" t="s">
        <v>1553</v>
      </c>
      <c r="B52" s="257"/>
      <c r="C52" s="258">
        <f ca="1">C31+C51</f>
        <v>39163</v>
      </c>
      <c r="D52" s="257"/>
      <c r="E52" s="257"/>
      <c r="F52" s="257"/>
      <c r="G52" s="259"/>
    </row>
    <row r="55" spans="1:7" ht="15">
      <c r="B55" s="261" t="s">
        <v>1554</v>
      </c>
      <c r="C55" s="262"/>
    </row>
    <row r="56" spans="1:7">
      <c r="B56" s="264" t="s">
        <v>796</v>
      </c>
      <c r="C56" s="266">
        <f ca="1">1-C57</f>
        <v>0.61299999999999999</v>
      </c>
    </row>
    <row r="57" spans="1:7">
      <c r="B57" s="264" t="s">
        <v>797</v>
      </c>
      <c r="C57" s="265">
        <f ca="1">ROUND(C51/C52,3)</f>
        <v>0.38700000000000001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1453</v>
      </c>
      <c r="B1" s="1372"/>
      <c r="C1" s="1715" t="s">
        <v>1555</v>
      </c>
      <c r="D1" s="189"/>
      <c r="E1" s="189"/>
      <c r="F1" s="189"/>
      <c r="G1" s="1060">
        <f>MATCH(B1,'数据-取费表'!A6:A16,0)+5</f>
        <v>7</v>
      </c>
      <c r="H1" s="996" t="str">
        <f>IF(ISERROR(FIND("住宅",B1)),"非住宅","住宅")</f>
        <v>非住宅</v>
      </c>
    </row>
    <row r="2" spans="1:8" s="191" customFormat="1" ht="18" customHeight="1">
      <c r="A2" s="192" t="s">
        <v>1454</v>
      </c>
      <c r="B2" s="3119">
        <f ca="1">ROUND(IF(D2="——",C52/10000,C52/10000-E2),4)</f>
        <v>19234.0501</v>
      </c>
      <c r="C2" s="190" t="s">
        <v>1455</v>
      </c>
      <c r="D2" s="1709" t="s">
        <v>43</v>
      </c>
      <c r="E2" s="1087" t="e">
        <f ca="1">SUMIF(INDIRECT("'"&amp;G2&amp;"'"&amp;"!A:A"),"承租人权益价值",INDIRECT("'"&amp;G2&amp;"'"&amp;"!c:c"))</f>
        <v>#REF!</v>
      </c>
      <c r="F2" s="1710" t="s">
        <v>1455</v>
      </c>
      <c r="G2" s="1711"/>
    </row>
    <row r="3" spans="1:8" s="191" customFormat="1" ht="18" customHeight="1" thickBot="1">
      <c r="A3" s="194" t="s">
        <v>1456</v>
      </c>
      <c r="B3" s="195">
        <f ca="1">ROUND(B2*10000/(IF(B1="",'数据-汇总表'!E3,INDIRECT("'数据-取费表'!k"&amp;$G$1))),0)</f>
        <v>8015</v>
      </c>
      <c r="C3" s="190" t="s">
        <v>1457</v>
      </c>
      <c r="D3" s="190"/>
      <c r="E3" s="190"/>
      <c r="F3" s="190"/>
      <c r="G3" s="190"/>
    </row>
    <row r="4" spans="1:8" s="199" customFormat="1" ht="15.75">
      <c r="A4" s="196" t="s">
        <v>1458</v>
      </c>
      <c r="B4" s="197"/>
      <c r="C4" s="197"/>
      <c r="D4" s="197"/>
      <c r="E4" s="197"/>
      <c r="F4" s="197"/>
      <c r="G4" s="198"/>
    </row>
    <row r="5" spans="1:8" s="205" customFormat="1" ht="13.5" customHeight="1">
      <c r="A5" s="246" t="s">
        <v>1459</v>
      </c>
      <c r="B5" s="201" t="s">
        <v>1460</v>
      </c>
      <c r="C5" s="202">
        <f ca="1">C6+C7+C8</f>
        <v>4799460</v>
      </c>
      <c r="D5" s="202" t="s">
        <v>1461</v>
      </c>
      <c r="E5" s="203" t="s">
        <v>1462</v>
      </c>
      <c r="F5" s="203" t="s">
        <v>1463</v>
      </c>
      <c r="G5" s="204"/>
    </row>
    <row r="6" spans="1:8" s="205" customFormat="1" ht="13.5" customHeight="1">
      <c r="A6" s="730" t="s">
        <v>1464</v>
      </c>
      <c r="B6" s="206" t="s">
        <v>1465</v>
      </c>
      <c r="C6" s="207"/>
      <c r="D6" s="208"/>
      <c r="E6" s="209"/>
      <c r="F6" s="209"/>
      <c r="G6" s="210"/>
    </row>
    <row r="7" spans="1:8" s="205" customFormat="1" ht="13.5" customHeight="1">
      <c r="A7" s="730" t="s">
        <v>1466</v>
      </c>
      <c r="B7" s="206" t="s">
        <v>1467</v>
      </c>
      <c r="C7" s="211">
        <f>ROUND(C6*F7,0)</f>
        <v>0</v>
      </c>
      <c r="D7" s="211"/>
      <c r="E7" s="209"/>
      <c r="F7" s="212">
        <f>IF(项目基本情况!B8="出让",0,'数据-取费表'!B48+'数据-取费表'!B49)</f>
        <v>3.0499999999999999E-2</v>
      </c>
      <c r="G7" s="210"/>
    </row>
    <row r="8" spans="1:8" s="214" customFormat="1">
      <c r="A8" s="730" t="s">
        <v>1468</v>
      </c>
      <c r="B8" s="206" t="s">
        <v>1469</v>
      </c>
      <c r="C8" s="211">
        <f ca="1">IF(G8="已包含在土地购买价格中",0,C9+C10)</f>
        <v>4799460</v>
      </c>
      <c r="D8" s="213"/>
      <c r="E8" s="211"/>
      <c r="F8" s="212"/>
      <c r="G8" s="1712"/>
    </row>
    <row r="9" spans="1:8" s="205" customFormat="1" ht="13.5" customHeight="1">
      <c r="A9" s="731" t="s">
        <v>355</v>
      </c>
      <c r="B9" s="215" t="s">
        <v>1470</v>
      </c>
      <c r="C9" s="216">
        <f ca="1">ROUND(D9*E9,0)</f>
        <v>0</v>
      </c>
      <c r="D9" s="793">
        <f ca="1">IF(B1="",'数据-汇总表'!E5,IF(INDIRECT("'数据-取费表'!c"&amp;$G$1)="住宅",INDIRECT("'数据-取费表'!k"&amp;$G$1),0))</f>
        <v>0</v>
      </c>
      <c r="E9" s="216">
        <f>'数据-取费表'!B27</f>
        <v>160</v>
      </c>
      <c r="F9" s="212"/>
      <c r="G9" s="217"/>
    </row>
    <row r="10" spans="1:8" s="205" customFormat="1" ht="13.5" customHeight="1">
      <c r="A10" s="731" t="s">
        <v>356</v>
      </c>
      <c r="B10" s="215" t="s">
        <v>1472</v>
      </c>
      <c r="C10" s="216">
        <f ca="1">ROUND(D10*E10,0)</f>
        <v>4799460</v>
      </c>
      <c r="D10" s="793">
        <f ca="1">IF(B1="",'数据-汇总表'!E6,IF(INDIRECT("'数据-取费表'!c"&amp;$G$1)="住宅",INDIRECT("'数据-取费表'!s"&amp;$G$1),INDIRECT("'数据-取费表'!k"&amp;$G$1)+INDIRECT("'数据-取费表'!s"&amp;$G$1)))</f>
        <v>23997.3</v>
      </c>
      <c r="E10" s="216">
        <f>'数据-取费表'!B28</f>
        <v>200</v>
      </c>
      <c r="F10" s="212"/>
      <c r="G10" s="217"/>
    </row>
    <row r="11" spans="1:8" s="205" customFormat="1" ht="13.5" hidden="1" customHeight="1">
      <c r="A11" s="218" t="s">
        <v>4</v>
      </c>
      <c r="B11" s="206" t="s">
        <v>1473</v>
      </c>
      <c r="C11" s="202"/>
      <c r="D11" s="209"/>
      <c r="E11" s="209"/>
      <c r="F11" s="209"/>
      <c r="G11" s="210"/>
    </row>
    <row r="12" spans="1:8" s="205" customFormat="1" ht="13.5" hidden="1" customHeight="1">
      <c r="A12" s="218" t="s">
        <v>5</v>
      </c>
      <c r="B12" s="206" t="s">
        <v>1556</v>
      </c>
      <c r="C12" s="202">
        <v>0</v>
      </c>
      <c r="D12" s="209"/>
      <c r="E12" s="219"/>
      <c r="F12" s="212">
        <v>3.0499999999999999E-2</v>
      </c>
      <c r="G12" s="210"/>
    </row>
    <row r="13" spans="1:8" s="205" customFormat="1" ht="13.5" hidden="1" customHeight="1">
      <c r="A13" s="218" t="s">
        <v>6</v>
      </c>
      <c r="B13" s="206" t="s">
        <v>1557</v>
      </c>
      <c r="C13" s="202"/>
      <c r="D13" s="209"/>
      <c r="E13" s="209"/>
      <c r="F13" s="209"/>
      <c r="G13" s="210"/>
    </row>
    <row r="14" spans="1:8" s="205" customFormat="1" ht="13.5" hidden="1" customHeight="1">
      <c r="A14" s="218" t="s">
        <v>7</v>
      </c>
      <c r="B14" s="206" t="s">
        <v>1469</v>
      </c>
      <c r="C14" s="202"/>
      <c r="D14" s="209"/>
      <c r="E14" s="209"/>
      <c r="F14" s="209"/>
      <c r="G14" s="210" t="s">
        <v>1558</v>
      </c>
    </row>
    <row r="15" spans="1:8" s="205" customFormat="1" ht="13.5" hidden="1" customHeight="1">
      <c r="A15" s="218" t="s">
        <v>8</v>
      </c>
      <c r="B15" s="206" t="s">
        <v>1559</v>
      </c>
      <c r="C15" s="211"/>
      <c r="D15" s="209"/>
      <c r="E15" s="209"/>
      <c r="F15" s="209"/>
      <c r="G15" s="210" t="s">
        <v>1560</v>
      </c>
    </row>
    <row r="16" spans="1:8" s="205" customFormat="1" ht="13.5" hidden="1" customHeight="1">
      <c r="A16" s="218" t="s">
        <v>9</v>
      </c>
      <c r="B16" s="206" t="s">
        <v>1469</v>
      </c>
      <c r="C16" s="211"/>
      <c r="D16" s="209"/>
      <c r="E16" s="209"/>
      <c r="F16" s="209"/>
      <c r="G16" s="210"/>
    </row>
    <row r="17" spans="1:7" s="205" customFormat="1" ht="13.5" hidden="1" customHeight="1">
      <c r="A17" s="218" t="s">
        <v>10</v>
      </c>
      <c r="B17" s="206" t="s">
        <v>1561</v>
      </c>
      <c r="C17" s="220"/>
      <c r="D17" s="220"/>
      <c r="E17" s="220"/>
      <c r="F17" s="220"/>
      <c r="G17" s="210" t="s">
        <v>1560</v>
      </c>
    </row>
    <row r="18" spans="1:7" s="205" customFormat="1" ht="13.5" hidden="1" customHeight="1">
      <c r="A18" s="218" t="s">
        <v>11</v>
      </c>
      <c r="B18" s="206" t="s">
        <v>1562</v>
      </c>
      <c r="C18" s="211">
        <v>0</v>
      </c>
      <c r="D18" s="209"/>
      <c r="E18" s="209"/>
      <c r="F18" s="212">
        <v>3.0499999999999999E-2</v>
      </c>
      <c r="G18" s="210" t="s">
        <v>1563</v>
      </c>
    </row>
    <row r="19" spans="1:7" s="214" customFormat="1" ht="13.5" customHeight="1">
      <c r="A19" s="246" t="s">
        <v>1564</v>
      </c>
      <c r="B19" s="201" t="s">
        <v>1565</v>
      </c>
      <c r="C19" s="202">
        <f ca="1">IF(G19="已包含在土地取得成本中","0",ROUND(D19*E19,0))</f>
        <v>4799460</v>
      </c>
      <c r="D19" s="203">
        <f ca="1">D9+D10</f>
        <v>23997.3</v>
      </c>
      <c r="E19" s="202">
        <f>'数据-取费表'!B31</f>
        <v>200</v>
      </c>
      <c r="F19" s="222"/>
      <c r="G19" s="1712"/>
    </row>
    <row r="20" spans="1:7" s="205" customFormat="1" ht="13.5" customHeight="1">
      <c r="A20" s="246" t="s">
        <v>1566</v>
      </c>
      <c r="B20" s="201" t="s">
        <v>1567</v>
      </c>
      <c r="C20" s="223">
        <f ca="1">ROUND((C5+C19)*F20,0)</f>
        <v>287968</v>
      </c>
      <c r="D20" s="223"/>
      <c r="E20" s="223"/>
      <c r="F20" s="224">
        <f>'数据-取费表'!B37</f>
        <v>0.03</v>
      </c>
      <c r="G20" s="225" t="s">
        <v>1568</v>
      </c>
    </row>
    <row r="21" spans="1:7" s="205" customFormat="1" ht="13.5" customHeight="1">
      <c r="A21" s="246" t="s">
        <v>1569</v>
      </c>
      <c r="B21" s="201" t="s">
        <v>1570</v>
      </c>
      <c r="C21" s="226">
        <f>F21</f>
        <v>0.03</v>
      </c>
      <c r="D21" s="227" t="s">
        <v>1571</v>
      </c>
      <c r="E21" s="223"/>
      <c r="F21" s="224">
        <f>'数据-取费表'!B38</f>
        <v>0.03</v>
      </c>
      <c r="G21" s="225" t="s">
        <v>1572</v>
      </c>
    </row>
    <row r="22" spans="1:7" s="205" customFormat="1" ht="13.5" customHeight="1">
      <c r="A22" s="246" t="s">
        <v>1573</v>
      </c>
      <c r="B22" s="201" t="s">
        <v>1574</v>
      </c>
      <c r="C22" s="223">
        <f ca="1">ROUND(SUM(C23:C25),0)</f>
        <v>613285</v>
      </c>
      <c r="D22" s="226">
        <f ca="1">C26</f>
        <v>8.9999999999999998E-4</v>
      </c>
      <c r="E22" s="227" t="s">
        <v>1571</v>
      </c>
      <c r="F22" s="228">
        <f ca="1">'数据-取费表'!B40</f>
        <v>3.1E-2</v>
      </c>
      <c r="G22" s="225" t="str">
        <f>IF('数据-取费表'!B22&lt;=1,"单利计息","复利计息")</f>
        <v>复利计息</v>
      </c>
    </row>
    <row r="23" spans="1:7" s="205" customFormat="1" ht="13.5" customHeight="1">
      <c r="A23" s="732" t="s">
        <v>1464</v>
      </c>
      <c r="B23" s="206" t="s">
        <v>1575</v>
      </c>
      <c r="C23" s="229">
        <f ca="1">ROUND(IF('数据-取费表'!B22&lt;=1,C5*F22*'数据-取费表'!B22,C5*(POWER((1+F22),'数据-取费表'!B22)-1)),0)</f>
        <v>302179</v>
      </c>
      <c r="D23" s="229"/>
      <c r="E23" s="229"/>
      <c r="F23" s="230"/>
      <c r="G23" s="231" t="s">
        <v>1576</v>
      </c>
    </row>
    <row r="24" spans="1:7" s="205" customFormat="1" ht="13.5" customHeight="1">
      <c r="A24" s="732" t="s">
        <v>1466</v>
      </c>
      <c r="B24" s="206" t="s">
        <v>1577</v>
      </c>
      <c r="C24" s="229">
        <f ca="1">ROUND(IF('数据-取费表'!B22&lt;=1,C19*F22*('数据-取费表'!B19/2+'数据-取费表'!B20),C19*(POWER((1+F22),('数据-取费表'!B19/2+'数据-取费表'!B20))-1)),0)</f>
        <v>302179</v>
      </c>
      <c r="D24" s="229"/>
      <c r="E24" s="229"/>
      <c r="F24" s="230"/>
      <c r="G24" s="231" t="s">
        <v>1578</v>
      </c>
    </row>
    <row r="25" spans="1:7" s="205" customFormat="1" ht="24">
      <c r="A25" s="732" t="s">
        <v>1468</v>
      </c>
      <c r="B25" s="206" t="s">
        <v>1579</v>
      </c>
      <c r="C25" s="229">
        <f ca="1">ROUND(IF('数据-取费表'!B22&lt;=1,C20*F22*'数据-取费表'!B22/2,C20*(POWER((1+F22),'数据-取费表'!B22/2)-1)),0)</f>
        <v>8927</v>
      </c>
      <c r="D25" s="229"/>
      <c r="E25" s="232"/>
      <c r="F25" s="230"/>
      <c r="G25" s="233" t="s">
        <v>1580</v>
      </c>
    </row>
    <row r="26" spans="1:7" s="205" customFormat="1">
      <c r="A26" s="732" t="s">
        <v>350</v>
      </c>
      <c r="B26" s="206" t="s">
        <v>1503</v>
      </c>
      <c r="C26" s="229">
        <f ca="1">ROUND(IF('数据-取费表'!B22&lt;=1,F21*F22*'数据-取费表'!B22/2,F21*(POWER((1+F22),'数据-取费表'!B22/2)-1)),4)</f>
        <v>8.9999999999999998E-4</v>
      </c>
      <c r="D26" s="229"/>
      <c r="E26" s="232"/>
      <c r="F26" s="230"/>
      <c r="G26" s="234"/>
    </row>
    <row r="27" spans="1:7" s="205" customFormat="1" ht="24.75">
      <c r="A27" s="246" t="s">
        <v>1504</v>
      </c>
      <c r="B27" s="235" t="s">
        <v>1505</v>
      </c>
      <c r="C27" s="236">
        <f ca="1">C28</f>
        <v>1483033</v>
      </c>
      <c r="D27" s="226">
        <f ca="1">C29</f>
        <v>4.4999999999999997E-3</v>
      </c>
      <c r="E27" s="227" t="s">
        <v>1506</v>
      </c>
      <c r="F27" s="237">
        <f ca="1">IF(B1="",'数据-取费表'!Q16,INDIRECT("'数据-取费表'!q"&amp;$G$1))</f>
        <v>0.15</v>
      </c>
      <c r="G27" s="238" t="s">
        <v>1507</v>
      </c>
    </row>
    <row r="28" spans="1:7" s="205" customFormat="1" ht="13.5" customHeight="1">
      <c r="A28" s="732" t="s">
        <v>346</v>
      </c>
      <c r="B28" s="239" t="s">
        <v>1508</v>
      </c>
      <c r="C28" s="240">
        <f ca="1">ROUND((C5+C19+C20)*F27,0)</f>
        <v>1483033</v>
      </c>
      <c r="D28" s="226"/>
      <c r="E28" s="227"/>
      <c r="F28" s="237"/>
      <c r="G28" s="238"/>
    </row>
    <row r="29" spans="1:7" s="205" customFormat="1" ht="13.5" customHeight="1">
      <c r="A29" s="732" t="s">
        <v>347</v>
      </c>
      <c r="B29" s="239" t="s">
        <v>1509</v>
      </c>
      <c r="C29" s="229">
        <f ca="1">ROUND(C21*F27,4)</f>
        <v>4.4999999999999997E-3</v>
      </c>
      <c r="D29" s="226"/>
      <c r="E29" s="227"/>
      <c r="F29" s="237"/>
      <c r="G29" s="238"/>
    </row>
    <row r="30" spans="1:7" s="205" customFormat="1" ht="13.5" customHeight="1">
      <c r="A30" s="246" t="s">
        <v>1510</v>
      </c>
      <c r="B30" s="201" t="s">
        <v>1511</v>
      </c>
      <c r="C30" s="226">
        <f>ROUND(F30/(1+'数据-取费表'!C42),4)</f>
        <v>5.2400000000000002E-2</v>
      </c>
      <c r="D30" s="227" t="s">
        <v>1506</v>
      </c>
      <c r="E30" s="232"/>
      <c r="F30" s="228">
        <f>'数据-取费表'!B41</f>
        <v>5.5000000000000007E-2</v>
      </c>
      <c r="G30" s="225" t="s">
        <v>1512</v>
      </c>
    </row>
    <row r="31" spans="1:7" ht="16.5" customHeight="1">
      <c r="A31" s="200">
        <v>1</v>
      </c>
      <c r="B31" s="201" t="s">
        <v>1513</v>
      </c>
      <c r="C31" s="202">
        <f ca="1">ROUND((C5+C19+C20+C22+C27)/(1-C21-D22-D27-C30),0)</f>
        <v>13136599</v>
      </c>
      <c r="D31" s="221"/>
      <c r="E31" s="202"/>
      <c r="F31" s="241"/>
      <c r="G31" s="225" t="s">
        <v>1514</v>
      </c>
    </row>
    <row r="32" spans="1:7" s="199" customFormat="1" ht="15.75">
      <c r="A32" s="243" t="s">
        <v>1581</v>
      </c>
      <c r="B32" s="244"/>
      <c r="C32" s="244"/>
      <c r="D32" s="244"/>
      <c r="E32" s="244"/>
      <c r="F32" s="244"/>
      <c r="G32" s="245"/>
    </row>
    <row r="33" spans="1:7" s="205" customFormat="1" ht="13.5" customHeight="1">
      <c r="A33" s="246" t="s">
        <v>337</v>
      </c>
      <c r="B33" s="201" t="s">
        <v>1582</v>
      </c>
      <c r="C33" s="247">
        <f ca="1">SUM(C34:C38)</f>
        <v>134384880</v>
      </c>
      <c r="D33" s="223"/>
      <c r="E33" s="203"/>
      <c r="F33" s="232"/>
      <c r="G33" s="225"/>
    </row>
    <row r="34" spans="1:7" s="249" customFormat="1" ht="13.5" customHeight="1">
      <c r="A34" s="732" t="s">
        <v>346</v>
      </c>
      <c r="B34" s="206" t="s">
        <v>1517</v>
      </c>
      <c r="C34" s="211">
        <f ca="1">ROUND(IF(B1="",SUMPRODUCT('数据-取费表'!K6:K14,'数据-取费表'!L6:L14),INDIRECT("'数据-取费表'!l"&amp;$G$1)*INDIRECT("'数据-取费表'!k"&amp;$G$1)+'数据-取费表'!L14*INDIRECT("'数据-取费表'!S"&amp;$G$1)),0)</f>
        <v>119986500</v>
      </c>
      <c r="D34" s="208"/>
      <c r="E34" s="211"/>
      <c r="F34" s="248"/>
      <c r="G34" s="210"/>
    </row>
    <row r="35" spans="1:7" ht="13.5" customHeight="1">
      <c r="A35" s="732" t="s">
        <v>351</v>
      </c>
      <c r="B35" s="206" t="s">
        <v>1519</v>
      </c>
      <c r="C35" s="211">
        <f ca="1">ROUND(C34*F35,0)</f>
        <v>5999325</v>
      </c>
      <c r="D35" s="211"/>
      <c r="E35" s="211"/>
      <c r="F35" s="250">
        <f>'数据-取费表'!B33</f>
        <v>0.05</v>
      </c>
      <c r="G35" s="210" t="s">
        <v>1520</v>
      </c>
    </row>
    <row r="36" spans="1:7" ht="24">
      <c r="A36" s="732" t="s">
        <v>352</v>
      </c>
      <c r="B36" s="206" t="s">
        <v>1521</v>
      </c>
      <c r="C36" s="211">
        <f ca="1">ROUND(IF(B1="",SUM('数据-取费表'!AP6:AP13)*F36,IF(INDIRECT("'数据-取费表'!c"&amp;$G$1)="住宅",INDIRECT("'数据-取费表'!k"&amp;$G$1)*INDIRECT("'数据-取费表'!l"&amp;$G$1)*F36,0)),0)</f>
        <v>0</v>
      </c>
      <c r="D36" s="211"/>
      <c r="E36" s="211"/>
      <c r="F36" s="250">
        <f>'数据-取费表'!B34</f>
        <v>0</v>
      </c>
      <c r="G36" s="251" t="s">
        <v>1522</v>
      </c>
    </row>
    <row r="37" spans="1:7" s="249" customFormat="1" ht="13.5" customHeight="1">
      <c r="A37" s="732" t="s">
        <v>353</v>
      </c>
      <c r="B37" s="206" t="s">
        <v>1523</v>
      </c>
      <c r="C37" s="240">
        <f ca="1">ROUND(E37*D37,0)</f>
        <v>4799460</v>
      </c>
      <c r="D37" s="208">
        <f ca="1">D19</f>
        <v>23997.3</v>
      </c>
      <c r="E37" s="240">
        <f>'数据-取费表'!B35</f>
        <v>200</v>
      </c>
      <c r="F37" s="250"/>
      <c r="G37" s="252"/>
    </row>
    <row r="38" spans="1:7" ht="13.5" customHeight="1">
      <c r="A38" s="732" t="s">
        <v>354</v>
      </c>
      <c r="B38" s="206" t="s">
        <v>1525</v>
      </c>
      <c r="C38" s="211">
        <f ca="1">ROUND(C34*F38,0)</f>
        <v>3599595</v>
      </c>
      <c r="D38" s="211"/>
      <c r="E38" s="211"/>
      <c r="F38" s="250">
        <f>'数据-取费表'!B36</f>
        <v>0.03</v>
      </c>
      <c r="G38" s="210" t="s">
        <v>1520</v>
      </c>
    </row>
    <row r="39" spans="1:7" s="205" customFormat="1" ht="13.5" customHeight="1">
      <c r="A39" s="246" t="s">
        <v>1526</v>
      </c>
      <c r="B39" s="201" t="s">
        <v>1527</v>
      </c>
      <c r="C39" s="223">
        <f ca="1">ROUND(C33*F20,0)</f>
        <v>4031546</v>
      </c>
      <c r="D39" s="223"/>
      <c r="E39" s="223"/>
      <c r="F39" s="224">
        <f>F20</f>
        <v>0.03</v>
      </c>
      <c r="G39" s="225" t="s">
        <v>1528</v>
      </c>
    </row>
    <row r="40" spans="1:7" s="205" customFormat="1" ht="13.5" customHeight="1">
      <c r="A40" s="246" t="s">
        <v>1529</v>
      </c>
      <c r="B40" s="201" t="s">
        <v>1530</v>
      </c>
      <c r="C40" s="226">
        <f>F21</f>
        <v>0.03</v>
      </c>
      <c r="D40" s="227" t="s">
        <v>1531</v>
      </c>
      <c r="E40" s="223"/>
      <c r="F40" s="224">
        <f>F21</f>
        <v>0.03</v>
      </c>
      <c r="G40" s="225" t="s">
        <v>1532</v>
      </c>
    </row>
    <row r="41" spans="1:7" s="205" customFormat="1" ht="13.5" customHeight="1">
      <c r="A41" s="246" t="s">
        <v>1533</v>
      </c>
      <c r="B41" s="201" t="s">
        <v>1534</v>
      </c>
      <c r="C41" s="223">
        <f ca="1">ROUND(SUM(C42:C43),0)</f>
        <v>4290909</v>
      </c>
      <c r="D41" s="226">
        <f ca="1">C44</f>
        <v>8.9999999999999998E-4</v>
      </c>
      <c r="E41" s="227" t="s">
        <v>1531</v>
      </c>
      <c r="F41" s="228">
        <f ca="1">F22</f>
        <v>3.1E-2</v>
      </c>
      <c r="G41" s="225" t="str">
        <f>IF('数据-取费表'!B22&lt;=1,"单利计息","复利计息")</f>
        <v>复利计息</v>
      </c>
    </row>
    <row r="42" spans="1:7" ht="13.5" customHeight="1">
      <c r="A42" s="732" t="s">
        <v>346</v>
      </c>
      <c r="B42" s="206" t="s">
        <v>1535</v>
      </c>
      <c r="C42" s="229">
        <f ca="1">ROUND(IF('数据-取费表'!B22&lt;=1,C33*F22*'数据-取费表'!B20/2,C33*(POWER((1+F22),'数据-取费表'!B20/2)-1)),0)</f>
        <v>4165931</v>
      </c>
      <c r="D42" s="229"/>
      <c r="E42" s="229"/>
      <c r="F42" s="230"/>
      <c r="G42" s="3423" t="s">
        <v>1583</v>
      </c>
    </row>
    <row r="43" spans="1:7" ht="13.5" customHeight="1">
      <c r="A43" s="732" t="s">
        <v>347</v>
      </c>
      <c r="B43" s="206" t="s">
        <v>1537</v>
      </c>
      <c r="C43" s="229">
        <f ca="1">ROUND(IF('数据-取费表'!B22&lt;=1,C39*F22*'数据-取费表'!B20/2,C39*(POWER((1+F22),'数据-取费表'!B20/2)-1)),0)</f>
        <v>124978</v>
      </c>
      <c r="D43" s="229"/>
      <c r="E43" s="229"/>
      <c r="F43" s="230"/>
      <c r="G43" s="3424"/>
    </row>
    <row r="44" spans="1:7" ht="13.5" customHeight="1">
      <c r="A44" s="732" t="s">
        <v>348</v>
      </c>
      <c r="B44" s="206" t="s">
        <v>1538</v>
      </c>
      <c r="C44" s="229">
        <f ca="1">ROUND(IF('数据-取费表'!B22&lt;=1,C40*F22*'数据-取费表'!B20/2,C40*(POWER((1+F22),'数据-取费表'!B20/2)-1)),4)</f>
        <v>8.9999999999999998E-4</v>
      </c>
      <c r="D44" s="229"/>
      <c r="E44" s="229"/>
      <c r="F44" s="230"/>
      <c r="G44" s="3425"/>
    </row>
    <row r="45" spans="1:7" s="205" customFormat="1" ht="13.5" customHeight="1">
      <c r="A45" s="246" t="s">
        <v>1539</v>
      </c>
      <c r="B45" s="235" t="s">
        <v>1505</v>
      </c>
      <c r="C45" s="236">
        <f ca="1">C46</f>
        <v>20762464</v>
      </c>
      <c r="D45" s="226">
        <f ca="1">C47</f>
        <v>4.4999999999999997E-3</v>
      </c>
      <c r="E45" s="227" t="s">
        <v>1531</v>
      </c>
      <c r="F45" s="237">
        <f ca="1">F27</f>
        <v>0.15</v>
      </c>
      <c r="G45" s="238" t="s">
        <v>1540</v>
      </c>
    </row>
    <row r="46" spans="1:7" s="205" customFormat="1" ht="13.5" customHeight="1">
      <c r="A46" s="732" t="s">
        <v>346</v>
      </c>
      <c r="B46" s="239" t="s">
        <v>1541</v>
      </c>
      <c r="C46" s="240">
        <f ca="1">ROUND((C33+C39)*F27,0)</f>
        <v>20762464</v>
      </c>
      <c r="D46" s="254"/>
      <c r="E46" s="227"/>
      <c r="F46" s="237"/>
      <c r="G46" s="238"/>
    </row>
    <row r="47" spans="1:7" s="205" customFormat="1" ht="13.5" customHeight="1">
      <c r="A47" s="732" t="s">
        <v>347</v>
      </c>
      <c r="B47" s="239" t="s">
        <v>1542</v>
      </c>
      <c r="C47" s="229">
        <f ca="1">ROUND(C40*F27,4)</f>
        <v>4.4999999999999997E-3</v>
      </c>
      <c r="D47" s="254"/>
      <c r="E47" s="227"/>
      <c r="F47" s="237"/>
      <c r="G47" s="238"/>
    </row>
    <row r="48" spans="1:7" s="205" customFormat="1" ht="13.5" customHeight="1">
      <c r="A48" s="246" t="s">
        <v>1504</v>
      </c>
      <c r="B48" s="201" t="s">
        <v>1543</v>
      </c>
      <c r="C48" s="253">
        <f>ROUND(F30/(1+'数据-取费表'!C42),4)</f>
        <v>5.2400000000000002E-2</v>
      </c>
      <c r="D48" s="227" t="s">
        <v>1531</v>
      </c>
      <c r="E48" s="223"/>
      <c r="F48" s="228">
        <f>F30</f>
        <v>5.5000000000000007E-2</v>
      </c>
      <c r="G48" s="225" t="s">
        <v>1544</v>
      </c>
    </row>
    <row r="49" spans="1:7" ht="16.5" customHeight="1">
      <c r="A49" s="246" t="s">
        <v>1510</v>
      </c>
      <c r="B49" s="201" t="s">
        <v>1584</v>
      </c>
      <c r="C49" s="223">
        <f ca="1">ROUND((C33+C39+C41+C45)/(1-C40-D41-D45-C48),0)</f>
        <v>179203902</v>
      </c>
      <c r="D49" s="223"/>
      <c r="E49" s="223"/>
      <c r="F49" s="255"/>
      <c r="G49" s="225" t="s">
        <v>1546</v>
      </c>
    </row>
    <row r="50" spans="1:7" s="249" customFormat="1">
      <c r="A50" s="246" t="s">
        <v>1547</v>
      </c>
      <c r="B50" s="201" t="s">
        <v>1548</v>
      </c>
      <c r="C50" s="223"/>
      <c r="D50" s="223"/>
      <c r="E50" s="223"/>
      <c r="F50" s="255">
        <f>IF('数据-取费表'!B24=0,'数据-取费表'!N16,1)</f>
        <v>1</v>
      </c>
      <c r="G50" s="238"/>
    </row>
    <row r="51" spans="1:7" ht="16.5" customHeight="1">
      <c r="A51" s="246" t="s">
        <v>1550</v>
      </c>
      <c r="B51" s="201" t="s">
        <v>1585</v>
      </c>
      <c r="C51" s="223">
        <f ca="1">ROUND(C49*F50,0)</f>
        <v>179203902</v>
      </c>
      <c r="D51" s="223"/>
      <c r="E51" s="223"/>
      <c r="F51" s="255"/>
      <c r="G51" s="225" t="s">
        <v>1552</v>
      </c>
    </row>
    <row r="52" spans="1:7" s="199" customFormat="1" ht="16.5" thickBot="1">
      <c r="A52" s="256" t="s">
        <v>1553</v>
      </c>
      <c r="B52" s="257"/>
      <c r="C52" s="258">
        <f ca="1">C31+C51</f>
        <v>192340501</v>
      </c>
      <c r="D52" s="257"/>
      <c r="E52" s="257"/>
      <c r="F52" s="257"/>
      <c r="G52" s="259"/>
    </row>
    <row r="55" spans="1:7" ht="15">
      <c r="B55" s="261" t="s">
        <v>1554</v>
      </c>
      <c r="C55" s="262"/>
    </row>
    <row r="56" spans="1:7">
      <c r="B56" s="264" t="s">
        <v>796</v>
      </c>
      <c r="C56" s="266">
        <f ca="1">1-C57</f>
        <v>6.7999999999999949E-2</v>
      </c>
    </row>
    <row r="57" spans="1:7">
      <c r="B57" s="264" t="s">
        <v>797</v>
      </c>
      <c r="C57" s="265">
        <f ca="1">ROUND(C51/C52,3)</f>
        <v>0.93200000000000005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9" zoomScaleNormal="80" zoomScaleSheetLayoutView="100" workbookViewId="0">
      <selection activeCell="E42" activeCellId="1" sqref="E33 E42"/>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7" t="s">
        <v>1916</v>
      </c>
      <c r="B1" s="188"/>
      <c r="C1" s="192" t="s">
        <v>1917</v>
      </c>
      <c r="D1" s="332">
        <f>SUM(D33:D34,D37:D42)</f>
        <v>21279.739999999998</v>
      </c>
      <c r="E1" s="1840"/>
      <c r="F1" s="1840"/>
      <c r="G1" s="1840"/>
      <c r="H1" s="1840"/>
      <c r="I1" s="1840"/>
      <c r="J1" s="1840"/>
      <c r="K1" s="1054"/>
      <c r="L1" s="1841" t="s">
        <v>1918</v>
      </c>
      <c r="M1" s="808">
        <f>SUMPRODUCT((区片价!B5:B9=I2)*(区片价!C3:G3=E2)*(区片价!C5:G9))</f>
        <v>0</v>
      </c>
      <c r="N1" s="811">
        <f>SUMPRODUCT((因素修正幅度!B5:B9=I2)*(因素修正幅度!C3:G3=E2)*(因素修正幅度!C5:G9))</f>
        <v>0</v>
      </c>
      <c r="O1" s="1842"/>
      <c r="P1" s="1842"/>
      <c r="Q1" s="1054"/>
      <c r="R1" s="1127" t="s">
        <v>1919</v>
      </c>
      <c r="S1" s="1127" t="s">
        <v>1920</v>
      </c>
      <c r="T1" s="1127" t="s">
        <v>1921</v>
      </c>
      <c r="U1" s="1127" t="s">
        <v>1922</v>
      </c>
      <c r="V1" s="1127" t="s">
        <v>1923</v>
      </c>
      <c r="W1" s="1131"/>
      <c r="X1" s="1131"/>
      <c r="Y1" s="1131"/>
      <c r="Z1" s="1131"/>
      <c r="AA1" s="1131"/>
      <c r="AB1" s="1131"/>
      <c r="AC1" s="1132"/>
      <c r="AD1" s="1133"/>
      <c r="AE1" s="1133"/>
      <c r="AF1" s="1133"/>
      <c r="AG1" s="1133"/>
      <c r="AH1" s="1133"/>
      <c r="AI1" s="1133"/>
      <c r="AJ1" s="1134"/>
    </row>
    <row r="2" spans="1:36" ht="15.75">
      <c r="A2" s="192" t="s">
        <v>1924</v>
      </c>
      <c r="B2" s="195">
        <f>C30</f>
        <v>17025</v>
      </c>
      <c r="C2" s="1844" t="s">
        <v>1925</v>
      </c>
      <c r="D2" s="161" t="s">
        <v>1926</v>
      </c>
      <c r="E2" s="3117" t="s">
        <v>667</v>
      </c>
      <c r="F2" s="161" t="s">
        <v>1927</v>
      </c>
      <c r="G2" s="162" t="str">
        <f>IF(E2="商业",项目基本情况!B37,IF(E2="办公",项目基本情况!C37,IF(E2="住宅",项目基本情况!D37,IF(E2="工业",项目基本情况!E37,项目基本情况!F37))))</f>
        <v>七级</v>
      </c>
      <c r="H2" s="161" t="s">
        <v>1928</v>
      </c>
      <c r="I2" s="162" t="str">
        <f>IF(E2="商业",项目基本情况!B38,IF(E2="办公",项目基本情况!C38,IF(E2="住宅",项目基本情况!D38,IF(E2="工业",项目基本情况!E38,项目基本情况!F38))))</f>
        <v>Ⅶ-顺1</v>
      </c>
      <c r="J2" s="1840"/>
      <c r="K2" s="1054"/>
      <c r="L2" s="1845" t="s">
        <v>1929</v>
      </c>
      <c r="M2" s="809">
        <f>SUMPRODUCT((区片价!B10:B29=I2)*(区片价!C3:G3=E2)*(区片价!C10:G29))</f>
        <v>0</v>
      </c>
      <c r="N2" s="811">
        <f>SUMPRODUCT((因素修正幅度!B10:B29=I2)*(因素修正幅度!C3:G3=E2)*(因素修正幅度!C10:G29))</f>
        <v>0</v>
      </c>
      <c r="O2" s="1054"/>
      <c r="P2" s="1054"/>
      <c r="Q2" s="1054"/>
      <c r="R2" s="1127">
        <v>1</v>
      </c>
      <c r="S2" s="3060">
        <f>ROUND(SUMPRODUCT((B106:B110=R2)*(C105:N105=G2)*(C106:N110)),4)</f>
        <v>1.5019</v>
      </c>
      <c r="T2" s="3060">
        <f t="shared" ref="T2:T16" si="0">ROUND($C$5*$C$22*$C$23*$C$24*S2*$C$28,0)</f>
        <v>13837</v>
      </c>
      <c r="U2" s="1128">
        <f>ROUND(面积指标!B67/4,2)</f>
        <v>4558.7</v>
      </c>
      <c r="V2" s="3060">
        <f>ROUND(T2*U2/10000,0)</f>
        <v>6308</v>
      </c>
      <c r="W2" s="1131"/>
      <c r="X2" s="1131"/>
      <c r="Y2" s="1131"/>
      <c r="Z2" s="1131"/>
      <c r="AA2" s="1131"/>
      <c r="AB2" s="1131"/>
      <c r="AC2" s="1132"/>
      <c r="AD2" s="1133"/>
      <c r="AE2" s="1133"/>
      <c r="AF2" s="1133"/>
      <c r="AG2" s="1133"/>
      <c r="AH2" s="1133"/>
      <c r="AI2" s="1133"/>
      <c r="AJ2" s="1134"/>
    </row>
    <row r="3" spans="1:36" ht="15.75">
      <c r="A3" s="194" t="s">
        <v>1930</v>
      </c>
      <c r="B3" s="195">
        <f>ROUND(B2*10000/D1,0)</f>
        <v>8001</v>
      </c>
      <c r="C3" s="1844" t="s">
        <v>1931</v>
      </c>
      <c r="D3" s="161" t="s">
        <v>1932</v>
      </c>
      <c r="E3" s="3115" t="s">
        <v>2427</v>
      </c>
      <c r="F3" s="1846" t="s">
        <v>3889</v>
      </c>
      <c r="G3" s="706">
        <f>IF(F3="宗地容积率",'数据-汇总表'!I4,IF(F3="估价对象容积率",'数据-汇总表'!I6,'数据-汇总表'!I7))</f>
        <v>2.39</v>
      </c>
      <c r="H3" s="161" t="s">
        <v>1933</v>
      </c>
      <c r="I3" s="727"/>
      <c r="J3" s="1840" t="s">
        <v>1934</v>
      </c>
      <c r="K3" s="1054"/>
      <c r="L3" s="1845" t="s">
        <v>1935</v>
      </c>
      <c r="M3" s="809">
        <f>SUMPRODUCT((区片价!B30:B54=I2)*(区片价!C3:G3=E2)*(区片价!C30:G54))</f>
        <v>0</v>
      </c>
      <c r="N3" s="811">
        <f>SUMPRODUCT((因素修正幅度!B30:B54=I2)*(因素修正幅度!C3:G3=E2)*(因素修正幅度!C30:G54))</f>
        <v>0</v>
      </c>
      <c r="O3" s="1054"/>
      <c r="P3" s="1054"/>
      <c r="Q3" s="1054"/>
      <c r="R3" s="1127">
        <v>2</v>
      </c>
      <c r="S3" s="3060">
        <f>ROUND(SUMPRODUCT((B106:B110=R3)*(C105:N105=G2)*(C106:N110)),4)</f>
        <v>1.1838</v>
      </c>
      <c r="T3" s="3060">
        <f t="shared" si="0"/>
        <v>10906</v>
      </c>
      <c r="U3" s="1128">
        <f>U2</f>
        <v>4558.7</v>
      </c>
      <c r="V3" s="3060">
        <f t="shared" ref="V3:V16" si="1">ROUND(T3*U3/10000,0)</f>
        <v>4972</v>
      </c>
      <c r="W3" s="1131"/>
      <c r="X3" s="1131"/>
      <c r="Y3" s="1131"/>
      <c r="Z3" s="1131"/>
      <c r="AA3" s="1131"/>
      <c r="AB3" s="1131"/>
      <c r="AC3" s="1132"/>
      <c r="AD3" s="1133"/>
      <c r="AE3" s="1133"/>
      <c r="AF3" s="1133"/>
      <c r="AG3" s="1133"/>
      <c r="AH3" s="1133"/>
      <c r="AI3" s="1133"/>
      <c r="AJ3" s="1134"/>
    </row>
    <row r="4" spans="1:36" ht="15.75">
      <c r="A4" s="3433"/>
      <c r="B4" s="3434"/>
      <c r="C4" s="3434"/>
      <c r="D4" s="3435"/>
      <c r="E4" s="3435"/>
      <c r="F4" s="3435"/>
      <c r="G4" s="3435"/>
      <c r="H4" s="3435"/>
      <c r="I4" s="3435"/>
      <c r="J4" s="3436"/>
      <c r="K4" s="1054"/>
      <c r="L4" s="1845" t="s">
        <v>1936</v>
      </c>
      <c r="M4" s="809">
        <f>SUMPRODUCT((区片价!B55:B86=I2)*(区片价!C3:G3=E2)*(区片价!C55:G86))</f>
        <v>0</v>
      </c>
      <c r="N4" s="811">
        <f>SUMPRODUCT((因素修正幅度!B55:B86=I2)*(因素修正幅度!C3:G3=E2)*(因素修正幅度!C55:G86))</f>
        <v>0</v>
      </c>
      <c r="O4" s="1054"/>
      <c r="P4" s="1054"/>
      <c r="Q4" s="1054"/>
      <c r="R4" s="1127">
        <v>3</v>
      </c>
      <c r="S4" s="3060">
        <f>ROUND(SUMPRODUCT((B106:B110=R4)*(C105:N105=G2)*(C106:N110)),4)</f>
        <v>1.0004999999999999</v>
      </c>
      <c r="T4" s="3060">
        <f t="shared" si="0"/>
        <v>9218</v>
      </c>
      <c r="U4" s="1128">
        <f>U2</f>
        <v>4558.7</v>
      </c>
      <c r="V4" s="3060">
        <f t="shared" si="1"/>
        <v>4202</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1937</v>
      </c>
      <c r="C5" s="707">
        <f>ROUND(IF(E2="商业",C6*C7*C17+C20,(IF(E2="住宅",C6*C13*C17+C20,IF(E2="办公",C6*C12*C17+C20,C6+C20)))),0)</f>
        <v>9470</v>
      </c>
      <c r="D5" s="1250">
        <f>ROUND(C6*C17+C20,0)</f>
        <v>9470</v>
      </c>
      <c r="E5" s="1250"/>
      <c r="F5" s="1849"/>
      <c r="G5" s="1850"/>
      <c r="H5" s="1850"/>
      <c r="I5" s="1850"/>
      <c r="J5" s="1851"/>
      <c r="K5" s="1852"/>
      <c r="L5" s="1845" t="s">
        <v>1938</v>
      </c>
      <c r="M5" s="809">
        <f>SUMPRODUCT((区片价!B87:B126=I2)*(区片价!C3:G3=E2)*(区片价!C87:G126))</f>
        <v>0</v>
      </c>
      <c r="N5" s="811">
        <f>SUMPRODUCT((因素修正幅度!B87:B126=I2)*(因素修正幅度!C3:G3=E2)*(因素修正幅度!C87:G126))</f>
        <v>0</v>
      </c>
      <c r="O5" s="1054"/>
      <c r="P5" s="1054"/>
      <c r="Q5" s="1054"/>
      <c r="R5" s="1127">
        <v>4</v>
      </c>
      <c r="S5" s="3060">
        <f>ROUND(SUMPRODUCT((B106:B110=R5)*(C105:N105=G2)*(C106:N110)),4)</f>
        <v>0.88239999999999996</v>
      </c>
      <c r="T5" s="3060">
        <f t="shared" si="0"/>
        <v>8130</v>
      </c>
      <c r="U5" s="1128">
        <f>面积指标!B67-基准地价修正!U2-基准地价修正!U3-基准地价修正!U4</f>
        <v>4558.699999999998</v>
      </c>
      <c r="V5" s="3060">
        <f t="shared" si="1"/>
        <v>3706</v>
      </c>
      <c r="W5" s="1131"/>
      <c r="X5" s="1131"/>
      <c r="Y5" s="1131"/>
      <c r="Z5" s="1131"/>
      <c r="AA5" s="1131"/>
      <c r="AB5" s="1131"/>
      <c r="AC5" s="1853"/>
      <c r="AD5" s="1854"/>
      <c r="AE5" s="1854"/>
      <c r="AF5" s="1854"/>
      <c r="AG5" s="1854"/>
      <c r="AH5" s="1854"/>
      <c r="AI5" s="1854"/>
      <c r="AJ5" s="1855"/>
    </row>
    <row r="6" spans="1:36" ht="15.75" thickBot="1">
      <c r="A6" s="1857" t="s">
        <v>1939</v>
      </c>
      <c r="B6" s="1858" t="s">
        <v>1940</v>
      </c>
      <c r="C6" s="708">
        <f>SUMIF(L1:L12,G2,M1:M12)</f>
        <v>9470</v>
      </c>
      <c r="D6" s="1859"/>
      <c r="E6" s="1860"/>
      <c r="F6" s="1860"/>
      <c r="G6" s="1861"/>
      <c r="H6" s="1861"/>
      <c r="I6" s="1861"/>
      <c r="J6" s="1862"/>
      <c r="K6" s="1290"/>
      <c r="L6" s="1845" t="s">
        <v>1941</v>
      </c>
      <c r="M6" s="809">
        <f>SUMPRODUCT((区片价!B127:B189=I2)*(区片价!C3:G3=E2)*(区片价!C127:G189))</f>
        <v>0</v>
      </c>
      <c r="N6" s="811">
        <f>SUMPRODUCT((因素修正幅度!B127:B189=I2)*(因素修正幅度!C3:G3=E2)*(因素修正幅度!C127:G189))</f>
        <v>0</v>
      </c>
      <c r="O6" s="1054"/>
      <c r="P6" s="1054"/>
      <c r="Q6" s="1054"/>
      <c r="R6" s="1127">
        <v>5</v>
      </c>
      <c r="S6" s="3060">
        <f>ROUND(SUMPRODUCT((B106:B110=R6)*(C105:N105=G2)*(C106:N110)),4)</f>
        <v>0.84799999999999998</v>
      </c>
      <c r="T6" s="3060">
        <f t="shared" si="0"/>
        <v>7813</v>
      </c>
      <c r="U6" s="1128"/>
      <c r="V6" s="3060">
        <f t="shared" si="1"/>
        <v>0</v>
      </c>
      <c r="W6" s="1131"/>
      <c r="X6" s="1131"/>
      <c r="Y6" s="1131"/>
      <c r="Z6" s="1131"/>
      <c r="AA6" s="1131"/>
      <c r="AB6" s="1131"/>
      <c r="AC6" s="1853"/>
      <c r="AD6" s="1854"/>
      <c r="AE6" s="1854"/>
      <c r="AF6" s="1854"/>
      <c r="AG6" s="1854"/>
      <c r="AH6" s="1854"/>
      <c r="AI6" s="1854"/>
      <c r="AJ6" s="1855"/>
    </row>
    <row r="7" spans="1:36" ht="24.75" thickBot="1">
      <c r="A7" s="3010" t="s">
        <v>3225</v>
      </c>
      <c r="B7" s="1863" t="s">
        <v>1942</v>
      </c>
      <c r="C7" s="709">
        <f>IF(C8="不临65条商业街",1,ROUND(1+(1.6*E8+1.2*E9+0.8*E10+0.4*E11)*C9,4))</f>
        <v>1</v>
      </c>
      <c r="D7" s="1864" t="s">
        <v>1943</v>
      </c>
      <c r="E7" s="728"/>
      <c r="F7" s="1865"/>
      <c r="G7" s="1866"/>
      <c r="H7" s="1866"/>
      <c r="I7" s="1866"/>
      <c r="J7" s="1867"/>
      <c r="K7" s="1290"/>
      <c r="L7" s="1845" t="s">
        <v>1944</v>
      </c>
      <c r="M7" s="809">
        <f>SUMPRODUCT((区片价!B190:B233=I2)*(区片价!C3:G3=E2)*(区片价!C190:G233))</f>
        <v>9470</v>
      </c>
      <c r="N7" s="811">
        <f>SUMPRODUCT((因素修正幅度!B190:B233=I2)*(因素修正幅度!C3:G3=E2)*(因素修正幅度!C190:G233))</f>
        <v>0.13</v>
      </c>
      <c r="O7" s="1054"/>
      <c r="P7" s="1054"/>
      <c r="Q7" s="1054"/>
      <c r="R7" s="1127">
        <v>6</v>
      </c>
      <c r="S7" s="3114"/>
      <c r="T7" s="3060">
        <f t="shared" si="0"/>
        <v>0</v>
      </c>
      <c r="U7" s="1128"/>
      <c r="V7" s="3060">
        <f t="shared" si="1"/>
        <v>0</v>
      </c>
      <c r="W7" s="1265" t="s">
        <v>1945</v>
      </c>
      <c r="X7" s="1129" t="str">
        <f>G2</f>
        <v>七级</v>
      </c>
      <c r="Y7" s="1129" t="s">
        <v>1946</v>
      </c>
      <c r="Z7" s="1130">
        <f>G3</f>
        <v>2.39</v>
      </c>
      <c r="AA7" s="1131"/>
      <c r="AB7" s="1131"/>
      <c r="AC7" s="1132"/>
      <c r="AD7" s="1133"/>
      <c r="AE7" s="1133"/>
      <c r="AF7" s="1133"/>
      <c r="AG7" s="1133"/>
      <c r="AH7" s="1133"/>
      <c r="AI7" s="1133"/>
      <c r="AJ7" s="1134"/>
    </row>
    <row r="8" spans="1:36" ht="25.5">
      <c r="A8" s="3007"/>
      <c r="B8" s="161" t="s">
        <v>1947</v>
      </c>
      <c r="C8" s="1868" t="s">
        <v>3890</v>
      </c>
      <c r="D8" s="710" t="s">
        <v>112</v>
      </c>
      <c r="E8" s="711" t="e">
        <f>ROUND(C11/E7,4)</f>
        <v>#DIV/0!</v>
      </c>
      <c r="F8" s="1869" t="s">
        <v>1948</v>
      </c>
      <c r="G8" s="1870"/>
      <c r="H8" s="1870"/>
      <c r="I8" s="1870"/>
      <c r="J8" s="1871"/>
      <c r="K8" s="1054"/>
      <c r="L8" s="1845" t="s">
        <v>1949</v>
      </c>
      <c r="M8" s="809">
        <f>SUMPRODUCT((区片价!B234:B276=I2)*(区片价!C3:G3=E2)*(区片价!C234:G276))</f>
        <v>0</v>
      </c>
      <c r="N8" s="811">
        <f>SUMPRODUCT((因素修正幅度!B234:B276=I2)*(因素修正幅度!C3:G3=E2)*(因素修正幅度!C234:G276))</f>
        <v>0</v>
      </c>
      <c r="O8" s="1054"/>
      <c r="P8" s="1054"/>
      <c r="Q8" s="1054"/>
      <c r="R8" s="1127">
        <v>7</v>
      </c>
      <c r="S8" s="1128"/>
      <c r="T8" s="3060">
        <f t="shared" si="0"/>
        <v>0</v>
      </c>
      <c r="U8" s="1128"/>
      <c r="V8" s="3060">
        <f t="shared" si="1"/>
        <v>0</v>
      </c>
      <c r="W8" s="3430" t="s">
        <v>1950</v>
      </c>
      <c r="X8" s="3431"/>
      <c r="Y8" s="1135" t="s">
        <v>1951</v>
      </c>
      <c r="Z8" s="1135" t="s">
        <v>1952</v>
      </c>
      <c r="AA8" s="1135" t="s">
        <v>1953</v>
      </c>
      <c r="AB8" s="1135" t="s">
        <v>1954</v>
      </c>
      <c r="AC8" s="1135" t="s">
        <v>1955</v>
      </c>
      <c r="AD8" s="1135" t="s">
        <v>1956</v>
      </c>
      <c r="AE8" s="1135" t="s">
        <v>1957</v>
      </c>
      <c r="AF8" s="1135" t="s">
        <v>1958</v>
      </c>
      <c r="AG8" s="1135" t="s">
        <v>1959</v>
      </c>
      <c r="AH8" s="1135" t="s">
        <v>1960</v>
      </c>
      <c r="AI8" s="1135" t="s">
        <v>1961</v>
      </c>
      <c r="AJ8" s="1135" t="s">
        <v>1962</v>
      </c>
    </row>
    <row r="9" spans="1:36" ht="15">
      <c r="A9" s="3007"/>
      <c r="B9" s="161" t="s">
        <v>1963</v>
      </c>
      <c r="C9" s="712">
        <f>SUMIF(修正!C71:C138,C8,修正!E71:E138)</f>
        <v>0</v>
      </c>
      <c r="D9" s="162" t="s">
        <v>113</v>
      </c>
      <c r="E9" s="162" t="e">
        <f>ROUND(C11/E7,4)</f>
        <v>#DIV/0!</v>
      </c>
      <c r="F9" s="1869" t="s">
        <v>1964</v>
      </c>
      <c r="G9" s="1870"/>
      <c r="H9" s="1870"/>
      <c r="I9" s="1870"/>
      <c r="J9" s="1871"/>
      <c r="K9" s="1054"/>
      <c r="L9" s="1845" t="s">
        <v>1965</v>
      </c>
      <c r="M9" s="809">
        <f>SUMPRODUCT((区片价!B277:B326=I2)*(区片价!C3:G3=E2)*(区片价!C277:G326))</f>
        <v>0</v>
      </c>
      <c r="N9" s="811">
        <f>SUMPRODUCT((因素修正幅度!B277:B326=I2)*(因素修正幅度!C3:G3=E2)*(因素修正幅度!C277:G326))</f>
        <v>0</v>
      </c>
      <c r="O9" s="1054"/>
      <c r="P9" s="1054"/>
      <c r="Q9" s="1054"/>
      <c r="R9" s="1127">
        <v>8</v>
      </c>
      <c r="S9" s="1128"/>
      <c r="T9" s="3060">
        <f t="shared" si="0"/>
        <v>0</v>
      </c>
      <c r="U9" s="1128"/>
      <c r="V9" s="3060">
        <f t="shared" si="1"/>
        <v>0</v>
      </c>
      <c r="W9" s="3432"/>
      <c r="X9" s="3061" t="s">
        <v>3255</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7"/>
      <c r="B10" s="161" t="s">
        <v>1966</v>
      </c>
      <c r="C10" s="162">
        <f>SUMIF(修正!C71:C138,C8,修正!F71:F138)</f>
        <v>0</v>
      </c>
      <c r="D10" s="162" t="s">
        <v>114</v>
      </c>
      <c r="E10" s="162" t="e">
        <f>ROUND(C11/E7,4)</f>
        <v>#DIV/0!</v>
      </c>
      <c r="F10" s="1869" t="s">
        <v>1967</v>
      </c>
      <c r="G10" s="1870"/>
      <c r="H10" s="1870"/>
      <c r="I10" s="1870"/>
      <c r="J10" s="1871"/>
      <c r="K10" s="1054"/>
      <c r="L10" s="1845" t="s">
        <v>1968</v>
      </c>
      <c r="M10" s="809">
        <f>SUMPRODUCT((区片价!B327:B357=I2)*(区片价!C3:G3=E2)*(区片价!C327:G357))</f>
        <v>0</v>
      </c>
      <c r="N10" s="811">
        <f>SUMPRODUCT((因素修正幅度!B327:B357=I2)*(因素修正幅度!C3:G3=E2)*(因素修正幅度!C327:G357))</f>
        <v>0</v>
      </c>
      <c r="O10" s="1054"/>
      <c r="P10" s="1054"/>
      <c r="Q10" s="1054"/>
      <c r="R10" s="1127">
        <v>9</v>
      </c>
      <c r="S10" s="1128"/>
      <c r="T10" s="3060">
        <f t="shared" si="0"/>
        <v>0</v>
      </c>
      <c r="U10" s="1128"/>
      <c r="V10" s="3060">
        <f t="shared" si="1"/>
        <v>0</v>
      </c>
      <c r="W10" s="3432"/>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9"/>
      <c r="B11" s="1872" t="s">
        <v>1969</v>
      </c>
      <c r="C11" s="713">
        <f>C10/4</f>
        <v>0</v>
      </c>
      <c r="D11" s="713" t="s">
        <v>115</v>
      </c>
      <c r="E11" s="713" t="e">
        <f>ROUND(C11/E7,4)</f>
        <v>#DIV/0!</v>
      </c>
      <c r="F11" s="1873" t="s">
        <v>1970</v>
      </c>
      <c r="G11" s="1874"/>
      <c r="H11" s="1874"/>
      <c r="I11" s="1874"/>
      <c r="J11" s="1875"/>
      <c r="K11" s="1054"/>
      <c r="L11" s="1845" t="s">
        <v>1971</v>
      </c>
      <c r="M11" s="809">
        <f>SUMPRODUCT((区片价!B358:B377=I2)*(区片价!C3:G3=E2)*(区片价!C358:G377))</f>
        <v>0</v>
      </c>
      <c r="N11" s="811">
        <f>SUMPRODUCT((因素修正幅度!B358:B377=I2)*(因素修正幅度!C3:G3=E2)*(因素修正幅度!C358:G377))</f>
        <v>0</v>
      </c>
      <c r="O11" s="1054"/>
      <c r="P11" s="1054"/>
      <c r="Q11" s="1054"/>
      <c r="R11" s="1127">
        <v>10</v>
      </c>
      <c r="S11" s="1128"/>
      <c r="T11" s="3060">
        <f t="shared" si="0"/>
        <v>0</v>
      </c>
      <c r="U11" s="1128"/>
      <c r="V11" s="3060">
        <f t="shared" si="1"/>
        <v>0</v>
      </c>
      <c r="W11" s="1131"/>
      <c r="X11" s="1131"/>
      <c r="Y11" s="1131"/>
      <c r="Z11" s="1131"/>
      <c r="AA11" s="1131"/>
      <c r="AB11" s="1131"/>
      <c r="AC11" s="1132"/>
      <c r="AD11" s="2551"/>
      <c r="AE11" s="2551"/>
      <c r="AF11" s="2551"/>
      <c r="AG11" s="2551"/>
      <c r="AH11" s="2551"/>
      <c r="AI11" s="2551"/>
      <c r="AJ11" s="2552"/>
    </row>
    <row r="12" spans="1:36" ht="25.5" thickBot="1">
      <c r="A12" s="3010" t="s">
        <v>3226</v>
      </c>
      <c r="B12" s="3011" t="s">
        <v>3227</v>
      </c>
      <c r="C12" s="3012">
        <v>1</v>
      </c>
      <c r="D12" s="3013" t="s">
        <v>3228</v>
      </c>
      <c r="E12" s="3014" t="s">
        <v>3229</v>
      </c>
      <c r="F12" s="3015"/>
      <c r="G12" s="3016"/>
      <c r="H12" s="3016"/>
      <c r="I12" s="3016"/>
      <c r="J12" s="3017"/>
      <c r="K12" s="1054"/>
      <c r="L12" s="1794" t="s">
        <v>1974</v>
      </c>
      <c r="M12" s="810">
        <f>SUMPRODUCT((区片价!B378:B384=I2)*(区片价!C3:G3=E2)*(区片价!C378:G384))</f>
        <v>0</v>
      </c>
      <c r="N12" s="811">
        <f>SUMPRODUCT((因素修正幅度!B378:B384=I2)*(因素修正幅度!C3:G3=E2)*(因素修正幅度!C378:G384))</f>
        <v>0</v>
      </c>
      <c r="O12" s="1054"/>
      <c r="P12" s="1054"/>
      <c r="Q12" s="1054"/>
      <c r="R12" s="1127">
        <v>11</v>
      </c>
      <c r="S12" s="1128"/>
      <c r="T12" s="3060">
        <f t="shared" si="0"/>
        <v>0</v>
      </c>
      <c r="U12" s="1128"/>
      <c r="V12" s="3060">
        <f t="shared" si="1"/>
        <v>0</v>
      </c>
      <c r="W12" s="1131"/>
      <c r="X12" s="1131"/>
      <c r="Y12" s="1131"/>
      <c r="Z12" s="1131"/>
      <c r="AA12" s="1131"/>
      <c r="AB12" s="1131"/>
      <c r="AC12" s="1132"/>
      <c r="AD12" s="2551"/>
      <c r="AE12" s="2551"/>
      <c r="AF12" s="2551"/>
      <c r="AG12" s="2551"/>
      <c r="AH12" s="2551"/>
      <c r="AI12" s="2551"/>
      <c r="AJ12" s="2552"/>
    </row>
    <row r="13" spans="1:36" ht="15.75" thickBot="1">
      <c r="A13" s="3010" t="s">
        <v>3230</v>
      </c>
      <c r="B13" s="1876" t="s">
        <v>1972</v>
      </c>
      <c r="C13" s="709">
        <f>ROUND(C16*D16*E16*F16*G16*H16*I16*J16,4)</f>
        <v>0</v>
      </c>
      <c r="D13" s="1877" t="s">
        <v>1973</v>
      </c>
      <c r="E13" s="1878"/>
      <c r="F13" s="1878"/>
      <c r="G13" s="1879"/>
      <c r="H13" s="1879"/>
      <c r="I13" s="1879"/>
      <c r="J13" s="1880"/>
      <c r="K13" s="1054"/>
      <c r="L13" s="3"/>
      <c r="M13" s="4"/>
      <c r="N13" s="3008"/>
      <c r="O13" s="1054"/>
      <c r="P13" s="1054"/>
      <c r="Q13" s="1054"/>
      <c r="R13" s="1127">
        <v>12</v>
      </c>
      <c r="S13" s="1128"/>
      <c r="T13" s="3060">
        <f t="shared" si="0"/>
        <v>0</v>
      </c>
      <c r="U13" s="1128"/>
      <c r="V13" s="3060">
        <f t="shared" si="1"/>
        <v>0</v>
      </c>
      <c r="W13" s="1131"/>
      <c r="X13" s="1131"/>
      <c r="Y13" s="1131"/>
      <c r="Z13" s="1131"/>
      <c r="AA13" s="1131"/>
      <c r="AB13" s="1131"/>
      <c r="AC13" s="1132"/>
      <c r="AD13" s="2551"/>
      <c r="AE13" s="2551"/>
      <c r="AF13" s="2551"/>
      <c r="AG13" s="2551"/>
      <c r="AH13" s="2551"/>
      <c r="AI13" s="2551"/>
      <c r="AJ13" s="2552"/>
    </row>
    <row r="14" spans="1:36" ht="15">
      <c r="A14" s="3006"/>
      <c r="B14" s="1881" t="s">
        <v>1975</v>
      </c>
      <c r="C14" s="1882" t="s">
        <v>1976</v>
      </c>
      <c r="D14" s="1259" t="s">
        <v>1977</v>
      </c>
      <c r="E14" s="27" t="s">
        <v>1978</v>
      </c>
      <c r="F14" s="3018" t="s">
        <v>3231</v>
      </c>
      <c r="G14" s="3018" t="s">
        <v>3231</v>
      </c>
      <c r="H14" s="3018" t="s">
        <v>3231</v>
      </c>
      <c r="I14" s="3018" t="s">
        <v>3231</v>
      </c>
      <c r="J14" s="3018" t="s">
        <v>3231</v>
      </c>
      <c r="K14" s="1054"/>
      <c r="L14" s="1054"/>
      <c r="M14" s="1054"/>
      <c r="N14" s="1054"/>
      <c r="O14" s="1054"/>
      <c r="P14" s="1054"/>
      <c r="Q14" s="1054"/>
      <c r="R14" s="1127">
        <v>13</v>
      </c>
      <c r="S14" s="1128"/>
      <c r="T14" s="3060">
        <f t="shared" si="0"/>
        <v>0</v>
      </c>
      <c r="U14" s="1128"/>
      <c r="V14" s="3060">
        <f t="shared" si="1"/>
        <v>0</v>
      </c>
      <c r="W14" s="1131"/>
      <c r="X14" s="1131"/>
      <c r="Y14" s="1131"/>
      <c r="Z14" s="1131"/>
      <c r="AA14" s="1131"/>
      <c r="AB14" s="1131"/>
      <c r="AC14" s="1132"/>
      <c r="AD14" s="2551"/>
      <c r="AE14" s="2551"/>
      <c r="AF14" s="2551"/>
      <c r="AG14" s="2551"/>
      <c r="AH14" s="2551"/>
      <c r="AI14" s="2551"/>
      <c r="AJ14" s="2552"/>
    </row>
    <row r="15" spans="1:36" ht="15">
      <c r="A15" s="3006"/>
      <c r="B15" s="1883"/>
      <c r="C15" s="1884"/>
      <c r="D15" s="1885"/>
      <c r="E15" s="1886"/>
      <c r="F15" s="1468" t="s">
        <v>3232</v>
      </c>
      <c r="G15" s="1926"/>
      <c r="H15" s="3019"/>
      <c r="I15" s="3020"/>
      <c r="J15" s="3021"/>
      <c r="K15" s="1054"/>
      <c r="L15" s="1054"/>
      <c r="M15" s="1054"/>
      <c r="N15" s="1054"/>
      <c r="O15" s="1054"/>
      <c r="P15" s="1054"/>
      <c r="Q15" s="1054"/>
      <c r="R15" s="1127">
        <v>14</v>
      </c>
      <c r="S15" s="1128"/>
      <c r="T15" s="3060">
        <f t="shared" si="0"/>
        <v>0</v>
      </c>
      <c r="U15" s="1128"/>
      <c r="V15" s="3060">
        <f t="shared" si="1"/>
        <v>0</v>
      </c>
      <c r="W15" s="1131"/>
      <c r="X15" s="1131"/>
      <c r="Y15" s="1131"/>
      <c r="Z15" s="1131"/>
      <c r="AA15" s="1131"/>
      <c r="AB15" s="1131"/>
      <c r="AC15" s="1132"/>
      <c r="AD15" s="2551"/>
      <c r="AE15" s="2551"/>
      <c r="AF15" s="2551"/>
      <c r="AG15" s="2551"/>
      <c r="AH15" s="2551"/>
      <c r="AI15" s="2551"/>
      <c r="AJ15" s="2552"/>
    </row>
    <row r="16" spans="1:36" ht="15.75" thickBot="1">
      <c r="A16" s="3006"/>
      <c r="B16" s="3024" t="s">
        <v>1979</v>
      </c>
      <c r="C16" s="3022"/>
      <c r="D16" s="3022"/>
      <c r="E16" s="3022"/>
      <c r="F16" s="3022">
        <v>1</v>
      </c>
      <c r="G16" s="3022">
        <v>1</v>
      </c>
      <c r="H16" s="3022">
        <v>1</v>
      </c>
      <c r="I16" s="3022">
        <v>1</v>
      </c>
      <c r="J16" s="3023">
        <v>1</v>
      </c>
      <c r="K16" s="1054"/>
      <c r="L16" s="1842"/>
      <c r="M16" s="1842"/>
      <c r="N16" s="1842"/>
      <c r="O16" s="1842"/>
      <c r="P16" s="1842"/>
      <c r="Q16" s="1054"/>
      <c r="R16" s="1127">
        <v>15</v>
      </c>
      <c r="S16" s="1128"/>
      <c r="T16" s="3060">
        <f t="shared" si="0"/>
        <v>0</v>
      </c>
      <c r="U16" s="1128"/>
      <c r="V16" s="3060">
        <f t="shared" si="1"/>
        <v>0</v>
      </c>
      <c r="W16" s="1131"/>
      <c r="X16" s="1131"/>
      <c r="Y16" s="1131"/>
      <c r="Z16" s="1131"/>
      <c r="AA16" s="1131"/>
      <c r="AB16" s="1131"/>
      <c r="AC16" s="1132"/>
      <c r="AD16" s="2551"/>
      <c r="AE16" s="2551"/>
      <c r="AF16" s="2551"/>
      <c r="AG16" s="2551"/>
      <c r="AH16" s="2551"/>
      <c r="AI16" s="2551"/>
      <c r="AJ16" s="2552"/>
    </row>
    <row r="17" spans="1:37">
      <c r="A17" s="3032" t="s">
        <v>3233</v>
      </c>
      <c r="B17" s="3025" t="s">
        <v>3234</v>
      </c>
      <c r="C17" s="3033">
        <f>ROUND(IF(OR(E2="工业",E2="公共服务"),1,IF(AND(E18=0,E19=0),1,IF(AND(E18=J24,E19=G19),0.8,IF(E19=0,1+E17*(-0.2),1+E17*G17*(-0.2))))),4)</f>
        <v>1</v>
      </c>
      <c r="D17" s="3026" t="s">
        <v>3235</v>
      </c>
      <c r="E17" s="3033">
        <f>ROUND(G18/I18,2)</f>
        <v>0</v>
      </c>
      <c r="F17" s="3026" t="s">
        <v>3238</v>
      </c>
      <c r="G17" s="3033" t="e">
        <f>ROUND(E19/G19,2)</f>
        <v>#DIV/0!</v>
      </c>
      <c r="H17" s="3033"/>
      <c r="I17" s="3033"/>
      <c r="J17" s="3034"/>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5"/>
      <c r="B18" s="2307"/>
      <c r="C18" s="3031"/>
      <c r="D18" s="3027" t="s">
        <v>3236</v>
      </c>
      <c r="E18" s="2354"/>
      <c r="F18" s="3028" t="s">
        <v>3239</v>
      </c>
      <c r="G18" s="3031">
        <f>ROUND(1-(1/(POWER(1+G24,E18))),4)</f>
        <v>0</v>
      </c>
      <c r="H18" s="3028" t="s">
        <v>3241</v>
      </c>
      <c r="I18" s="3031">
        <f>ROUND(1-(1/(POWER(1+G24,J24))),4)</f>
        <v>0.88249999999999995</v>
      </c>
      <c r="J18" s="3036"/>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50"/>
    </row>
    <row r="19" spans="1:37" s="1856" customFormat="1" ht="15" thickBot="1">
      <c r="A19" s="3037"/>
      <c r="B19" s="3038"/>
      <c r="C19" s="3039"/>
      <c r="D19" s="3039" t="s">
        <v>3237</v>
      </c>
      <c r="E19" s="3040"/>
      <c r="F19" s="3041" t="s">
        <v>3240</v>
      </c>
      <c r="G19" s="3040"/>
      <c r="H19" s="3039"/>
      <c r="I19" s="3039"/>
      <c r="J19" s="3042"/>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3"/>
      <c r="AH19" s="1978"/>
      <c r="AI19" s="560"/>
      <c r="AJ19" s="560"/>
      <c r="AK19" s="1897"/>
    </row>
    <row r="20" spans="1:37" s="1856" customFormat="1" ht="14.25">
      <c r="A20" s="3437" t="s">
        <v>3242</v>
      </c>
      <c r="B20" s="158" t="s">
        <v>1984</v>
      </c>
      <c r="C20" s="3229">
        <f>ROUND(IF(F21="与级别开发程度一致",0,(G21-E21)/C21),0)</f>
        <v>0</v>
      </c>
      <c r="D20" s="3043" t="s">
        <v>1988</v>
      </c>
      <c r="E20" s="3044"/>
      <c r="F20" s="3443" t="s">
        <v>1985</v>
      </c>
      <c r="G20" s="3444"/>
      <c r="H20" s="3029" t="s">
        <v>3891</v>
      </c>
      <c r="I20" s="3029" t="s">
        <v>3892</v>
      </c>
      <c r="J20" s="3030" t="s">
        <v>3975</v>
      </c>
      <c r="K20" s="1887" t="s">
        <v>3893</v>
      </c>
      <c r="L20" s="1887" t="s">
        <v>3894</v>
      </c>
      <c r="M20" s="1887" t="s">
        <v>3895</v>
      </c>
      <c r="N20" s="1887" t="s">
        <v>3896</v>
      </c>
      <c r="O20" s="1888" t="s">
        <v>3897</v>
      </c>
      <c r="P20" s="1842"/>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6" customFormat="1" ht="26.25" thickBot="1">
      <c r="A21" s="3438"/>
      <c r="B21" s="2000" t="s">
        <v>1987</v>
      </c>
      <c r="C21" s="2001">
        <f>IF(E3="M4科研用地",SUMPRODUCT((修正!A2:A7=E3)*(修正!B1:M1=G2)*(修正!B2:M7)),SUMPRODUCT((修正!A2:A7=E2)*(修正!B1:M1=G2)*(修正!B2:M7)))</f>
        <v>2.5</v>
      </c>
      <c r="D21" s="178" t="str">
        <f>IF(OR(G2="八级",G2="九级",G2="十级",G2="十一级",G2="十二级"),"五通一平","七通一平")</f>
        <v>七通一平</v>
      </c>
      <c r="E21" s="1991">
        <f>SUMPRODUCT((修正!B1:M1=G2)*(修正!B17:M17))</f>
        <v>315</v>
      </c>
      <c r="F21" s="1992" t="s">
        <v>3977</v>
      </c>
      <c r="G21" s="1993">
        <f>SUM(H21:O21)</f>
        <v>315</v>
      </c>
      <c r="H21" s="2001">
        <f>SUMPRODUCT((七通一平=H20)*(修正!B1:M1=G2)*(修正!B8:M16))</f>
        <v>70</v>
      </c>
      <c r="I21" s="2001">
        <f>SUMPRODUCT((七通一平=I20)*(修正!B1:M1=G2)*(修正!B8:M16))</f>
        <v>60</v>
      </c>
      <c r="J21" s="2002">
        <f>SUMPRODUCT((七通一平=J20)*(修正!B1:M1=G2)*(修正!B8:M16))</f>
        <v>15</v>
      </c>
      <c r="K21" s="2001">
        <f>SUMPRODUCT((七通一平=K20)*(修正!B1:M1=G2)*(修正!B8:M16))</f>
        <v>25</v>
      </c>
      <c r="L21" s="2001">
        <f>SUMPRODUCT((七通一平=L20)*(修正!B1:M1=G2)*(修正!B8:M16))</f>
        <v>40</v>
      </c>
      <c r="M21" s="2001">
        <f>SUMPRODUCT((七通一平=M20)*(修正!B1:M1=G2)*(修正!B8:M16))</f>
        <v>50</v>
      </c>
      <c r="N21" s="2001">
        <f>SUMPRODUCT((七通一平=N20)*(修正!B1:M1=G2)*(修正!B8:M16))</f>
        <v>40</v>
      </c>
      <c r="O21" s="2003">
        <f>SUMPRODUCT((七通一平=O20)*(修正!B1:M1=G2)*(修正!B8:M16))</f>
        <v>15</v>
      </c>
      <c r="P21" s="1842"/>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6" customFormat="1" ht="15.75" thickBot="1">
      <c r="A22" s="1994" t="s">
        <v>363</v>
      </c>
      <c r="B22" s="1995" t="s">
        <v>1990</v>
      </c>
      <c r="C22" s="1996">
        <f>SUMIF(修正!C20:C51,E3,修正!E20:E51)</f>
        <v>1</v>
      </c>
      <c r="D22" s="1997"/>
      <c r="E22" s="1998"/>
      <c r="F22" s="1998"/>
      <c r="G22" s="1998"/>
      <c r="H22" s="1998"/>
      <c r="I22" s="1998"/>
      <c r="J22" s="1999"/>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6.25" thickBot="1">
      <c r="A23" s="1890" t="s">
        <v>364</v>
      </c>
      <c r="B23" s="1891" t="s">
        <v>1991</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1894" t="s">
        <v>1992</v>
      </c>
      <c r="E23" s="715">
        <v>44197</v>
      </c>
      <c r="F23" s="1894" t="s">
        <v>1993</v>
      </c>
      <c r="G23" s="716">
        <f>'数据-取费表'!B2</f>
        <v>45709</v>
      </c>
      <c r="H23" s="3045" t="s">
        <v>3243</v>
      </c>
      <c r="I23" s="3046" t="str">
        <f>IF(H23="季度增幅（自定义）",SUMIF(N25:N28,E2,O25:O28),"")</f>
        <v/>
      </c>
      <c r="J23" s="3138" t="s">
        <v>3898</v>
      </c>
      <c r="K23" s="1059"/>
      <c r="L23" s="1895" t="s">
        <v>1994</v>
      </c>
      <c r="M23" s="1239">
        <f>ROUND(SUMIF(地价!B2:G2,E2,地价!B16:G16),0)</f>
        <v>350</v>
      </c>
      <c r="N23" s="1896" t="s">
        <v>1995</v>
      </c>
      <c r="O23" s="717">
        <f>ROUNDDOWN(DATEDIF(E23,G23,"M")/3,0)</f>
        <v>16</v>
      </c>
      <c r="P23" s="1055"/>
      <c r="Q23" s="2550"/>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1996</v>
      </c>
      <c r="C24" s="718">
        <f>ROUND(POWER(1+G24,J24-I24)*(POWER(1+G24,I24)-1)/(POWER(1+G24,J24)-1),4)</f>
        <v>0.96450000000000002</v>
      </c>
      <c r="D24" s="1900" t="s">
        <v>1997</v>
      </c>
      <c r="E24" s="1246">
        <f>存贷款利率!E27/100</f>
        <v>4.3499999999999997E-2</v>
      </c>
      <c r="F24" s="1900" t="s">
        <v>1989</v>
      </c>
      <c r="G24" s="722">
        <f>SUMIF(M30:Q30,E2,M33:Q33)</f>
        <v>5.5E-2</v>
      </c>
      <c r="H24" s="1900" t="s">
        <v>1998</v>
      </c>
      <c r="I24" s="723">
        <f>SUMIF('数据-取费表'!C6:C15,E2,'数据-取费表'!F6:F15)/COUNTIF('数据-取费表'!C6:C15,E2)</f>
        <v>35.58</v>
      </c>
      <c r="J24" s="724">
        <f>IF(E2="住宅",70,IF(E2="商业",40,50))</f>
        <v>40</v>
      </c>
      <c r="K24" s="1059"/>
      <c r="L24" s="1901" t="s">
        <v>1999</v>
      </c>
      <c r="M24" s="1240">
        <f>ROUND(SUMPRODUCT((地价!A4:A16=YEAR(G23)&amp;"-"&amp;ROUNDUP(MONTH(G23)/3,0))*(地价!B2:G2=E2)*(地价!B4:G16)),0)</f>
        <v>0</v>
      </c>
      <c r="N24" s="1902" t="s">
        <v>2000</v>
      </c>
      <c r="O24" s="1903" t="s">
        <v>2001</v>
      </c>
      <c r="P24" s="1904" t="s">
        <v>2002</v>
      </c>
      <c r="Q24" s="1842"/>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5">
      <c r="A25" s="1905" t="s">
        <v>366</v>
      </c>
      <c r="B25" s="1906" t="s">
        <v>3322</v>
      </c>
      <c r="C25" s="460">
        <f>IF(B25="容积率修正",IF(G3&lt;10,D26,J26),C27)</f>
        <v>1.0082</v>
      </c>
      <c r="D25" s="1907"/>
      <c r="E25" s="1907"/>
      <c r="F25" s="1907"/>
      <c r="G25" s="1907"/>
      <c r="H25" s="1907"/>
      <c r="I25" s="1907"/>
      <c r="J25" s="1908"/>
      <c r="K25" s="1059"/>
      <c r="L25" s="2550"/>
      <c r="M25" s="2550"/>
      <c r="N25" s="1909" t="s">
        <v>2003</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2004</v>
      </c>
      <c r="B26" s="1910" t="s">
        <v>2005</v>
      </c>
      <c r="C26" s="1910" t="s">
        <v>3244</v>
      </c>
      <c r="D26" s="1261">
        <f>IF(E26=G26,F26,IF(G3&lt;10,ROUND(F26+(H26-F26)*(G3-E26)/(G26-E26),4),"——"))</f>
        <v>1.0082</v>
      </c>
      <c r="E26" s="706">
        <f>ROUNDDOWN(G3,1)</f>
        <v>2.2999999999999998</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1.0152000000000001</v>
      </c>
      <c r="G26" s="706">
        <f>ROUNDUP(G3,1)</f>
        <v>2.4</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1.0074000000000001</v>
      </c>
      <c r="I26" s="1910" t="s">
        <v>3245</v>
      </c>
      <c r="J26" s="373" t="str">
        <f>IF(G3&gt;=10,D115,"——")</f>
        <v>——</v>
      </c>
      <c r="K26" s="1059"/>
      <c r="L26" s="2550"/>
      <c r="M26" s="2550"/>
      <c r="N26" s="1909" t="s">
        <v>2006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2007</v>
      </c>
      <c r="B27" s="1911" t="s">
        <v>2008</v>
      </c>
      <c r="C27" s="789">
        <f>ROUND(IF(I3&lt;6,SUMPRODUCT((B106:B110=I3)*(C105:N105=G2)*(C106:N110)),SUMIF(C105:N105,G2,C112:N112)),4)</f>
        <v>0</v>
      </c>
      <c r="D27" s="1840"/>
      <c r="E27" s="1840"/>
      <c r="F27" s="1912"/>
      <c r="G27" s="1913"/>
      <c r="H27" s="1914"/>
      <c r="I27" s="1915"/>
      <c r="J27" s="1916"/>
      <c r="K27" s="1054"/>
      <c r="L27" s="1842"/>
      <c r="M27" s="1842"/>
      <c r="N27" s="1909" t="s">
        <v>2009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2010</v>
      </c>
      <c r="C28" s="714">
        <f>SUMIF(A47:A101,E2,B47:B101)</f>
        <v>0.97919999999999996</v>
      </c>
      <c r="D28" s="1892"/>
      <c r="E28" s="1917"/>
      <c r="F28" s="1917"/>
      <c r="G28" s="1917"/>
      <c r="H28" s="1917"/>
      <c r="I28" s="1917"/>
      <c r="J28" s="1918"/>
      <c r="K28" s="1059"/>
      <c r="L28" s="2550"/>
      <c r="M28" s="2550"/>
      <c r="N28" s="1919" t="s">
        <v>2011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2012</v>
      </c>
      <c r="C29" s="719"/>
      <c r="D29" s="1866"/>
      <c r="E29" s="1866"/>
      <c r="F29" s="1921"/>
      <c r="G29" s="1866"/>
      <c r="H29" s="1866"/>
      <c r="I29" s="1866"/>
      <c r="J29" s="1867"/>
      <c r="K29" s="1054"/>
      <c r="L29" s="1842"/>
      <c r="M29" s="1842"/>
      <c r="N29" s="2547" t="s">
        <v>2013</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2014</v>
      </c>
      <c r="C30" s="2143">
        <f>IF(B25="容积率修正",E33+SUM(E37:E42),SUM(V2:V16)+SUM(E37:E42))</f>
        <v>17025</v>
      </c>
      <c r="D30" s="1923"/>
      <c r="E30" s="1840"/>
      <c r="F30" s="1924"/>
      <c r="G30" s="1840"/>
      <c r="H30" s="1840"/>
      <c r="I30" s="1840"/>
      <c r="J30" s="1925"/>
      <c r="K30" s="1054"/>
      <c r="L30" s="3052" t="s">
        <v>1926</v>
      </c>
      <c r="M30" s="3053" t="s">
        <v>1980</v>
      </c>
      <c r="N30" s="3053" t="s">
        <v>1981</v>
      </c>
      <c r="O30" s="3053" t="s">
        <v>1982</v>
      </c>
      <c r="P30" s="3053" t="s">
        <v>1983</v>
      </c>
      <c r="Q30" s="3056" t="s">
        <v>3249</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2015</v>
      </c>
      <c r="C31" s="720">
        <f>E34+SUM(I37:I42)</f>
        <v>122</v>
      </c>
      <c r="D31" s="1927"/>
      <c r="E31" s="1928"/>
      <c r="F31" s="1929"/>
      <c r="G31" s="1928"/>
      <c r="H31" s="1928"/>
      <c r="I31" s="1928"/>
      <c r="J31" s="1930"/>
      <c r="K31" s="1054"/>
      <c r="L31" s="3054" t="s">
        <v>1986</v>
      </c>
      <c r="M31" s="161">
        <v>0.25</v>
      </c>
      <c r="N31" s="161">
        <v>0.2</v>
      </c>
      <c r="O31" s="161">
        <v>0.15</v>
      </c>
      <c r="P31" s="161">
        <v>0.1</v>
      </c>
      <c r="Q31" s="3049">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2016</v>
      </c>
      <c r="C32" s="1933" t="s">
        <v>2017</v>
      </c>
      <c r="D32" s="1933" t="s">
        <v>2018</v>
      </c>
      <c r="E32" s="1934" t="s">
        <v>2019</v>
      </c>
      <c r="F32" s="1935"/>
      <c r="G32" s="1879"/>
      <c r="H32" s="1879"/>
      <c r="I32" s="1879"/>
      <c r="J32" s="1880"/>
      <c r="K32" s="1054"/>
      <c r="L32" s="3055" t="s">
        <v>1989</v>
      </c>
      <c r="M32" s="2353">
        <f>ROUND($E$24*(1+M31),3)</f>
        <v>5.3999999999999999E-2</v>
      </c>
      <c r="N32" s="2353">
        <f>ROUND($E$24*(1+N31),3)</f>
        <v>5.1999999999999998E-2</v>
      </c>
      <c r="O32" s="2353">
        <f>ROUND($E$24*(1+O31),3)</f>
        <v>0.05</v>
      </c>
      <c r="P32" s="2353">
        <f>ROUND($E$24*(1+P31),3)</f>
        <v>4.8000000000000001E-2</v>
      </c>
      <c r="Q32" s="3057">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2020</v>
      </c>
      <c r="C33" s="166">
        <f>ROUND(C5*C22*C23*C24*C25*C28,0)</f>
        <v>9289</v>
      </c>
      <c r="D33" s="1938">
        <f>'数据-汇总表'!F27</f>
        <v>17801.5</v>
      </c>
      <c r="E33" s="725">
        <f>ROUND(C33*D33/10000,0)</f>
        <v>16536</v>
      </c>
      <c r="F33" s="3047" t="s">
        <v>3247</v>
      </c>
      <c r="G33" s="1939"/>
      <c r="H33" s="1939"/>
      <c r="I33" s="1939"/>
      <c r="J33" s="1940"/>
      <c r="K33" s="1054"/>
      <c r="L33" s="3050" t="s">
        <v>3250</v>
      </c>
      <c r="M33" s="3051">
        <v>5.5E-2</v>
      </c>
      <c r="N33" s="3051">
        <v>5.5E-2</v>
      </c>
      <c r="O33" s="3051">
        <v>0.05</v>
      </c>
      <c r="P33" s="3051">
        <v>0.05</v>
      </c>
      <c r="Q33" s="3051">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2021</v>
      </c>
      <c r="C34" s="178">
        <f>ROUND(IF(E2="工业",C33*M42,IF(B25="楼层修正",SUM(V2:V16)*M41*10000/D34,C33*M41)),0)</f>
        <v>2322</v>
      </c>
      <c r="D34" s="1943"/>
      <c r="E34" s="725">
        <f>ROUND(IF(B25="楼层修正",SUM(V2:V16)*M40,C34*D34/10000),0)</f>
        <v>0</v>
      </c>
      <c r="F34" s="1944" t="s">
        <v>2022</v>
      </c>
      <c r="G34" s="1945"/>
      <c r="H34" s="1945"/>
      <c r="I34" s="1945"/>
      <c r="J34" s="1946"/>
      <c r="K34" s="1054"/>
      <c r="L34" s="3050" t="s">
        <v>3251</v>
      </c>
      <c r="M34" s="3051">
        <v>6.5000000000000002E-2</v>
      </c>
      <c r="N34" s="3051">
        <v>6.5000000000000002E-2</v>
      </c>
      <c r="O34" s="3051">
        <v>0.06</v>
      </c>
      <c r="P34" s="3051">
        <v>0.06</v>
      </c>
      <c r="Q34" s="3051">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2023</v>
      </c>
      <c r="C35" s="3048" t="s">
        <v>3248</v>
      </c>
      <c r="D35" s="1879"/>
      <c r="E35" s="1949"/>
      <c r="F35" s="1949"/>
      <c r="G35" s="1877" t="s">
        <v>2024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5" t="s">
        <v>2017</v>
      </c>
      <c r="D36" s="432" t="s">
        <v>2018</v>
      </c>
      <c r="E36" s="432" t="s">
        <v>2019</v>
      </c>
      <c r="F36" s="332" t="s">
        <v>2025</v>
      </c>
      <c r="G36" s="1952" t="s">
        <v>2017</v>
      </c>
      <c r="H36" s="1952" t="s">
        <v>2018</v>
      </c>
      <c r="I36" s="1952" t="s">
        <v>2019</v>
      </c>
      <c r="J36" s="234"/>
      <c r="K36" s="1962" t="s">
        <v>3252</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41"/>
      <c r="B37" s="1953" t="s">
        <v>2026</v>
      </c>
      <c r="C37" s="166">
        <f>ROUND(D5*C22*C23*C24*C28*F37,0)</f>
        <v>5528</v>
      </c>
      <c r="D37" s="1938"/>
      <c r="E37" s="162">
        <f>ROUND(C37*D37/10000,0)</f>
        <v>0</v>
      </c>
      <c r="F37" s="162">
        <f>SUMIF(修正!A57:A68,G2,修正!B57:B68)</f>
        <v>0.6</v>
      </c>
      <c r="G37" s="162">
        <f>ROUND(IF(E2="工业",C37*$M$42,C37*$M$41),0)</f>
        <v>1382</v>
      </c>
      <c r="H37" s="162">
        <f>D37</f>
        <v>0</v>
      </c>
      <c r="I37" s="162">
        <f>ROUND(G37*H37/10000,0)</f>
        <v>0</v>
      </c>
      <c r="J37" s="2752"/>
      <c r="K37" s="3058" t="s">
        <v>3253</v>
      </c>
      <c r="L37" s="1962">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42"/>
      <c r="B38" s="1882" t="s">
        <v>2027</v>
      </c>
      <c r="C38" s="166">
        <f>ROUND(D5*C22*C23*C24*C28*F38,0)</f>
        <v>2764</v>
      </c>
      <c r="D38" s="1938"/>
      <c r="E38" s="162">
        <f t="shared" ref="E38:E42" si="4">ROUND(C38*D38/10000,0)</f>
        <v>0</v>
      </c>
      <c r="F38" s="162">
        <f>SUMIF(修正!A57:A68,G2,修正!C57:C68)</f>
        <v>0.3</v>
      </c>
      <c r="G38" s="162">
        <f>ROUND(IF(E2="工业",C38*$M$42,C38*$M$41),0)</f>
        <v>691</v>
      </c>
      <c r="H38" s="162">
        <f t="shared" ref="H38:H42" si="5">D38</f>
        <v>0</v>
      </c>
      <c r="I38" s="162">
        <f t="shared" ref="I38:I42" si="6">ROUND(G38*H38/10000,0)</f>
        <v>0</v>
      </c>
      <c r="J38" s="2751"/>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42"/>
      <c r="B39" s="1882" t="s">
        <v>3246</v>
      </c>
      <c r="C39" s="166">
        <f>ROUND(D5*C22*C23*C24*C28*F39,0)</f>
        <v>2303</v>
      </c>
      <c r="D39" s="1938"/>
      <c r="E39" s="162">
        <f t="shared" si="4"/>
        <v>0</v>
      </c>
      <c r="F39" s="162">
        <f>SUMIF(修正!A57:A68,G2,修正!D57:D68)</f>
        <v>0.25</v>
      </c>
      <c r="G39" s="162">
        <f>ROUND(IF(E2="工业",C39*$M$42,C39*$M$41),0)</f>
        <v>576</v>
      </c>
      <c r="H39" s="162">
        <f t="shared" si="5"/>
        <v>0</v>
      </c>
      <c r="I39" s="162">
        <f t="shared" si="6"/>
        <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2028</v>
      </c>
      <c r="C40" s="162">
        <f>ROUND(D5*C22*C23*C24*C28*F40,0)</f>
        <v>2303</v>
      </c>
      <c r="D40" s="1938"/>
      <c r="E40" s="162">
        <f t="shared" si="4"/>
        <v>0</v>
      </c>
      <c r="F40" s="166">
        <f>SUMIF(修正!A57:A68,G2,修正!E57:E68)</f>
        <v>0.25</v>
      </c>
      <c r="G40" s="162">
        <f>ROUND(IF(E2="工业",C40*$M$42,C40*$M$41),0)</f>
        <v>576</v>
      </c>
      <c r="H40" s="162">
        <f t="shared" si="5"/>
        <v>0</v>
      </c>
      <c r="I40" s="162">
        <f t="shared" si="6"/>
        <v>0</v>
      </c>
      <c r="J40" s="937"/>
      <c r="L40" s="1955" t="s">
        <v>2029</v>
      </c>
      <c r="M40" s="1956"/>
      <c r="Z40" s="1055"/>
      <c r="AA40" s="1055"/>
      <c r="AB40" s="1055"/>
      <c r="AC40" s="1055"/>
      <c r="AD40" s="1055"/>
      <c r="AE40" s="1055"/>
      <c r="AF40" s="1055"/>
      <c r="AG40" s="1055"/>
      <c r="AH40" s="1055"/>
      <c r="AI40" s="1055"/>
      <c r="AJ40" s="1055"/>
    </row>
    <row r="41" spans="1:37" s="1054" customFormat="1">
      <c r="A41" s="1954"/>
      <c r="B41" s="1882" t="s">
        <v>2030</v>
      </c>
      <c r="C41" s="162">
        <f>ROUND(D5*C22*C23*C44*C28*F41,0)</f>
        <v>2341</v>
      </c>
      <c r="D41" s="1938"/>
      <c r="E41" s="162">
        <f t="shared" si="4"/>
        <v>0</v>
      </c>
      <c r="F41" s="166">
        <f>SUMIF(修正!A57:A68,G2,修正!F57:F68)</f>
        <v>0.25</v>
      </c>
      <c r="G41" s="162">
        <f>ROUND(IF(E2="工业",C41*$M$42,C41*$M$41),0)</f>
        <v>585</v>
      </c>
      <c r="H41" s="162">
        <f t="shared" si="5"/>
        <v>0</v>
      </c>
      <c r="I41" s="162">
        <f t="shared" si="6"/>
        <v>0</v>
      </c>
      <c r="J41" s="937"/>
      <c r="L41" s="3059" t="s">
        <v>3254</v>
      </c>
      <c r="M41" s="1957">
        <v>0.25</v>
      </c>
      <c r="Z41" s="1055"/>
      <c r="AA41" s="1055"/>
      <c r="AB41" s="1055"/>
      <c r="AC41" s="1055"/>
      <c r="AD41" s="1055"/>
      <c r="AE41" s="1055"/>
      <c r="AF41" s="1055"/>
      <c r="AG41" s="1055"/>
      <c r="AH41" s="1055"/>
      <c r="AI41" s="1055"/>
      <c r="AJ41" s="1055"/>
    </row>
    <row r="42" spans="1:37" s="1054" customFormat="1" ht="13.5" thickBot="1">
      <c r="A42" s="1941"/>
      <c r="B42" s="1958" t="s">
        <v>2031</v>
      </c>
      <c r="C42" s="178">
        <f>ROUND(D5*C22*C23*C44*C28*F42,0)</f>
        <v>1405</v>
      </c>
      <c r="D42" s="1943">
        <f>'数据-汇总表'!G27</f>
        <v>3478.24</v>
      </c>
      <c r="E42" s="178">
        <f t="shared" si="4"/>
        <v>489</v>
      </c>
      <c r="F42" s="721">
        <f>SUMIF(修正!A57:A68,G2,修正!G57:G68)</f>
        <v>0.15</v>
      </c>
      <c r="G42" s="178">
        <f>ROUND(IF(E2="工业",C42*$M$42,C42*$M$41),0)</f>
        <v>351</v>
      </c>
      <c r="H42" s="178">
        <f t="shared" si="5"/>
        <v>3478.24</v>
      </c>
      <c r="I42" s="178">
        <f t="shared" si="6"/>
        <v>122</v>
      </c>
      <c r="J42" s="1959"/>
      <c r="L42" s="1960" t="s">
        <v>1983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2112</v>
      </c>
      <c r="C44" s="332">
        <f>ROUND(POWER(1+E44,H44-G44)*(POWER(1+E44,G44)-1)/(POWER(1+E44,H44)-1),4)</f>
        <v>0.98029999999999995</v>
      </c>
      <c r="D44" s="162" t="s">
        <v>1989</v>
      </c>
      <c r="E44" s="1989">
        <f>G24</f>
        <v>5.5E-2</v>
      </c>
      <c r="F44" s="162" t="s">
        <v>1998</v>
      </c>
      <c r="G44" s="174">
        <f>项目基本情况!F15</f>
        <v>45.59</v>
      </c>
      <c r="H44" s="162">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2032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2033</v>
      </c>
      <c r="B48" s="1966">
        <f>1+E50</f>
        <v>0.97919999999999996</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2034</v>
      </c>
      <c r="B49" s="1260" t="s">
        <v>2035</v>
      </c>
      <c r="C49" s="1260" t="s">
        <v>2036</v>
      </c>
      <c r="D49" s="1260" t="s">
        <v>2037</v>
      </c>
      <c r="E49" s="699" t="s">
        <v>2038</v>
      </c>
      <c r="F49" s="1969" t="s">
        <v>2039</v>
      </c>
      <c r="G49" s="1260" t="s">
        <v>310</v>
      </c>
      <c r="H49" s="1970" t="s">
        <v>2040</v>
      </c>
      <c r="I49" s="1260" t="s">
        <v>2041</v>
      </c>
      <c r="J49" s="529" t="s">
        <v>1713</v>
      </c>
      <c r="K49" s="529" t="s">
        <v>1714</v>
      </c>
      <c r="L49" s="529" t="s">
        <v>1715</v>
      </c>
      <c r="M49" s="529" t="s">
        <v>1716</v>
      </c>
      <c r="N49" s="529" t="s">
        <v>1717</v>
      </c>
      <c r="AA49" s="1055"/>
      <c r="AB49" s="1055"/>
      <c r="AC49" s="1055"/>
      <c r="AD49" s="1055"/>
      <c r="AE49" s="1055"/>
      <c r="AF49" s="1055"/>
      <c r="AG49" s="1055"/>
      <c r="AH49" s="1055"/>
      <c r="AI49" s="1055"/>
      <c r="AJ49" s="1055"/>
      <c r="AK49" s="1055"/>
    </row>
    <row r="50" spans="1:37" s="1054" customFormat="1" ht="38.25">
      <c r="A50" s="1968" t="s">
        <v>2042</v>
      </c>
      <c r="B50" s="1971" t="str">
        <f>估价对象房地状况!C4</f>
        <v>估价对象位于XX商圈，周边商业氛围成熟，人流量大，商业繁华度好</v>
      </c>
      <c r="C50" s="1885" t="s">
        <v>3785</v>
      </c>
      <c r="D50" s="1000">
        <f t="shared" ref="D50:D58" si="7">SUMIF($J$49:$N$49,C50,J50:N50)</f>
        <v>-1.95E-2</v>
      </c>
      <c r="E50" s="700">
        <f>ROUND(SUM(D50:D58),4)</f>
        <v>-2.0799999999999999E-2</v>
      </c>
      <c r="F50" s="1673">
        <f>IF(E2="商业",SUMIF(L1:L12,G2,N1:N12),"——")</f>
        <v>0.13</v>
      </c>
      <c r="G50" s="998">
        <f>H50</f>
        <v>1.95E-2</v>
      </c>
      <c r="H50" s="1001">
        <f t="shared" ref="H50:H58" si="8">IFERROR(ROUNDDOWN($F$50*I50/2,4),"——")</f>
        <v>1.95E-2</v>
      </c>
      <c r="I50" s="3065">
        <v>0.3</v>
      </c>
      <c r="J50" s="999">
        <f t="shared" ref="J50:J58" si="9">K50+$G50</f>
        <v>3.9E-2</v>
      </c>
      <c r="K50" s="999">
        <f t="shared" ref="K50:K58" si="10">$L50+$G50</f>
        <v>1.95E-2</v>
      </c>
      <c r="L50" s="999">
        <v>0</v>
      </c>
      <c r="M50" s="999">
        <f t="shared" ref="M50:N58" si="11">L50-$G50</f>
        <v>-1.95E-2</v>
      </c>
      <c r="N50" s="999">
        <f t="shared" si="11"/>
        <v>-3.9E-2</v>
      </c>
      <c r="AA50" s="1055"/>
      <c r="AB50" s="1055"/>
      <c r="AC50" s="1055"/>
      <c r="AD50" s="1055"/>
      <c r="AE50" s="1055"/>
      <c r="AF50" s="1055"/>
      <c r="AG50" s="1055"/>
      <c r="AH50" s="1055"/>
      <c r="AI50" s="1055"/>
      <c r="AJ50" s="1055"/>
      <c r="AK50" s="1055"/>
    </row>
    <row r="51" spans="1:37" s="1054" customFormat="1" ht="38.25">
      <c r="A51" s="1968" t="s">
        <v>2043</v>
      </c>
      <c r="B51" s="1260" t="str">
        <f>估价对象房地状况!C18</f>
        <v>估价对象周边道路状况、公共交通通达情况、停车便捷程度，综合评价交通便捷度较好</v>
      </c>
      <c r="C51" s="1885" t="s">
        <v>3785</v>
      </c>
      <c r="D51" s="1000">
        <f t="shared" si="7"/>
        <v>-1.43E-2</v>
      </c>
      <c r="E51" s="701"/>
      <c r="F51" s="1673"/>
      <c r="G51" s="998">
        <f t="shared" ref="G51:G58" si="12">H51</f>
        <v>1.43E-2</v>
      </c>
      <c r="H51" s="1001">
        <f t="shared" si="8"/>
        <v>1.43E-2</v>
      </c>
      <c r="I51" s="3065">
        <v>0.22</v>
      </c>
      <c r="J51" s="999">
        <f t="shared" si="9"/>
        <v>2.86E-2</v>
      </c>
      <c r="K51" s="999">
        <f t="shared" si="10"/>
        <v>1.43E-2</v>
      </c>
      <c r="L51" s="999">
        <v>0</v>
      </c>
      <c r="M51" s="999">
        <f t="shared" si="11"/>
        <v>-1.43E-2</v>
      </c>
      <c r="N51" s="999">
        <f t="shared" si="11"/>
        <v>-2.86E-2</v>
      </c>
      <c r="AA51" s="1055"/>
      <c r="AB51" s="1055"/>
      <c r="AC51" s="1055"/>
      <c r="AD51" s="1055"/>
      <c r="AE51" s="1055"/>
      <c r="AF51" s="1055"/>
      <c r="AG51" s="1055"/>
      <c r="AH51" s="1055"/>
      <c r="AI51" s="1055"/>
      <c r="AJ51" s="1055"/>
      <c r="AK51" s="1055"/>
    </row>
    <row r="52" spans="1:37" s="1054" customFormat="1" ht="36">
      <c r="A52" s="3067" t="s">
        <v>3256</v>
      </c>
      <c r="B52" s="1260">
        <f>估价对象房地状况!C19</f>
        <v>0</v>
      </c>
      <c r="C52" s="1885" t="s">
        <v>3783</v>
      </c>
      <c r="D52" s="1000">
        <f t="shared" si="7"/>
        <v>7.7999999999999996E-3</v>
      </c>
      <c r="E52" s="701"/>
      <c r="F52" s="1673"/>
      <c r="G52" s="998">
        <f t="shared" si="12"/>
        <v>7.7999999999999996E-3</v>
      </c>
      <c r="H52" s="1001">
        <f t="shared" si="8"/>
        <v>7.7999999999999996E-3</v>
      </c>
      <c r="I52" s="3065">
        <v>0.12</v>
      </c>
      <c r="J52" s="999">
        <f t="shared" si="9"/>
        <v>1.5599999999999999E-2</v>
      </c>
      <c r="K52" s="999">
        <f t="shared" si="10"/>
        <v>7.7999999999999996E-3</v>
      </c>
      <c r="L52" s="999">
        <v>0</v>
      </c>
      <c r="M52" s="999">
        <f t="shared" si="11"/>
        <v>-7.7999999999999996E-3</v>
      </c>
      <c r="N52" s="999">
        <f t="shared" si="11"/>
        <v>-1.5599999999999999E-2</v>
      </c>
      <c r="AA52" s="1055"/>
      <c r="AB52" s="1055"/>
      <c r="AC52" s="1055"/>
      <c r="AD52" s="1055"/>
      <c r="AE52" s="1055"/>
      <c r="AF52" s="1055"/>
      <c r="AG52" s="1055"/>
      <c r="AH52" s="1055"/>
      <c r="AI52" s="1055"/>
      <c r="AJ52" s="1055"/>
      <c r="AK52" s="1055"/>
    </row>
    <row r="53" spans="1:37" s="1054" customFormat="1" ht="36.75">
      <c r="A53" s="1968" t="s">
        <v>2044</v>
      </c>
      <c r="B53" s="1972" t="s">
        <v>2045</v>
      </c>
      <c r="C53" s="1885" t="s">
        <v>3783</v>
      </c>
      <c r="D53" s="1000">
        <f t="shared" si="7"/>
        <v>3.2000000000000002E-3</v>
      </c>
      <c r="E53" s="701"/>
      <c r="F53" s="1673"/>
      <c r="G53" s="998">
        <f t="shared" si="12"/>
        <v>3.2000000000000002E-3</v>
      </c>
      <c r="H53" s="1001">
        <f t="shared" si="8"/>
        <v>3.2000000000000002E-3</v>
      </c>
      <c r="I53" s="3065">
        <v>0.05</v>
      </c>
      <c r="J53" s="999">
        <f t="shared" si="9"/>
        <v>6.4000000000000003E-3</v>
      </c>
      <c r="K53" s="999">
        <f t="shared" si="10"/>
        <v>3.2000000000000002E-3</v>
      </c>
      <c r="L53" s="999">
        <v>0</v>
      </c>
      <c r="M53" s="999">
        <f t="shared" si="11"/>
        <v>-3.2000000000000002E-3</v>
      </c>
      <c r="N53" s="999">
        <f t="shared" si="11"/>
        <v>-6.4000000000000003E-3</v>
      </c>
      <c r="AA53" s="1055"/>
      <c r="AB53" s="1055"/>
      <c r="AC53" s="1055"/>
      <c r="AD53" s="1055"/>
      <c r="AE53" s="1055"/>
      <c r="AF53" s="1055"/>
      <c r="AG53" s="1055"/>
      <c r="AH53" s="1055"/>
      <c r="AI53" s="1055"/>
      <c r="AJ53" s="1055"/>
      <c r="AK53" s="1055"/>
    </row>
    <row r="54" spans="1:37" s="1054" customFormat="1" ht="24">
      <c r="A54" s="1968" t="s">
        <v>2046</v>
      </c>
      <c r="B54" s="1260">
        <f>估价对象房地状况!C24</f>
        <v>0</v>
      </c>
      <c r="C54" s="1885" t="s">
        <v>3857</v>
      </c>
      <c r="D54" s="1000">
        <f t="shared" si="7"/>
        <v>0</v>
      </c>
      <c r="E54" s="701"/>
      <c r="F54" s="1673"/>
      <c r="G54" s="998">
        <f t="shared" si="12"/>
        <v>5.1999999999999998E-3</v>
      </c>
      <c r="H54" s="1001">
        <f t="shared" si="8"/>
        <v>5.1999999999999998E-3</v>
      </c>
      <c r="I54" s="3065">
        <v>0.08</v>
      </c>
      <c r="J54" s="999">
        <f t="shared" si="9"/>
        <v>1.04E-2</v>
      </c>
      <c r="K54" s="999">
        <f t="shared" si="10"/>
        <v>5.1999999999999998E-3</v>
      </c>
      <c r="L54" s="999">
        <v>0</v>
      </c>
      <c r="M54" s="999">
        <f t="shared" si="11"/>
        <v>-5.1999999999999998E-3</v>
      </c>
      <c r="N54" s="999">
        <f t="shared" si="11"/>
        <v>-1.04E-2</v>
      </c>
      <c r="AA54" s="1055"/>
      <c r="AB54" s="1055"/>
      <c r="AC54" s="1055"/>
      <c r="AD54" s="1055"/>
      <c r="AE54" s="1055"/>
      <c r="AF54" s="1055"/>
      <c r="AG54" s="1055"/>
      <c r="AH54" s="1055"/>
      <c r="AI54" s="1055"/>
      <c r="AJ54" s="1055"/>
      <c r="AK54" s="1055"/>
    </row>
    <row r="55" spans="1:37" s="1054" customFormat="1" ht="24">
      <c r="A55" s="1968" t="s">
        <v>2047</v>
      </c>
      <c r="B55" s="1973" t="s">
        <v>2048</v>
      </c>
      <c r="C55" s="1885" t="s">
        <v>3783</v>
      </c>
      <c r="D55" s="1000">
        <f t="shared" si="7"/>
        <v>3.2000000000000002E-3</v>
      </c>
      <c r="E55" s="701"/>
      <c r="F55" s="1673"/>
      <c r="G55" s="998">
        <f t="shared" si="12"/>
        <v>3.2000000000000002E-3</v>
      </c>
      <c r="H55" s="1001">
        <f t="shared" si="8"/>
        <v>3.2000000000000002E-3</v>
      </c>
      <c r="I55" s="3065">
        <v>0.05</v>
      </c>
      <c r="J55" s="999">
        <f t="shared" si="9"/>
        <v>6.4000000000000003E-3</v>
      </c>
      <c r="K55" s="999">
        <f t="shared" si="10"/>
        <v>3.2000000000000002E-3</v>
      </c>
      <c r="L55" s="999">
        <v>0</v>
      </c>
      <c r="M55" s="999">
        <f t="shared" si="11"/>
        <v>-3.2000000000000002E-3</v>
      </c>
      <c r="N55" s="999">
        <f t="shared" si="11"/>
        <v>-6.4000000000000003E-3</v>
      </c>
      <c r="AA55" s="1055"/>
      <c r="AB55" s="1055"/>
      <c r="AC55" s="1055"/>
      <c r="AD55" s="1055"/>
      <c r="AE55" s="1055"/>
      <c r="AF55" s="1055"/>
      <c r="AG55" s="1055"/>
      <c r="AH55" s="1055"/>
      <c r="AI55" s="1055"/>
      <c r="AJ55" s="1055"/>
      <c r="AK55" s="1055"/>
    </row>
    <row r="56" spans="1:37" s="1054" customFormat="1" ht="25.5">
      <c r="A56" s="1974" t="s">
        <v>2049</v>
      </c>
      <c r="B56" s="1238" t="str">
        <f>估价对象房地状况!C21</f>
        <v>估价对象所在区域公共配套设施齐备情况</v>
      </c>
      <c r="C56" s="1885" t="s">
        <v>3785</v>
      </c>
      <c r="D56" s="1000">
        <f t="shared" si="7"/>
        <v>-3.2000000000000002E-3</v>
      </c>
      <c r="E56" s="701"/>
      <c r="F56" s="1673"/>
      <c r="G56" s="998">
        <f t="shared" si="12"/>
        <v>3.2000000000000002E-3</v>
      </c>
      <c r="H56" s="1001">
        <f t="shared" si="8"/>
        <v>3.2000000000000002E-3</v>
      </c>
      <c r="I56" s="3065">
        <v>0.05</v>
      </c>
      <c r="J56" s="999">
        <f t="shared" si="9"/>
        <v>6.4000000000000003E-3</v>
      </c>
      <c r="K56" s="999">
        <f t="shared" si="10"/>
        <v>3.2000000000000002E-3</v>
      </c>
      <c r="L56" s="999">
        <v>0</v>
      </c>
      <c r="M56" s="999">
        <f t="shared" si="11"/>
        <v>-3.2000000000000002E-3</v>
      </c>
      <c r="N56" s="999">
        <f t="shared" si="11"/>
        <v>-6.4000000000000003E-3</v>
      </c>
      <c r="AA56" s="1055"/>
      <c r="AB56" s="1055"/>
      <c r="AC56" s="1055"/>
      <c r="AD56" s="1055"/>
      <c r="AE56" s="1055"/>
      <c r="AF56" s="1055"/>
      <c r="AG56" s="1055"/>
      <c r="AH56" s="1055"/>
      <c r="AI56" s="1055"/>
      <c r="AJ56" s="1055"/>
      <c r="AK56" s="1055"/>
    </row>
    <row r="57" spans="1:37" s="1054" customFormat="1" ht="25.5">
      <c r="A57" s="1974" t="s">
        <v>2050</v>
      </c>
      <c r="B57" s="1260" t="str">
        <f>估价对象房地状况!C22</f>
        <v>估价对象所在区域基础设施水平</v>
      </c>
      <c r="C57" s="1885" t="s">
        <v>3783</v>
      </c>
      <c r="D57" s="1000">
        <f t="shared" si="7"/>
        <v>5.1999999999999998E-3</v>
      </c>
      <c r="E57" s="701"/>
      <c r="F57" s="1673"/>
      <c r="G57" s="998">
        <f t="shared" si="12"/>
        <v>5.1999999999999998E-3</v>
      </c>
      <c r="H57" s="1001">
        <f t="shared" si="8"/>
        <v>5.1999999999999998E-3</v>
      </c>
      <c r="I57" s="3065">
        <v>0.08</v>
      </c>
      <c r="J57" s="999">
        <f t="shared" si="9"/>
        <v>1.04E-2</v>
      </c>
      <c r="K57" s="999">
        <f t="shared" si="10"/>
        <v>5.1999999999999998E-3</v>
      </c>
      <c r="L57" s="999">
        <v>0</v>
      </c>
      <c r="M57" s="999">
        <f t="shared" si="11"/>
        <v>-5.1999999999999998E-3</v>
      </c>
      <c r="N57" s="999">
        <f t="shared" si="11"/>
        <v>-1.04E-2</v>
      </c>
      <c r="AA57" s="1055"/>
      <c r="AB57" s="1055"/>
      <c r="AC57" s="1055"/>
      <c r="AD57" s="1055"/>
      <c r="AE57" s="1055"/>
      <c r="AF57" s="1055"/>
      <c r="AG57" s="1055"/>
      <c r="AH57" s="1055"/>
      <c r="AI57" s="1055"/>
      <c r="AJ57" s="1055"/>
      <c r="AK57" s="1055"/>
    </row>
    <row r="58" spans="1:37" s="1054" customFormat="1" ht="26.25" thickBot="1">
      <c r="A58" s="1975" t="s">
        <v>2051</v>
      </c>
      <c r="B58" s="1976" t="str">
        <f>估价对象房地状况!C20</f>
        <v>区域自然环境：；人文环境；综合评价环境状况一般</v>
      </c>
      <c r="C58" s="1885" t="s">
        <v>3785</v>
      </c>
      <c r="D58" s="1000">
        <f t="shared" si="7"/>
        <v>-3.2000000000000002E-3</v>
      </c>
      <c r="E58" s="702"/>
      <c r="F58" s="1673"/>
      <c r="G58" s="998">
        <f t="shared" si="12"/>
        <v>3.2000000000000002E-3</v>
      </c>
      <c r="H58" s="1001">
        <f t="shared" si="8"/>
        <v>3.2000000000000002E-3</v>
      </c>
      <c r="I58" s="3066">
        <v>0.05</v>
      </c>
      <c r="J58" s="999">
        <f t="shared" si="9"/>
        <v>6.4000000000000003E-3</v>
      </c>
      <c r="K58" s="999">
        <f t="shared" si="10"/>
        <v>3.2000000000000002E-3</v>
      </c>
      <c r="L58" s="999">
        <v>0</v>
      </c>
      <c r="M58" s="999">
        <f t="shared" si="11"/>
        <v>-3.2000000000000002E-3</v>
      </c>
      <c r="N58" s="999">
        <f t="shared" si="11"/>
        <v>-6.4000000000000003E-3</v>
      </c>
      <c r="AA58" s="1055"/>
      <c r="AB58" s="1055"/>
      <c r="AC58" s="1055"/>
      <c r="AD58" s="1055"/>
      <c r="AE58" s="1055"/>
      <c r="AF58" s="1055"/>
      <c r="AG58" s="1055"/>
      <c r="AH58" s="1055"/>
      <c r="AI58" s="1055"/>
      <c r="AJ58" s="1055"/>
      <c r="AK58" s="1055"/>
    </row>
    <row r="59" spans="1:37" s="1054" customFormat="1" ht="15">
      <c r="A59" s="1965" t="s">
        <v>2052</v>
      </c>
      <c r="B59" s="1966">
        <f>1+E61</f>
        <v>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2034</v>
      </c>
      <c r="B60" s="1260"/>
      <c r="C60" s="1260" t="s">
        <v>2036</v>
      </c>
      <c r="D60" s="1260" t="s">
        <v>2037</v>
      </c>
      <c r="E60" s="699" t="s">
        <v>2038</v>
      </c>
      <c r="F60" s="1969" t="s">
        <v>2053</v>
      </c>
      <c r="G60" s="1260" t="s">
        <v>310</v>
      </c>
      <c r="H60" s="1970" t="s">
        <v>2040</v>
      </c>
      <c r="I60" s="1260" t="s">
        <v>2041</v>
      </c>
      <c r="J60" s="529" t="s">
        <v>1713</v>
      </c>
      <c r="K60" s="529" t="s">
        <v>1714</v>
      </c>
      <c r="L60" s="529" t="s">
        <v>1715</v>
      </c>
      <c r="M60" s="529" t="s">
        <v>1716</v>
      </c>
      <c r="N60" s="529" t="s">
        <v>1717</v>
      </c>
      <c r="AA60" s="1055"/>
      <c r="AB60" s="1055"/>
      <c r="AC60" s="1055"/>
      <c r="AD60" s="1055"/>
      <c r="AE60" s="1055"/>
      <c r="AF60" s="1055"/>
      <c r="AG60" s="1055"/>
      <c r="AH60" s="1055"/>
      <c r="AI60" s="1055"/>
      <c r="AJ60" s="1055"/>
      <c r="AK60" s="1055"/>
    </row>
    <row r="61" spans="1:37" s="1054" customFormat="1" ht="38.25">
      <c r="A61" s="1968" t="s">
        <v>2054</v>
      </c>
      <c r="B61" s="1971" t="str">
        <f>估价对象房地状况!C17</f>
        <v>估价对象位于XX商圈，周边办公楼项目较多，入驻率高，办公集聚程度较好</v>
      </c>
      <c r="C61" s="1885"/>
      <c r="D61" s="1000">
        <f t="shared" ref="D61:D69" si="13">SUMIF($J$60:$N$60,C61,J61:N61)</f>
        <v>0</v>
      </c>
      <c r="E61" s="700">
        <f>ROUND(SUM(D61:D69),4)</f>
        <v>0</v>
      </c>
      <c r="F61" s="1673" t="str">
        <f>IF(E2="办公",SUMIF(L1:L12,G2,N1:N12),"——")</f>
        <v>——</v>
      </c>
      <c r="G61" s="998"/>
      <c r="H61" s="1001" t="str">
        <f t="shared" ref="H61:H69" si="14">IFERROR(ROUNDDOWN($F$61*I61/2,4),"——")</f>
        <v>——</v>
      </c>
      <c r="I61" s="3065">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38.25">
      <c r="A62" s="1968" t="s">
        <v>2043</v>
      </c>
      <c r="B62" s="1260" t="str">
        <f>估价对象房地状况!C18</f>
        <v>估价对象周边道路状况、公共交通通达情况、停车便捷程度，综合评价交通便捷度较好</v>
      </c>
      <c r="C62" s="1885"/>
      <c r="D62" s="1000">
        <f t="shared" si="13"/>
        <v>0</v>
      </c>
      <c r="E62" s="701"/>
      <c r="F62" s="1673"/>
      <c r="G62" s="998"/>
      <c r="H62" s="1001" t="str">
        <f t="shared" si="14"/>
        <v>——</v>
      </c>
      <c r="I62" s="3065">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67" t="s">
        <v>3256</v>
      </c>
      <c r="B63" s="1260">
        <f>估价对象房地状况!C19</f>
        <v>0</v>
      </c>
      <c r="C63" s="1885"/>
      <c r="D63" s="1000">
        <f t="shared" si="13"/>
        <v>0</v>
      </c>
      <c r="E63" s="701"/>
      <c r="F63" s="1673"/>
      <c r="G63" s="998"/>
      <c r="H63" s="1001" t="str">
        <f t="shared" si="14"/>
        <v>——</v>
      </c>
      <c r="I63" s="3065">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8" t="s">
        <v>2044</v>
      </c>
      <c r="B64" s="1972" t="s">
        <v>2045</v>
      </c>
      <c r="C64" s="1885"/>
      <c r="D64" s="1000">
        <f t="shared" si="13"/>
        <v>0</v>
      </c>
      <c r="E64" s="701"/>
      <c r="F64" s="1673"/>
      <c r="G64" s="998"/>
      <c r="H64" s="1001" t="str">
        <f t="shared" si="14"/>
        <v>——</v>
      </c>
      <c r="I64" s="3065">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8" t="s">
        <v>2046</v>
      </c>
      <c r="B65" s="1260">
        <f>估价对象房地状况!C24</f>
        <v>0</v>
      </c>
      <c r="C65" s="1885"/>
      <c r="D65" s="1000">
        <f t="shared" si="13"/>
        <v>0</v>
      </c>
      <c r="E65" s="701"/>
      <c r="F65" s="1673"/>
      <c r="G65" s="998"/>
      <c r="H65" s="1001" t="str">
        <f t="shared" si="14"/>
        <v>——</v>
      </c>
      <c r="I65" s="3065">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8" t="s">
        <v>2047</v>
      </c>
      <c r="B66" s="1973" t="s">
        <v>2048</v>
      </c>
      <c r="C66" s="1885"/>
      <c r="D66" s="1000">
        <f t="shared" si="13"/>
        <v>0</v>
      </c>
      <c r="E66" s="701"/>
      <c r="F66" s="1673"/>
      <c r="G66" s="998"/>
      <c r="H66" s="1001" t="str">
        <f t="shared" si="14"/>
        <v>——</v>
      </c>
      <c r="I66" s="3065">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5.5">
      <c r="A67" s="1968" t="s">
        <v>2049</v>
      </c>
      <c r="B67" s="1238" t="str">
        <f>估价对象房地状况!C21</f>
        <v>估价对象所在区域公共配套设施齐备情况</v>
      </c>
      <c r="C67" s="1885"/>
      <c r="D67" s="1000">
        <f t="shared" si="13"/>
        <v>0</v>
      </c>
      <c r="E67" s="701"/>
      <c r="F67" s="1673"/>
      <c r="G67" s="998"/>
      <c r="H67" s="1001" t="str">
        <f t="shared" si="14"/>
        <v>——</v>
      </c>
      <c r="I67" s="3065">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5.5">
      <c r="A68" s="1968" t="s">
        <v>2050</v>
      </c>
      <c r="B68" s="1238" t="str">
        <f>估价对象房地状况!C22</f>
        <v>估价对象所在区域基础设施水平</v>
      </c>
      <c r="C68" s="1885"/>
      <c r="D68" s="1000">
        <f t="shared" si="13"/>
        <v>0</v>
      </c>
      <c r="E68" s="701"/>
      <c r="F68" s="1673"/>
      <c r="G68" s="998"/>
      <c r="H68" s="1001" t="str">
        <f t="shared" si="14"/>
        <v>——</v>
      </c>
      <c r="I68" s="3065">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26.25" thickBot="1">
      <c r="A69" s="1975" t="s">
        <v>2051</v>
      </c>
      <c r="B69" s="1977" t="str">
        <f>估价对象房地状况!C20</f>
        <v>区域自然环境：；人文环境；综合评价环境状况一般</v>
      </c>
      <c r="C69" s="1885"/>
      <c r="D69" s="1000">
        <f t="shared" si="13"/>
        <v>0</v>
      </c>
      <c r="E69" s="702"/>
      <c r="F69" s="1673"/>
      <c r="G69" s="998"/>
      <c r="H69" s="1001" t="str">
        <f t="shared" si="14"/>
        <v>——</v>
      </c>
      <c r="I69" s="3066">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5" t="s">
        <v>2055</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2034</v>
      </c>
      <c r="B71" s="1260"/>
      <c r="C71" s="1260" t="s">
        <v>2036</v>
      </c>
      <c r="D71" s="1260" t="s">
        <v>2037</v>
      </c>
      <c r="E71" s="699" t="s">
        <v>2038</v>
      </c>
      <c r="F71" s="1969" t="s">
        <v>2053</v>
      </c>
      <c r="G71" s="1260" t="s">
        <v>310</v>
      </c>
      <c r="H71" s="1970" t="s">
        <v>2040</v>
      </c>
      <c r="I71" s="1260" t="s">
        <v>2041</v>
      </c>
      <c r="J71" s="529" t="s">
        <v>1713</v>
      </c>
      <c r="K71" s="529" t="s">
        <v>1714</v>
      </c>
      <c r="L71" s="529" t="s">
        <v>1715</v>
      </c>
      <c r="M71" s="529" t="s">
        <v>1716</v>
      </c>
      <c r="N71" s="529" t="s">
        <v>1717</v>
      </c>
      <c r="AA71" s="1055"/>
      <c r="AB71" s="1055"/>
      <c r="AC71" s="1055"/>
      <c r="AD71" s="1055"/>
      <c r="AE71" s="1055"/>
      <c r="AF71" s="1055"/>
      <c r="AG71" s="1055"/>
      <c r="AH71" s="1055"/>
      <c r="AI71" s="1055"/>
      <c r="AJ71" s="1055"/>
      <c r="AK71" s="1055"/>
    </row>
    <row r="72" spans="1:37" s="1054" customFormat="1" ht="51">
      <c r="A72" s="1968" t="s">
        <v>2056</v>
      </c>
      <c r="B72" s="1971" t="str">
        <f>估价对象房地状况!C15</f>
        <v>估价对象周边居住用地比例、居住小区规模和社区发展完善程度，综合评价居住社区成熟度一般</v>
      </c>
      <c r="C72" s="1885"/>
      <c r="D72" s="1000">
        <f t="shared" ref="D72:D80" si="18">SUMIF($J$71:$N$71,C72,J72:N72)</f>
        <v>0</v>
      </c>
      <c r="E72" s="700">
        <f>ROUND(SUM(D72:D80),4)</f>
        <v>0</v>
      </c>
      <c r="F72" s="1673" t="str">
        <f>IF(E2="住宅",SUMIF(L1:L12,G2,N1:N12),"——")</f>
        <v>——</v>
      </c>
      <c r="G72" s="998"/>
      <c r="H72" s="1001" t="str">
        <f t="shared" ref="H72:H80" si="19">IFERROR(ROUNDDOWN($F$72*I72/2,4),"——")</f>
        <v>——</v>
      </c>
      <c r="I72" s="3065">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38.25">
      <c r="A73" s="1968" t="s">
        <v>2043</v>
      </c>
      <c r="B73" s="1260" t="str">
        <f>估价对象房地状况!C18</f>
        <v>估价对象周边道路状况、公共交通通达情况、停车便捷程度，综合评价交通便捷度较好</v>
      </c>
      <c r="C73" s="1885"/>
      <c r="D73" s="1000">
        <f t="shared" si="18"/>
        <v>0</v>
      </c>
      <c r="E73" s="703"/>
      <c r="F73" s="1673"/>
      <c r="G73" s="998"/>
      <c r="H73" s="1001" t="str">
        <f t="shared" si="19"/>
        <v>——</v>
      </c>
      <c r="I73" s="3065">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42" customFormat="1" ht="36">
      <c r="A74" s="3067" t="s">
        <v>3256</v>
      </c>
      <c r="B74" s="1260">
        <f>估价对象房地状况!C19</f>
        <v>0</v>
      </c>
      <c r="C74" s="1885"/>
      <c r="D74" s="1000">
        <f t="shared" si="18"/>
        <v>0</v>
      </c>
      <c r="E74" s="703"/>
      <c r="F74" s="1673"/>
      <c r="G74" s="998"/>
      <c r="H74" s="1001" t="str">
        <f t="shared" si="19"/>
        <v>——</v>
      </c>
      <c r="I74" s="3065">
        <v>0.1</v>
      </c>
      <c r="J74" s="999">
        <f t="shared" si="20"/>
        <v>0</v>
      </c>
      <c r="K74" s="999">
        <f t="shared" si="21"/>
        <v>0</v>
      </c>
      <c r="L74" s="999">
        <v>0</v>
      </c>
      <c r="M74" s="999">
        <f t="shared" si="22"/>
        <v>0</v>
      </c>
      <c r="N74" s="999">
        <f t="shared" si="22"/>
        <v>0</v>
      </c>
      <c r="O74" s="1054"/>
      <c r="P74" s="1054"/>
      <c r="Q74" s="1054"/>
      <c r="AA74" s="1978"/>
      <c r="AB74" s="1055"/>
      <c r="AC74" s="1055"/>
      <c r="AD74" s="1055"/>
      <c r="AE74" s="1055"/>
      <c r="AF74" s="1055"/>
      <c r="AG74" s="1055"/>
      <c r="AH74" s="1978"/>
      <c r="AI74" s="1978"/>
      <c r="AJ74" s="1978"/>
      <c r="AK74" s="1978"/>
    </row>
    <row r="75" spans="1:37" ht="14.25">
      <c r="A75" s="1968" t="s">
        <v>2057</v>
      </c>
      <c r="B75" s="1260">
        <f>估价对象房地状况!C24</f>
        <v>0</v>
      </c>
      <c r="C75" s="1885"/>
      <c r="D75" s="1000">
        <f t="shared" si="18"/>
        <v>0</v>
      </c>
      <c r="E75" s="703"/>
      <c r="F75" s="1673"/>
      <c r="G75" s="998"/>
      <c r="H75" s="1001" t="str">
        <f t="shared" si="19"/>
        <v>——</v>
      </c>
      <c r="I75" s="3065">
        <v>0.05</v>
      </c>
      <c r="J75" s="999">
        <f t="shared" si="20"/>
        <v>0</v>
      </c>
      <c r="K75" s="999">
        <f t="shared" si="21"/>
        <v>0</v>
      </c>
      <c r="L75" s="999">
        <v>0</v>
      </c>
      <c r="M75" s="999">
        <f t="shared" si="22"/>
        <v>0</v>
      </c>
      <c r="N75" s="999">
        <f t="shared" si="22"/>
        <v>0</v>
      </c>
      <c r="O75" s="1054"/>
      <c r="P75" s="1054"/>
      <c r="Q75" s="1842"/>
      <c r="Z75" s="1843"/>
      <c r="AA75" s="1893"/>
      <c r="AG75" s="1056"/>
      <c r="AK75" s="1893"/>
    </row>
    <row r="76" spans="1:37" ht="25.5">
      <c r="A76" s="1968" t="s">
        <v>2049</v>
      </c>
      <c r="B76" s="1238" t="str">
        <f>估价对象房地状况!C21</f>
        <v>估价对象所在区域公共配套设施齐备情况</v>
      </c>
      <c r="C76" s="1885"/>
      <c r="D76" s="1000">
        <f t="shared" si="18"/>
        <v>0</v>
      </c>
      <c r="E76" s="703"/>
      <c r="F76" s="1673"/>
      <c r="G76" s="998"/>
      <c r="H76" s="1001" t="str">
        <f t="shared" si="19"/>
        <v>——</v>
      </c>
      <c r="I76" s="3065">
        <v>0.08</v>
      </c>
      <c r="J76" s="999">
        <f t="shared" si="20"/>
        <v>0</v>
      </c>
      <c r="K76" s="999">
        <f t="shared" si="21"/>
        <v>0</v>
      </c>
      <c r="L76" s="999">
        <v>0</v>
      </c>
      <c r="M76" s="999">
        <f t="shared" si="22"/>
        <v>0</v>
      </c>
      <c r="N76" s="999">
        <f t="shared" si="22"/>
        <v>0</v>
      </c>
      <c r="O76" s="1054"/>
      <c r="P76" s="1054"/>
      <c r="Z76" s="1843"/>
      <c r="AA76" s="1893"/>
      <c r="AG76" s="1056"/>
      <c r="AK76" s="1893"/>
    </row>
    <row r="77" spans="1:37" ht="25.5">
      <c r="A77" s="1968" t="s">
        <v>2050</v>
      </c>
      <c r="B77" s="1238" t="str">
        <f>估价对象房地状况!C22</f>
        <v>估价对象所在区域基础设施水平</v>
      </c>
      <c r="C77" s="1885"/>
      <c r="D77" s="1000">
        <f t="shared" si="18"/>
        <v>0</v>
      </c>
      <c r="E77" s="703"/>
      <c r="F77" s="1673"/>
      <c r="G77" s="998"/>
      <c r="H77" s="1001" t="str">
        <f t="shared" si="19"/>
        <v>——</v>
      </c>
      <c r="I77" s="3065">
        <v>0.09</v>
      </c>
      <c r="J77" s="999">
        <f t="shared" si="20"/>
        <v>0</v>
      </c>
      <c r="K77" s="999">
        <f t="shared" si="21"/>
        <v>0</v>
      </c>
      <c r="L77" s="999">
        <v>0</v>
      </c>
      <c r="M77" s="999">
        <f t="shared" si="22"/>
        <v>0</v>
      </c>
      <c r="N77" s="999">
        <f t="shared" si="22"/>
        <v>0</v>
      </c>
      <c r="O77" s="1054"/>
      <c r="P77" s="1054"/>
      <c r="Z77" s="1843"/>
      <c r="AA77" s="1893"/>
      <c r="AG77" s="1056"/>
      <c r="AK77" s="1893"/>
    </row>
    <row r="78" spans="1:37" ht="24">
      <c r="A78" s="1968" t="s">
        <v>2047</v>
      </c>
      <c r="B78" s="1973" t="s">
        <v>2048</v>
      </c>
      <c r="C78" s="1885"/>
      <c r="D78" s="1000">
        <f t="shared" si="18"/>
        <v>0</v>
      </c>
      <c r="E78" s="703"/>
      <c r="F78" s="1673"/>
      <c r="G78" s="998"/>
      <c r="H78" s="1001" t="str">
        <f t="shared" si="19"/>
        <v>——</v>
      </c>
      <c r="I78" s="3065">
        <v>0.05</v>
      </c>
      <c r="J78" s="999">
        <f t="shared" si="20"/>
        <v>0</v>
      </c>
      <c r="K78" s="999">
        <f t="shared" si="21"/>
        <v>0</v>
      </c>
      <c r="L78" s="999">
        <v>0</v>
      </c>
      <c r="M78" s="999">
        <f t="shared" si="22"/>
        <v>0</v>
      </c>
      <c r="N78" s="999">
        <f t="shared" si="22"/>
        <v>0</v>
      </c>
      <c r="O78" s="1842"/>
      <c r="P78" s="1842"/>
      <c r="Z78" s="1843"/>
      <c r="AA78" s="1893"/>
      <c r="AG78" s="1056"/>
      <c r="AK78" s="1893"/>
    </row>
    <row r="79" spans="1:37" ht="25.5">
      <c r="A79" s="1968" t="s">
        <v>2051</v>
      </c>
      <c r="B79" s="1971" t="str">
        <f>估价对象房地状况!C20</f>
        <v>区域自然环境：；人文环境；综合评价环境状况一般</v>
      </c>
      <c r="C79" s="1885"/>
      <c r="D79" s="1000">
        <f t="shared" si="18"/>
        <v>0</v>
      </c>
      <c r="E79" s="703"/>
      <c r="F79" s="1673"/>
      <c r="G79" s="998"/>
      <c r="H79" s="1001" t="str">
        <f t="shared" si="19"/>
        <v>——</v>
      </c>
      <c r="I79" s="3065">
        <v>0.12</v>
      </c>
      <c r="J79" s="999">
        <f t="shared" si="20"/>
        <v>0</v>
      </c>
      <c r="K79" s="999">
        <f t="shared" si="21"/>
        <v>0</v>
      </c>
      <c r="L79" s="999">
        <v>0</v>
      </c>
      <c r="M79" s="999">
        <f t="shared" si="22"/>
        <v>0</v>
      </c>
      <c r="N79" s="999">
        <f t="shared" si="22"/>
        <v>0</v>
      </c>
      <c r="Z79" s="1843"/>
      <c r="AA79" s="1893"/>
      <c r="AG79" s="1056"/>
      <c r="AK79" s="1893"/>
    </row>
    <row r="80" spans="1:37" ht="24.75" thickBot="1">
      <c r="A80" s="1975" t="s">
        <v>2058</v>
      </c>
      <c r="B80" s="1979"/>
      <c r="C80" s="1885"/>
      <c r="D80" s="1000">
        <f t="shared" si="18"/>
        <v>0</v>
      </c>
      <c r="E80" s="704"/>
      <c r="F80" s="1673"/>
      <c r="G80" s="998"/>
      <c r="H80" s="1001" t="str">
        <f t="shared" si="19"/>
        <v>——</v>
      </c>
      <c r="I80" s="3066">
        <v>0.05</v>
      </c>
      <c r="J80" s="999">
        <f t="shared" si="20"/>
        <v>0</v>
      </c>
      <c r="K80" s="999">
        <f t="shared" si="21"/>
        <v>0</v>
      </c>
      <c r="L80" s="999">
        <v>0</v>
      </c>
      <c r="M80" s="999">
        <f t="shared" si="22"/>
        <v>0</v>
      </c>
      <c r="N80" s="999">
        <f t="shared" si="22"/>
        <v>0</v>
      </c>
      <c r="Z80" s="1843"/>
      <c r="AA80" s="1893"/>
      <c r="AG80" s="1056"/>
      <c r="AK80" s="1893"/>
    </row>
    <row r="81" spans="1:37" ht="15">
      <c r="A81" s="1965" t="s">
        <v>2059</v>
      </c>
      <c r="B81" s="1966">
        <f>1+E83</f>
        <v>1</v>
      </c>
      <c r="C81" s="697"/>
      <c r="D81" s="697"/>
      <c r="E81" s="698"/>
      <c r="F81" s="1967"/>
      <c r="G81" s="3"/>
      <c r="H81" s="3"/>
      <c r="I81" s="3"/>
      <c r="J81" s="4"/>
      <c r="K81" s="4"/>
      <c r="L81" s="4"/>
      <c r="M81" s="4"/>
      <c r="N81" s="4"/>
      <c r="Z81" s="1843"/>
      <c r="AA81" s="1893"/>
      <c r="AG81" s="1056"/>
      <c r="AK81" s="1893"/>
    </row>
    <row r="82" spans="1:37" ht="24.75">
      <c r="A82" s="1968" t="s">
        <v>2034</v>
      </c>
      <c r="B82" s="1260"/>
      <c r="C82" s="1260" t="s">
        <v>2036</v>
      </c>
      <c r="D82" s="1260" t="s">
        <v>2037</v>
      </c>
      <c r="E82" s="699" t="s">
        <v>2038</v>
      </c>
      <c r="F82" s="1969" t="s">
        <v>2053</v>
      </c>
      <c r="G82" s="1260" t="s">
        <v>310</v>
      </c>
      <c r="H82" s="1970" t="s">
        <v>2040</v>
      </c>
      <c r="I82" s="1260" t="s">
        <v>2041</v>
      </c>
      <c r="J82" s="529" t="s">
        <v>1713</v>
      </c>
      <c r="K82" s="529" t="s">
        <v>1714</v>
      </c>
      <c r="L82" s="529" t="s">
        <v>1715</v>
      </c>
      <c r="M82" s="529" t="s">
        <v>1716</v>
      </c>
      <c r="N82" s="529" t="s">
        <v>1717</v>
      </c>
      <c r="Z82" s="1843"/>
      <c r="AA82" s="1893"/>
      <c r="AG82" s="1056"/>
      <c r="AK82" s="1893"/>
    </row>
    <row r="83" spans="1:37" ht="38.25">
      <c r="A83" s="1968" t="s">
        <v>2060</v>
      </c>
      <c r="B83" s="1260" t="str">
        <f>估价对象房地状况!G15</f>
        <v>估价对象位于XX开发区，园区建设成熟度XX，产业集聚程度XX</v>
      </c>
      <c r="C83" s="1885"/>
      <c r="D83" s="1000">
        <f t="shared" ref="D83:D90" si="23">SUMIF($J$82:$N$82,C83,J83:N83)</f>
        <v>0</v>
      </c>
      <c r="E83" s="700">
        <f>ROUND(SUM(D83:D90),4)</f>
        <v>0</v>
      </c>
      <c r="F83" s="1673" t="str">
        <f>IF(E2="工业",SUMIF(L1:L12,G2,N1:N12),"——")</f>
        <v>——</v>
      </c>
      <c r="G83" s="998"/>
      <c r="H83" s="1001" t="str">
        <f t="shared" ref="H83:H90" si="24">IFERROR(ROUNDDOWN($F$83*I83/2,4),"——")</f>
        <v>——</v>
      </c>
      <c r="I83" s="3065">
        <v>0.26</v>
      </c>
      <c r="J83" s="999">
        <f t="shared" ref="J83:J90" si="25">K83+$G83</f>
        <v>0</v>
      </c>
      <c r="K83" s="999">
        <f t="shared" ref="K83:K90" si="26">$L83+$G83</f>
        <v>0</v>
      </c>
      <c r="L83" s="999">
        <v>0</v>
      </c>
      <c r="M83" s="999">
        <f t="shared" ref="M83:N90" si="27">L83-$G83</f>
        <v>0</v>
      </c>
      <c r="N83" s="999">
        <f t="shared" si="27"/>
        <v>0</v>
      </c>
      <c r="Z83" s="1843"/>
      <c r="AA83" s="1893"/>
      <c r="AG83" s="1056"/>
      <c r="AK83" s="1893"/>
    </row>
    <row r="84" spans="1:37" ht="38.25">
      <c r="A84" s="1968" t="s">
        <v>2043</v>
      </c>
      <c r="B84" s="1260" t="str">
        <f>估价对象房地状况!G16</f>
        <v>估价对象周边道路状况、公共交通通达情况、停车便捷程度，综合评价交通便捷度较好</v>
      </c>
      <c r="C84" s="1885"/>
      <c r="D84" s="1000">
        <f t="shared" si="23"/>
        <v>0</v>
      </c>
      <c r="E84" s="703"/>
      <c r="F84" s="1673"/>
      <c r="G84" s="998"/>
      <c r="H84" s="1001" t="str">
        <f t="shared" si="24"/>
        <v>——</v>
      </c>
      <c r="I84" s="3065">
        <v>0.3</v>
      </c>
      <c r="J84" s="999">
        <f t="shared" si="25"/>
        <v>0</v>
      </c>
      <c r="K84" s="999">
        <f t="shared" si="26"/>
        <v>0</v>
      </c>
      <c r="L84" s="999">
        <v>0</v>
      </c>
      <c r="M84" s="999">
        <f t="shared" si="27"/>
        <v>0</v>
      </c>
      <c r="N84" s="999">
        <f t="shared" si="27"/>
        <v>0</v>
      </c>
      <c r="Z84" s="1843"/>
      <c r="AA84" s="1893"/>
      <c r="AG84" s="1056"/>
      <c r="AK84" s="1893"/>
    </row>
    <row r="85" spans="1:37" ht="36">
      <c r="A85" s="3067" t="s">
        <v>3257</v>
      </c>
      <c r="B85" s="1260">
        <f>估价对象房地状况!G17</f>
        <v>0</v>
      </c>
      <c r="C85" s="1885"/>
      <c r="D85" s="1000">
        <f t="shared" si="23"/>
        <v>0</v>
      </c>
      <c r="E85" s="703"/>
      <c r="F85" s="1673"/>
      <c r="G85" s="998"/>
      <c r="H85" s="1001" t="str">
        <f t="shared" si="24"/>
        <v>——</v>
      </c>
      <c r="I85" s="3065">
        <v>0.1</v>
      </c>
      <c r="J85" s="999">
        <f t="shared" si="25"/>
        <v>0</v>
      </c>
      <c r="K85" s="999">
        <f t="shared" si="26"/>
        <v>0</v>
      </c>
      <c r="L85" s="999">
        <v>0</v>
      </c>
      <c r="M85" s="999">
        <f t="shared" si="27"/>
        <v>0</v>
      </c>
      <c r="N85" s="999">
        <f t="shared" si="27"/>
        <v>0</v>
      </c>
      <c r="Z85" s="1843"/>
      <c r="AA85" s="1893"/>
      <c r="AG85" s="1056"/>
      <c r="AK85" s="1893"/>
    </row>
    <row r="86" spans="1:37" ht="14.25">
      <c r="A86" s="1968" t="s">
        <v>2057</v>
      </c>
      <c r="B86" s="1260">
        <f>估价对象房地状况!G22</f>
        <v>0</v>
      </c>
      <c r="C86" s="1885"/>
      <c r="D86" s="1000">
        <f t="shared" si="23"/>
        <v>0</v>
      </c>
      <c r="E86" s="703"/>
      <c r="F86" s="1673"/>
      <c r="G86" s="998"/>
      <c r="H86" s="1001" t="str">
        <f t="shared" si="24"/>
        <v>——</v>
      </c>
      <c r="I86" s="3065">
        <v>0.05</v>
      </c>
      <c r="J86" s="999">
        <f t="shared" si="25"/>
        <v>0</v>
      </c>
      <c r="K86" s="999">
        <f t="shared" si="26"/>
        <v>0</v>
      </c>
      <c r="L86" s="999">
        <v>0</v>
      </c>
      <c r="M86" s="999">
        <f t="shared" si="27"/>
        <v>0</v>
      </c>
      <c r="N86" s="999">
        <f t="shared" si="27"/>
        <v>0</v>
      </c>
      <c r="Z86" s="1843"/>
      <c r="AA86" s="1893"/>
      <c r="AG86" s="1056"/>
      <c r="AK86" s="1893"/>
    </row>
    <row r="87" spans="1:37" ht="25.5">
      <c r="A87" s="1968" t="s">
        <v>2049</v>
      </c>
      <c r="B87" s="1238" t="str">
        <f>估价对象房地状况!G19</f>
        <v>估价对象所在区域公共配套设施齐备情况</v>
      </c>
      <c r="C87" s="1885"/>
      <c r="D87" s="1000">
        <f t="shared" si="23"/>
        <v>0</v>
      </c>
      <c r="E87" s="703"/>
      <c r="F87" s="1673"/>
      <c r="G87" s="998"/>
      <c r="H87" s="1001" t="str">
        <f t="shared" si="24"/>
        <v>——</v>
      </c>
      <c r="I87" s="3065">
        <v>0.06</v>
      </c>
      <c r="J87" s="999">
        <f t="shared" si="25"/>
        <v>0</v>
      </c>
      <c r="K87" s="999">
        <f t="shared" si="26"/>
        <v>0</v>
      </c>
      <c r="L87" s="999">
        <v>0</v>
      </c>
      <c r="M87" s="999">
        <f t="shared" si="27"/>
        <v>0</v>
      </c>
      <c r="N87" s="999">
        <f t="shared" si="27"/>
        <v>0</v>
      </c>
    </row>
    <row r="88" spans="1:37" ht="25.5">
      <c r="A88" s="1968" t="s">
        <v>2050</v>
      </c>
      <c r="B88" s="1238" t="str">
        <f>估价对象房地状况!G20</f>
        <v>估价对象所在区域基础设施水平</v>
      </c>
      <c r="C88" s="1885"/>
      <c r="D88" s="1000">
        <f t="shared" si="23"/>
        <v>0</v>
      </c>
      <c r="E88" s="703"/>
      <c r="F88" s="1673"/>
      <c r="G88" s="998"/>
      <c r="H88" s="1001" t="str">
        <f t="shared" si="24"/>
        <v>——</v>
      </c>
      <c r="I88" s="3065">
        <v>0.12</v>
      </c>
      <c r="J88" s="999">
        <f t="shared" si="25"/>
        <v>0</v>
      </c>
      <c r="K88" s="999">
        <f t="shared" si="26"/>
        <v>0</v>
      </c>
      <c r="L88" s="999">
        <v>0</v>
      </c>
      <c r="M88" s="999">
        <f t="shared" si="27"/>
        <v>0</v>
      </c>
      <c r="N88" s="999">
        <f t="shared" si="27"/>
        <v>0</v>
      </c>
    </row>
    <row r="89" spans="1:37" ht="24">
      <c r="A89" s="1968" t="s">
        <v>2047</v>
      </c>
      <c r="B89" s="1973" t="s">
        <v>2061</v>
      </c>
      <c r="C89" s="1885"/>
      <c r="D89" s="1000">
        <f t="shared" si="23"/>
        <v>0</v>
      </c>
      <c r="E89" s="703"/>
      <c r="F89" s="1673"/>
      <c r="G89" s="998"/>
      <c r="H89" s="1001" t="str">
        <f t="shared" si="24"/>
        <v>——</v>
      </c>
      <c r="I89" s="3065">
        <v>0.06</v>
      </c>
      <c r="J89" s="999">
        <f t="shared" si="25"/>
        <v>0</v>
      </c>
      <c r="K89" s="999">
        <f t="shared" si="26"/>
        <v>0</v>
      </c>
      <c r="L89" s="999">
        <v>0</v>
      </c>
      <c r="M89" s="999">
        <f t="shared" si="27"/>
        <v>0</v>
      </c>
      <c r="N89" s="999">
        <f t="shared" si="27"/>
        <v>0</v>
      </c>
    </row>
    <row r="90" spans="1:37" ht="39" thickBot="1">
      <c r="A90" s="1975" t="s">
        <v>2062</v>
      </c>
      <c r="B90" s="1980" t="str">
        <f>估价对象房地状况!G18</f>
        <v>该园区内是否有污染型企业，绿化情况，卫生条件，整体环境状况判断</v>
      </c>
      <c r="C90" s="1885"/>
      <c r="D90" s="1000">
        <f t="shared" si="23"/>
        <v>0</v>
      </c>
      <c r="E90" s="704"/>
      <c r="F90" s="1673"/>
      <c r="G90" s="998"/>
      <c r="H90" s="1001" t="str">
        <f t="shared" si="24"/>
        <v>——</v>
      </c>
      <c r="I90" s="3066">
        <v>0.05</v>
      </c>
      <c r="J90" s="999">
        <f t="shared" si="25"/>
        <v>0</v>
      </c>
      <c r="K90" s="999">
        <f t="shared" si="26"/>
        <v>0</v>
      </c>
      <c r="L90" s="999">
        <v>0</v>
      </c>
      <c r="M90" s="999">
        <f t="shared" si="27"/>
        <v>0</v>
      </c>
      <c r="N90" s="999">
        <f t="shared" si="27"/>
        <v>0</v>
      </c>
    </row>
    <row r="91" spans="1:37" ht="15">
      <c r="A91" s="3075" t="s">
        <v>2600</v>
      </c>
      <c r="B91" s="3076">
        <f>1+E93</f>
        <v>1</v>
      </c>
      <c r="C91" s="3069"/>
      <c r="D91" s="3070"/>
      <c r="E91" s="1673"/>
      <c r="F91" s="1673"/>
      <c r="G91" s="3071"/>
      <c r="H91" s="3072"/>
      <c r="I91" s="3073"/>
      <c r="J91" s="3074"/>
      <c r="K91" s="3074"/>
      <c r="L91" s="3074"/>
      <c r="M91" s="3074"/>
      <c r="N91" s="3074"/>
    </row>
    <row r="92" spans="1:37" ht="24.75">
      <c r="A92" s="3077" t="s">
        <v>3258</v>
      </c>
      <c r="B92" s="2307"/>
      <c r="C92" s="2307" t="s">
        <v>3267</v>
      </c>
      <c r="D92" s="2307" t="s">
        <v>3268</v>
      </c>
      <c r="E92" s="3049" t="s">
        <v>3269</v>
      </c>
      <c r="F92" s="3079" t="s">
        <v>3270</v>
      </c>
      <c r="G92" s="2307" t="s">
        <v>3271</v>
      </c>
      <c r="H92" s="3086" t="s">
        <v>3274</v>
      </c>
      <c r="I92" s="2307" t="s">
        <v>3275</v>
      </c>
      <c r="J92" s="2148" t="s">
        <v>3276</v>
      </c>
      <c r="K92" s="2148" t="s">
        <v>3277</v>
      </c>
      <c r="L92" s="2148" t="s">
        <v>3278</v>
      </c>
      <c r="M92" s="2148" t="s">
        <v>3279</v>
      </c>
      <c r="N92" s="2148" t="s">
        <v>3280</v>
      </c>
    </row>
    <row r="93" spans="1:37" ht="24">
      <c r="A93" s="3067" t="s">
        <v>3259</v>
      </c>
      <c r="B93" s="1219"/>
      <c r="C93" s="1885"/>
      <c r="D93" s="2307">
        <f>SUMIF($J$92:$N$92,C93,J93:N93)</f>
        <v>0</v>
      </c>
      <c r="E93" s="3080">
        <f>ROUND(SUM(D93:D101),4)</f>
        <v>0</v>
      </c>
      <c r="F93" s="1673" t="str">
        <f>IF(E2="公共服务",SUMIF(L1:L12,G2,N1:N12),"——")</f>
        <v>——</v>
      </c>
      <c r="G93" s="3071"/>
      <c r="H93" s="3116" t="str">
        <f>IFERROR(ROUNDDOWN($F$93*I93/2,4),"——")</f>
        <v>——</v>
      </c>
      <c r="I93" s="3065">
        <v>0.25</v>
      </c>
      <c r="J93" s="1910">
        <f t="shared" ref="J93:J101" si="28">K93+$G93</f>
        <v>0</v>
      </c>
      <c r="K93" s="1910">
        <f t="shared" ref="K93:K101" si="29">$L93+$G93</f>
        <v>0</v>
      </c>
      <c r="L93" s="1910">
        <v>0</v>
      </c>
      <c r="M93" s="1910">
        <f t="shared" ref="M93:N101" si="30">L93-$G93</f>
        <v>0</v>
      </c>
      <c r="N93" s="1910">
        <f t="shared" si="30"/>
        <v>0</v>
      </c>
    </row>
    <row r="94" spans="1:37" ht="38.25">
      <c r="A94" s="3077" t="s">
        <v>3260</v>
      </c>
      <c r="B94" s="3068" t="str">
        <f>估价对象房地状况!C18</f>
        <v>估价对象周边道路状况、公共交通通达情况、停车便捷程度，综合评价交通便捷度较好</v>
      </c>
      <c r="C94" s="1885"/>
      <c r="D94" s="2307">
        <f t="shared" ref="D94:D101" si="31">SUMIF($J$60:$N$60,C94,J94:N94)</f>
        <v>0</v>
      </c>
      <c r="E94" s="3081"/>
      <c r="F94" s="1673"/>
      <c r="G94" s="3071"/>
      <c r="H94" s="3116" t="str">
        <f>IFERROR(ROUNDDOWN($F$93*I94/2,4),"——")</f>
        <v>——</v>
      </c>
      <c r="I94" s="3065">
        <v>0.26</v>
      </c>
      <c r="J94" s="1910">
        <f t="shared" si="28"/>
        <v>0</v>
      </c>
      <c r="K94" s="1910">
        <f t="shared" si="29"/>
        <v>0</v>
      </c>
      <c r="L94" s="1910">
        <v>0</v>
      </c>
      <c r="M94" s="1910">
        <f t="shared" si="30"/>
        <v>0</v>
      </c>
      <c r="N94" s="1910">
        <f t="shared" si="30"/>
        <v>0</v>
      </c>
    </row>
    <row r="95" spans="1:37" ht="36">
      <c r="A95" s="3067" t="s">
        <v>3256</v>
      </c>
      <c r="B95" s="3068">
        <f>估价对象房地状况!C19</f>
        <v>0</v>
      </c>
      <c r="C95" s="1885"/>
      <c r="D95" s="2307">
        <f t="shared" si="31"/>
        <v>0</v>
      </c>
      <c r="E95" s="3081"/>
      <c r="F95" s="1673"/>
      <c r="G95" s="3071"/>
      <c r="H95" s="3116" t="str">
        <f t="shared" ref="H95:H101" si="32">IFERROR(ROUNDDOWN($F$93*I95/2,4),"——")</f>
        <v>——</v>
      </c>
      <c r="I95" s="3065">
        <v>0.11</v>
      </c>
      <c r="J95" s="1910">
        <f t="shared" si="28"/>
        <v>0</v>
      </c>
      <c r="K95" s="1910">
        <f t="shared" si="29"/>
        <v>0</v>
      </c>
      <c r="L95" s="1910">
        <v>0</v>
      </c>
      <c r="M95" s="1910">
        <f t="shared" si="30"/>
        <v>0</v>
      </c>
      <c r="N95" s="1910">
        <f t="shared" si="30"/>
        <v>0</v>
      </c>
    </row>
    <row r="96" spans="1:37" ht="36.75">
      <c r="A96" s="3077" t="s">
        <v>3261</v>
      </c>
      <c r="B96" s="3083" t="s">
        <v>3272</v>
      </c>
      <c r="C96" s="1885"/>
      <c r="D96" s="2307">
        <f t="shared" si="31"/>
        <v>0</v>
      </c>
      <c r="E96" s="3081"/>
      <c r="F96" s="1673"/>
      <c r="G96" s="3071"/>
      <c r="H96" s="3116" t="str">
        <f t="shared" si="32"/>
        <v>——</v>
      </c>
      <c r="I96" s="3065">
        <v>0.05</v>
      </c>
      <c r="J96" s="1910">
        <f t="shared" si="28"/>
        <v>0</v>
      </c>
      <c r="K96" s="1910">
        <f t="shared" si="29"/>
        <v>0</v>
      </c>
      <c r="L96" s="1910">
        <v>0</v>
      </c>
      <c r="M96" s="1910">
        <f t="shared" si="30"/>
        <v>0</v>
      </c>
      <c r="N96" s="1910">
        <f t="shared" si="30"/>
        <v>0</v>
      </c>
    </row>
    <row r="97" spans="1:14" ht="24">
      <c r="A97" s="3077" t="s">
        <v>3262</v>
      </c>
      <c r="B97" s="3068">
        <f>估价对象房地状况!C24</f>
        <v>0</v>
      </c>
      <c r="C97" s="1885"/>
      <c r="D97" s="2307">
        <f t="shared" si="31"/>
        <v>0</v>
      </c>
      <c r="E97" s="3081"/>
      <c r="F97" s="1673"/>
      <c r="G97" s="3071"/>
      <c r="H97" s="3116" t="str">
        <f t="shared" si="32"/>
        <v>——</v>
      </c>
      <c r="I97" s="3065">
        <v>0.05</v>
      </c>
      <c r="J97" s="1910">
        <f t="shared" si="28"/>
        <v>0</v>
      </c>
      <c r="K97" s="1910">
        <f t="shared" si="29"/>
        <v>0</v>
      </c>
      <c r="L97" s="1910">
        <v>0</v>
      </c>
      <c r="M97" s="1910">
        <f t="shared" si="30"/>
        <v>0</v>
      </c>
      <c r="N97" s="1910">
        <f t="shared" si="30"/>
        <v>0</v>
      </c>
    </row>
    <row r="98" spans="1:14" ht="24">
      <c r="A98" s="3077" t="s">
        <v>3263</v>
      </c>
      <c r="B98" s="3084" t="s">
        <v>3273</v>
      </c>
      <c r="C98" s="1885"/>
      <c r="D98" s="2307">
        <f t="shared" si="31"/>
        <v>0</v>
      </c>
      <c r="E98" s="3081"/>
      <c r="F98" s="1673"/>
      <c r="G98" s="3071"/>
      <c r="H98" s="3116" t="str">
        <f t="shared" si="32"/>
        <v>——</v>
      </c>
      <c r="I98" s="3065">
        <v>0.06</v>
      </c>
      <c r="J98" s="1910">
        <f t="shared" si="28"/>
        <v>0</v>
      </c>
      <c r="K98" s="1910">
        <f t="shared" si="29"/>
        <v>0</v>
      </c>
      <c r="L98" s="1910">
        <v>0</v>
      </c>
      <c r="M98" s="1910">
        <f t="shared" si="30"/>
        <v>0</v>
      </c>
      <c r="N98" s="1910">
        <f t="shared" si="30"/>
        <v>0</v>
      </c>
    </row>
    <row r="99" spans="1:14" ht="25.5">
      <c r="A99" s="3077" t="s">
        <v>3264</v>
      </c>
      <c r="B99" s="3068" t="str">
        <f>估价对象房地状况!C21</f>
        <v>估价对象所在区域公共配套设施齐备情况</v>
      </c>
      <c r="C99" s="1885"/>
      <c r="D99" s="2307">
        <f t="shared" si="31"/>
        <v>0</v>
      </c>
      <c r="E99" s="3081"/>
      <c r="F99" s="1673"/>
      <c r="G99" s="3071"/>
      <c r="H99" s="3116" t="str">
        <f t="shared" si="32"/>
        <v>——</v>
      </c>
      <c r="I99" s="3065">
        <v>0.06</v>
      </c>
      <c r="J99" s="1910">
        <f t="shared" si="28"/>
        <v>0</v>
      </c>
      <c r="K99" s="1910">
        <f t="shared" si="29"/>
        <v>0</v>
      </c>
      <c r="L99" s="1910">
        <v>0</v>
      </c>
      <c r="M99" s="1910">
        <f t="shared" si="30"/>
        <v>0</v>
      </c>
      <c r="N99" s="1910">
        <f t="shared" si="30"/>
        <v>0</v>
      </c>
    </row>
    <row r="100" spans="1:14" ht="25.5">
      <c r="A100" s="3077" t="s">
        <v>3265</v>
      </c>
      <c r="B100" s="3068" t="str">
        <f>估价对象房地状况!C22</f>
        <v>估价对象所在区域基础设施水平</v>
      </c>
      <c r="C100" s="1885"/>
      <c r="D100" s="2307">
        <f t="shared" si="31"/>
        <v>0</v>
      </c>
      <c r="E100" s="3081"/>
      <c r="F100" s="1673"/>
      <c r="G100" s="3071"/>
      <c r="H100" s="3116" t="str">
        <f t="shared" si="32"/>
        <v>——</v>
      </c>
      <c r="I100" s="3065">
        <v>0.09</v>
      </c>
      <c r="J100" s="1910">
        <f t="shared" si="28"/>
        <v>0</v>
      </c>
      <c r="K100" s="1910">
        <f t="shared" si="29"/>
        <v>0</v>
      </c>
      <c r="L100" s="1910">
        <v>0</v>
      </c>
      <c r="M100" s="1910">
        <f t="shared" si="30"/>
        <v>0</v>
      </c>
      <c r="N100" s="1910">
        <f t="shared" si="30"/>
        <v>0</v>
      </c>
    </row>
    <row r="101" spans="1:14" ht="26.25" thickBot="1">
      <c r="A101" s="3078" t="s">
        <v>3266</v>
      </c>
      <c r="B101" s="3085" t="str">
        <f>估价对象房地状况!C20</f>
        <v>区域自然环境：；人文环境；综合评价环境状况一般</v>
      </c>
      <c r="C101" s="1885"/>
      <c r="D101" s="2307">
        <f t="shared" si="31"/>
        <v>0</v>
      </c>
      <c r="E101" s="3082"/>
      <c r="F101" s="1673"/>
      <c r="G101" s="3071"/>
      <c r="H101" s="3116" t="str">
        <f t="shared" si="32"/>
        <v>——</v>
      </c>
      <c r="I101" s="3066">
        <v>7.0000000000000007E-2</v>
      </c>
      <c r="J101" s="1910">
        <f t="shared" si="28"/>
        <v>0</v>
      </c>
      <c r="K101" s="1910">
        <f t="shared" si="29"/>
        <v>0</v>
      </c>
      <c r="L101" s="1910">
        <v>0</v>
      </c>
      <c r="M101" s="1910">
        <f t="shared" si="30"/>
        <v>0</v>
      </c>
      <c r="N101" s="1910">
        <f t="shared" si="30"/>
        <v>0</v>
      </c>
    </row>
    <row r="103" spans="1:14">
      <c r="A103" s="3439" t="s">
        <v>3281</v>
      </c>
      <c r="B103" s="3439"/>
      <c r="C103" s="3439"/>
      <c r="D103" s="3439"/>
      <c r="E103" s="3439"/>
      <c r="F103" s="3439"/>
      <c r="G103" s="3439"/>
      <c r="H103" s="3439"/>
      <c r="I103" s="3439"/>
      <c r="J103" s="3439"/>
      <c r="K103" s="1665"/>
      <c r="L103" s="1665"/>
      <c r="M103" s="1665"/>
      <c r="N103" s="1665"/>
    </row>
    <row r="104" spans="1:14">
      <c r="A104" s="3440" t="s">
        <v>3282</v>
      </c>
      <c r="B104" s="3440" t="s">
        <v>3283</v>
      </c>
      <c r="C104" s="3087" t="s">
        <v>3284</v>
      </c>
      <c r="D104" s="3088"/>
      <c r="E104" s="3088"/>
      <c r="F104" s="3088"/>
      <c r="G104" s="3088"/>
      <c r="H104" s="3088"/>
      <c r="I104" s="3088"/>
      <c r="J104" s="3089"/>
      <c r="K104" s="3090"/>
      <c r="L104" s="3090"/>
      <c r="M104" s="3090"/>
      <c r="N104" s="3090"/>
    </row>
    <row r="105" spans="1:14">
      <c r="A105" s="3440"/>
      <c r="B105" s="3440"/>
      <c r="C105" s="3091" t="s">
        <v>3285</v>
      </c>
      <c r="D105" s="3091" t="s">
        <v>3286</v>
      </c>
      <c r="E105" s="3091" t="s">
        <v>3287</v>
      </c>
      <c r="F105" s="3091" t="s">
        <v>3288</v>
      </c>
      <c r="G105" s="3091" t="s">
        <v>3289</v>
      </c>
      <c r="H105" s="3091" t="s">
        <v>3290</v>
      </c>
      <c r="I105" s="3091" t="s">
        <v>3291</v>
      </c>
      <c r="J105" s="3091" t="s">
        <v>3292</v>
      </c>
      <c r="K105" s="3091" t="s">
        <v>3293</v>
      </c>
      <c r="L105" s="3091" t="s">
        <v>3294</v>
      </c>
      <c r="M105" s="3091" t="s">
        <v>3295</v>
      </c>
      <c r="N105" s="3091" t="s">
        <v>3296</v>
      </c>
    </row>
    <row r="106" spans="1:14">
      <c r="A106" s="3426" t="s">
        <v>3297</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27"/>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27"/>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27"/>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27"/>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27"/>
      <c r="B111" s="3091" t="s">
        <v>3255</v>
      </c>
      <c r="C111" s="3092">
        <f>$I$3</f>
        <v>0</v>
      </c>
      <c r="D111" s="3092">
        <f t="shared" ref="D111:M111" si="33">$I$3</f>
        <v>0</v>
      </c>
      <c r="E111" s="3092">
        <f t="shared" si="33"/>
        <v>0</v>
      </c>
      <c r="F111" s="3092">
        <f t="shared" si="33"/>
        <v>0</v>
      </c>
      <c r="G111" s="3092">
        <f t="shared" si="33"/>
        <v>0</v>
      </c>
      <c r="H111" s="3092">
        <f t="shared" si="33"/>
        <v>0</v>
      </c>
      <c r="I111" s="3092">
        <f t="shared" si="33"/>
        <v>0</v>
      </c>
      <c r="J111" s="3092">
        <f t="shared" si="33"/>
        <v>0</v>
      </c>
      <c r="K111" s="3092">
        <f t="shared" si="33"/>
        <v>0</v>
      </c>
      <c r="L111" s="3092">
        <f t="shared" si="33"/>
        <v>0</v>
      </c>
      <c r="M111" s="3092">
        <f t="shared" si="33"/>
        <v>0</v>
      </c>
      <c r="N111" s="3092">
        <f>$I$3</f>
        <v>0</v>
      </c>
    </row>
    <row r="112" spans="1:14">
      <c r="A112" s="3428"/>
      <c r="B112" s="3091">
        <v>6</v>
      </c>
      <c r="C112" s="3086">
        <f>(-0.5556*(C111^2)-0.2719*C111+8944)*(10^(-4))</f>
        <v>0.89440000000000008</v>
      </c>
      <c r="D112" s="3086">
        <f>(-0.5556*(D111^2)-0.2719*D111+8944)*(10^(-4))</f>
        <v>0.89440000000000008</v>
      </c>
      <c r="E112" s="3086">
        <f>(-0.7912*(E111^2)-11.3794*E111+8482)*(10^(-4))</f>
        <v>0.84820000000000007</v>
      </c>
      <c r="F112" s="3086">
        <f t="shared" ref="F112:I112" si="34">(-0.7912*(F111^2)-11.3794*F111+8482)*(10^(-4))</f>
        <v>0.84820000000000007</v>
      </c>
      <c r="G112" s="3086">
        <f t="shared" si="34"/>
        <v>0.84820000000000007</v>
      </c>
      <c r="H112" s="3086">
        <f t="shared" si="34"/>
        <v>0.84820000000000007</v>
      </c>
      <c r="I112" s="3086">
        <f t="shared" si="34"/>
        <v>0.84820000000000007</v>
      </c>
      <c r="J112" s="3086">
        <f>(-0.989*(J111^2)-63.78*J111+7771)*(10^(-4))</f>
        <v>0.77710000000000001</v>
      </c>
      <c r="K112" s="3086">
        <f t="shared" ref="K112:N112" si="35">(-0.989*(K111^2)-63.78*K111+7771)*(10^(-4))</f>
        <v>0.77710000000000001</v>
      </c>
      <c r="L112" s="3086">
        <f t="shared" si="35"/>
        <v>0.77710000000000001</v>
      </c>
      <c r="M112" s="3086">
        <f t="shared" si="35"/>
        <v>0.77710000000000001</v>
      </c>
      <c r="N112" s="3086">
        <f t="shared" si="35"/>
        <v>0.77710000000000001</v>
      </c>
    </row>
    <row r="113" spans="1:14">
      <c r="A113" s="3429" t="s">
        <v>3298</v>
      </c>
      <c r="B113" s="3429"/>
      <c r="C113" s="3429"/>
      <c r="D113" s="3429"/>
      <c r="E113" s="3429"/>
      <c r="F113" s="3429"/>
      <c r="G113" s="3429"/>
      <c r="H113" s="3429"/>
      <c r="I113" s="3429"/>
      <c r="J113" s="3429"/>
      <c r="K113" s="3093"/>
      <c r="L113" s="3093"/>
      <c r="M113" s="3093"/>
      <c r="N113" s="3093"/>
    </row>
    <row r="114" spans="1:14">
      <c r="A114" s="3094"/>
      <c r="B114" s="3094"/>
      <c r="C114" s="3094"/>
      <c r="D114" s="3094"/>
      <c r="E114" s="3094"/>
      <c r="F114" s="3094"/>
      <c r="G114" s="3094"/>
      <c r="H114" s="3094"/>
      <c r="I114" s="3094"/>
      <c r="J114" s="3094"/>
      <c r="K114" s="1962"/>
      <c r="L114" s="3094"/>
      <c r="M114" s="3094"/>
      <c r="N114" s="3094"/>
    </row>
    <row r="115" spans="1:14" ht="13.5" thickBot="1">
      <c r="A115" s="3094"/>
      <c r="B115" s="3094"/>
      <c r="C115" s="3094"/>
      <c r="D115" s="3094"/>
      <c r="E115" s="3094"/>
      <c r="F115" s="3094"/>
      <c r="G115" s="3094"/>
      <c r="H115" s="3094"/>
      <c r="I115" s="3094"/>
      <c r="J115" s="3094"/>
      <c r="K115" s="1962"/>
      <c r="L115" s="3094"/>
      <c r="M115" s="3094"/>
      <c r="N115" s="3094"/>
    </row>
    <row r="116" spans="1:14" ht="25.5" thickBot="1">
      <c r="A116" s="3095" t="s">
        <v>3299</v>
      </c>
      <c r="B116" s="3111">
        <f>G3</f>
        <v>2.39</v>
      </c>
      <c r="C116" s="3096" t="s">
        <v>3300</v>
      </c>
      <c r="D116" s="3097">
        <f>SUMPRODUCT((A118:A122=F116)*(B117:M117=H116)*B118:M122)</f>
        <v>0.91549999999999998</v>
      </c>
      <c r="E116" s="161" t="s">
        <v>3301</v>
      </c>
      <c r="F116" s="3098" t="str">
        <f>E2</f>
        <v>商业</v>
      </c>
      <c r="G116" s="161" t="s">
        <v>3302</v>
      </c>
      <c r="H116" s="3098" t="str">
        <f>G2</f>
        <v>七级</v>
      </c>
      <c r="I116" s="161"/>
      <c r="J116" s="3099"/>
      <c r="K116" s="3099"/>
      <c r="L116" s="3099"/>
      <c r="M116" s="3099"/>
      <c r="N116" s="3094"/>
    </row>
    <row r="117" spans="1:14">
      <c r="A117" s="3100"/>
      <c r="B117" s="3101" t="s">
        <v>3303</v>
      </c>
      <c r="C117" s="3101" t="s">
        <v>3304</v>
      </c>
      <c r="D117" s="3101" t="s">
        <v>3305</v>
      </c>
      <c r="E117" s="3102" t="s">
        <v>3306</v>
      </c>
      <c r="F117" s="3102" t="s">
        <v>3307</v>
      </c>
      <c r="G117" s="3102" t="s">
        <v>3308</v>
      </c>
      <c r="H117" s="3103" t="s">
        <v>3309</v>
      </c>
      <c r="I117" s="3103" t="s">
        <v>3310</v>
      </c>
      <c r="J117" s="3104" t="s">
        <v>3311</v>
      </c>
      <c r="K117" s="3104" t="s">
        <v>3312</v>
      </c>
      <c r="L117" s="3104" t="s">
        <v>3313</v>
      </c>
      <c r="M117" s="3105" t="s">
        <v>3314</v>
      </c>
      <c r="N117" s="3094"/>
    </row>
    <row r="118" spans="1:14">
      <c r="A118" s="3054" t="s">
        <v>3315</v>
      </c>
      <c r="B118" s="3086">
        <f>ROUND(0.9968-0.011*B116,4)</f>
        <v>0.97050000000000003</v>
      </c>
      <c r="C118" s="3086">
        <f>B118</f>
        <v>0.97050000000000003</v>
      </c>
      <c r="D118" s="3086">
        <f>ROUND(0.949-0.014*B116,4)</f>
        <v>0.91549999999999998</v>
      </c>
      <c r="E118" s="3086">
        <f>D118</f>
        <v>0.91549999999999998</v>
      </c>
      <c r="F118" s="3086">
        <f>E118</f>
        <v>0.91549999999999998</v>
      </c>
      <c r="G118" s="3086">
        <f>F118</f>
        <v>0.91549999999999998</v>
      </c>
      <c r="H118" s="3086">
        <f>G118</f>
        <v>0.91549999999999998</v>
      </c>
      <c r="I118" s="3086">
        <f>ROUND(0.8486-0.018*B116,4)</f>
        <v>0.80559999999999998</v>
      </c>
      <c r="J118" s="3086">
        <f t="shared" ref="J118:M122" si="36">I118</f>
        <v>0.80559999999999998</v>
      </c>
      <c r="K118" s="3086">
        <f t="shared" si="36"/>
        <v>0.80559999999999998</v>
      </c>
      <c r="L118" s="3086">
        <f t="shared" si="36"/>
        <v>0.80559999999999998</v>
      </c>
      <c r="M118" s="3106">
        <f t="shared" si="36"/>
        <v>0.80559999999999998</v>
      </c>
      <c r="N118" s="3094"/>
    </row>
    <row r="119" spans="1:14">
      <c r="A119" s="3054" t="s">
        <v>3316</v>
      </c>
      <c r="B119" s="3086">
        <f>ROUND(0.993-0.0112*B116,4)</f>
        <v>0.96619999999999995</v>
      </c>
      <c r="C119" s="3086">
        <f>B119</f>
        <v>0.96619999999999995</v>
      </c>
      <c r="D119" s="3086">
        <f>ROUND(0.9415-0.0142*B116,4)</f>
        <v>0.90759999999999996</v>
      </c>
      <c r="E119" s="3086">
        <f t="shared" ref="E119:H120" si="37">D119</f>
        <v>0.90759999999999996</v>
      </c>
      <c r="F119" s="3086">
        <f t="shared" si="37"/>
        <v>0.90759999999999996</v>
      </c>
      <c r="G119" s="3086">
        <f t="shared" si="37"/>
        <v>0.90759999999999996</v>
      </c>
      <c r="H119" s="3086">
        <f t="shared" si="37"/>
        <v>0.90759999999999996</v>
      </c>
      <c r="I119" s="3086">
        <f>ROUND(0.838-0.0182*B116,4)</f>
        <v>0.79449999999999998</v>
      </c>
      <c r="J119" s="3086">
        <f t="shared" si="36"/>
        <v>0.79449999999999998</v>
      </c>
      <c r="K119" s="3086">
        <f t="shared" si="36"/>
        <v>0.79449999999999998</v>
      </c>
      <c r="L119" s="3086">
        <f t="shared" si="36"/>
        <v>0.79449999999999998</v>
      </c>
      <c r="M119" s="3106">
        <f t="shared" si="36"/>
        <v>0.79449999999999998</v>
      </c>
      <c r="N119" s="3094"/>
    </row>
    <row r="120" spans="1:14">
      <c r="A120" s="3054" t="s">
        <v>3317</v>
      </c>
      <c r="B120" s="3086">
        <f>ROUND(0.9448-0.0115*B116,4)</f>
        <v>0.9173</v>
      </c>
      <c r="C120" s="3086">
        <f>B120</f>
        <v>0.9173</v>
      </c>
      <c r="D120" s="3086">
        <f>ROUND(0.937-0.0145*B116,4)</f>
        <v>0.90229999999999999</v>
      </c>
      <c r="E120" s="3086">
        <f t="shared" si="37"/>
        <v>0.90229999999999999</v>
      </c>
      <c r="F120" s="3086">
        <f t="shared" si="37"/>
        <v>0.90229999999999999</v>
      </c>
      <c r="G120" s="3086">
        <f t="shared" si="37"/>
        <v>0.90229999999999999</v>
      </c>
      <c r="H120" s="3086">
        <f t="shared" si="37"/>
        <v>0.90229999999999999</v>
      </c>
      <c r="I120" s="3086">
        <f>ROUND(0.7965-0.0185*B116,4)</f>
        <v>0.75229999999999997</v>
      </c>
      <c r="J120" s="3086">
        <f t="shared" si="36"/>
        <v>0.75229999999999997</v>
      </c>
      <c r="K120" s="3086">
        <f t="shared" si="36"/>
        <v>0.75229999999999997</v>
      </c>
      <c r="L120" s="3086">
        <f t="shared" si="36"/>
        <v>0.75229999999999997</v>
      </c>
      <c r="M120" s="3106">
        <f t="shared" si="36"/>
        <v>0.75229999999999997</v>
      </c>
      <c r="N120" s="3094"/>
    </row>
    <row r="121" spans="1:14" ht="13.5" thickBot="1">
      <c r="A121" s="3107" t="s">
        <v>3318</v>
      </c>
      <c r="B121" s="3108">
        <f>ROUND(0.7836-0.012*B116,4)</f>
        <v>0.75490000000000002</v>
      </c>
      <c r="C121" s="3108">
        <f>B121</f>
        <v>0.75490000000000002</v>
      </c>
      <c r="D121" s="3108">
        <f>ROUND(0.753-0.015*B116,4)</f>
        <v>0.71719999999999995</v>
      </c>
      <c r="E121" s="3108">
        <f>D121</f>
        <v>0.71719999999999995</v>
      </c>
      <c r="F121" s="3108">
        <f>E121</f>
        <v>0.71719999999999995</v>
      </c>
      <c r="G121" s="3108">
        <f>ROUND(0.6612-0.018*B116,4)</f>
        <v>0.61819999999999997</v>
      </c>
      <c r="H121" s="3108">
        <f>G121</f>
        <v>0.61819999999999997</v>
      </c>
      <c r="I121" s="3108">
        <f>ROUND(0.5905-0.019*B116,4)</f>
        <v>0.54510000000000003</v>
      </c>
      <c r="J121" s="3108">
        <f t="shared" si="36"/>
        <v>0.54510000000000003</v>
      </c>
      <c r="K121" s="3108">
        <f t="shared" si="36"/>
        <v>0.54510000000000003</v>
      </c>
      <c r="L121" s="3108">
        <f t="shared" si="36"/>
        <v>0.54510000000000003</v>
      </c>
      <c r="M121" s="3109">
        <f t="shared" si="36"/>
        <v>0.54510000000000003</v>
      </c>
      <c r="N121" s="3094"/>
    </row>
    <row r="122" spans="1:14">
      <c r="A122" s="3110" t="s">
        <v>2600</v>
      </c>
      <c r="B122" s="3086">
        <f>ROUND(0.9404-0.0106*B116,4)</f>
        <v>0.91510000000000002</v>
      </c>
      <c r="C122" s="3086">
        <f>B122</f>
        <v>0.91510000000000002</v>
      </c>
      <c r="D122" s="3086">
        <f>ROUND(0.8955-0.0135*B116,4)</f>
        <v>0.86319999999999997</v>
      </c>
      <c r="E122" s="3086">
        <f t="shared" ref="E122:H122" si="38">D122</f>
        <v>0.86319999999999997</v>
      </c>
      <c r="F122" s="3086">
        <f t="shared" si="38"/>
        <v>0.86319999999999997</v>
      </c>
      <c r="G122" s="3086">
        <f t="shared" si="38"/>
        <v>0.86319999999999997</v>
      </c>
      <c r="H122" s="3086">
        <f t="shared" si="38"/>
        <v>0.86319999999999997</v>
      </c>
      <c r="I122" s="3086">
        <f>ROUND(0.7632-0.0166*B116,4)</f>
        <v>0.72350000000000003</v>
      </c>
      <c r="J122" s="3086">
        <f t="shared" si="36"/>
        <v>0.72350000000000003</v>
      </c>
      <c r="K122" s="3086">
        <f t="shared" si="36"/>
        <v>0.72350000000000003</v>
      </c>
      <c r="L122" s="3086">
        <f t="shared" si="36"/>
        <v>0.72350000000000003</v>
      </c>
      <c r="M122" s="3106">
        <f t="shared" si="36"/>
        <v>0.72350000000000003</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90" zoomScaleNormal="60" zoomScaleSheetLayoutView="90" workbookViewId="0">
      <selection activeCell="O21" sqref="O2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1859</v>
      </c>
      <c r="B1" s="339"/>
      <c r="C1" s="340" t="s">
        <v>1860</v>
      </c>
      <c r="D1" s="650"/>
      <c r="E1" s="650"/>
      <c r="F1" s="649" t="s">
        <v>1759</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1454</v>
      </c>
      <c r="B2" s="590">
        <f>F65</f>
        <v>15556</v>
      </c>
      <c r="C2" s="852"/>
      <c r="D2" s="852"/>
      <c r="E2" s="853"/>
      <c r="F2" s="854"/>
      <c r="G2" s="853"/>
      <c r="H2" s="853"/>
      <c r="I2" s="853"/>
      <c r="J2" s="853"/>
      <c r="K2" s="855"/>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1456</v>
      </c>
      <c r="B3" s="535">
        <f>ROUND(IF(D3="",B2*10000/'数据-汇总表'!E3,B2*10000/D3),0)</f>
        <v>6482</v>
      </c>
      <c r="C3" s="194" t="s">
        <v>1861</v>
      </c>
      <c r="D3" s="1109"/>
      <c r="E3" s="853"/>
      <c r="F3" s="854"/>
      <c r="G3" s="853"/>
      <c r="H3" s="853"/>
      <c r="I3" s="853"/>
      <c r="J3" s="853"/>
      <c r="K3" s="855"/>
      <c r="L3" s="2501"/>
      <c r="M3" s="2502"/>
      <c r="N3" s="2502"/>
      <c r="O3" s="2502"/>
      <c r="P3" s="340"/>
      <c r="Q3" s="340"/>
      <c r="R3" s="340"/>
      <c r="S3" s="340"/>
      <c r="T3" s="340"/>
      <c r="U3" s="340"/>
      <c r="V3" s="340"/>
      <c r="W3" s="340"/>
      <c r="X3" s="340"/>
      <c r="Y3" s="340"/>
      <c r="Z3" s="340"/>
      <c r="AA3" s="340"/>
      <c r="AB3" s="675"/>
      <c r="AC3" s="662"/>
    </row>
    <row r="4" spans="1:29" ht="15">
      <c r="A4" s="344" t="s">
        <v>1761</v>
      </c>
      <c r="B4" s="345"/>
      <c r="C4" s="3449" t="s">
        <v>1762</v>
      </c>
      <c r="D4" s="3461"/>
      <c r="E4" s="3462" t="s">
        <v>1763</v>
      </c>
      <c r="F4" s="3463"/>
      <c r="G4" s="3449" t="s">
        <v>1764</v>
      </c>
      <c r="H4" s="3461"/>
      <c r="I4" s="3449" t="s">
        <v>1765</v>
      </c>
      <c r="J4" s="3461"/>
      <c r="K4" s="536" t="s">
        <v>1766</v>
      </c>
      <c r="L4" s="2484"/>
      <c r="M4" s="2485"/>
      <c r="N4" s="2485"/>
      <c r="O4" s="2485"/>
      <c r="P4" s="3464" t="s">
        <v>1767</v>
      </c>
      <c r="Q4" s="3465"/>
      <c r="R4" s="3470" t="s">
        <v>1763</v>
      </c>
      <c r="S4" s="3471"/>
      <c r="T4" s="3470" t="s">
        <v>1764</v>
      </c>
      <c r="U4" s="3471"/>
      <c r="V4" s="3457" t="s">
        <v>1765</v>
      </c>
      <c r="W4" s="3457"/>
      <c r="X4" s="1263"/>
      <c r="Y4" s="3470" t="s">
        <v>1767</v>
      </c>
      <c r="Z4" s="3471"/>
      <c r="AA4" s="3458" t="s">
        <v>1763</v>
      </c>
      <c r="AB4" s="3459" t="s">
        <v>1764</v>
      </c>
      <c r="AC4" s="3458" t="s">
        <v>1765</v>
      </c>
    </row>
    <row r="5" spans="1:29" ht="97.5" customHeight="1">
      <c r="A5" s="347"/>
      <c r="B5" s="348"/>
      <c r="C5" s="3478" t="s">
        <v>1665</v>
      </c>
      <c r="D5" s="3479"/>
      <c r="E5" s="3485" t="str">
        <f>商业土地案例!A7</f>
        <v>北京城市副中心1202街区FZX-1202-0074地块 F3其他类多功能用地国有建设用地使用权挂牌出让</v>
      </c>
      <c r="F5" s="3486"/>
      <c r="G5" s="3478" t="str">
        <f>商业土地案例!A10</f>
        <v>北京市顺义区天竺旧村改造土地一级开发项目SY00-2801-0149地块B4综合性商业金融服务用地</v>
      </c>
      <c r="H5" s="3479"/>
      <c r="I5" s="3478" t="str">
        <f>商业土地案例!A16</f>
        <v>北京城市副中心0201街区玉桥家园中心FZX-0201-0096、0102地块F3其他类多功能用地国有建设用地使用权出让公告</v>
      </c>
      <c r="J5" s="3479"/>
      <c r="K5" s="536"/>
      <c r="L5" s="2484"/>
      <c r="M5" s="2485"/>
      <c r="N5" s="2485"/>
      <c r="O5" s="2485"/>
      <c r="P5" s="3466"/>
      <c r="Q5" s="3467"/>
      <c r="R5" s="3472"/>
      <c r="S5" s="3473"/>
      <c r="T5" s="3472"/>
      <c r="U5" s="3473"/>
      <c r="V5" s="3457"/>
      <c r="W5" s="3457"/>
      <c r="X5" s="1263"/>
      <c r="Y5" s="3472"/>
      <c r="Z5" s="3473"/>
      <c r="AA5" s="3459"/>
      <c r="AB5" s="3459"/>
      <c r="AC5" s="3459"/>
    </row>
    <row r="6" spans="1:29" ht="15.75" thickBot="1">
      <c r="A6" s="349"/>
      <c r="B6" s="350"/>
      <c r="C6" s="3476" t="s">
        <v>1669</v>
      </c>
      <c r="D6" s="3477"/>
      <c r="E6" s="3483" t="str">
        <f>商业土地案例!E7</f>
        <v>京土储挂(通)〔2024〕031号</v>
      </c>
      <c r="F6" s="3484"/>
      <c r="G6" s="3476" t="str">
        <f>商业土地案例!E10</f>
        <v>京土储挂(顺)[2024]024号</v>
      </c>
      <c r="H6" s="3477"/>
      <c r="I6" s="3476" t="str">
        <f>商业土地案例!E16</f>
        <v>京土储挂(通)[2023]042号</v>
      </c>
      <c r="J6" s="3477"/>
      <c r="K6" s="536" t="s">
        <v>1670</v>
      </c>
      <c r="L6" s="2484"/>
      <c r="M6" s="2485"/>
      <c r="N6" s="2485"/>
      <c r="O6" s="2485"/>
      <c r="P6" s="3468"/>
      <c r="Q6" s="3469"/>
      <c r="R6" s="3472"/>
      <c r="S6" s="3473"/>
      <c r="T6" s="3474"/>
      <c r="U6" s="3475"/>
      <c r="V6" s="3457"/>
      <c r="W6" s="3457"/>
      <c r="X6" s="1263"/>
      <c r="Y6" s="3474"/>
      <c r="Z6" s="3475"/>
      <c r="AA6" s="3460"/>
      <c r="AB6" s="3460"/>
      <c r="AC6" s="3460"/>
    </row>
    <row r="7" spans="1:29" s="101" customFormat="1" ht="15.75" thickBot="1">
      <c r="A7" s="351" t="s">
        <v>1671</v>
      </c>
      <c r="B7" s="352"/>
      <c r="C7" s="353">
        <f>'数据-取费表'!B2</f>
        <v>45709</v>
      </c>
      <c r="D7" s="354">
        <v>100</v>
      </c>
      <c r="E7" s="355" t="str">
        <f>商业土地案例!P7</f>
        <v>2024-09-11</v>
      </c>
      <c r="F7" s="356">
        <f>SUMIF(69:69,YEAR(E7)&amp;"-"&amp;INT((MONTH(E7)+2)/3),70:70)</f>
        <v>100</v>
      </c>
      <c r="G7" s="1820" t="str">
        <f>商业土地案例!P10</f>
        <v>2024-07-22</v>
      </c>
      <c r="H7" s="354">
        <f>SUMIF(69:69,YEAR(G7)&amp;"-"&amp;INT((MONTH(G7)+2)/3),70:70)</f>
        <v>100</v>
      </c>
      <c r="I7" s="1820" t="str">
        <f>商业土地案例!P16</f>
        <v>2023-09-20</v>
      </c>
      <c r="J7" s="354">
        <f>SUMIF(69:69,YEAR(I7)&amp;"-"&amp;INT((MONTH(I7)+2)/3),70:70)</f>
        <v>100</v>
      </c>
      <c r="K7" s="38"/>
      <c r="L7" s="2486"/>
      <c r="M7" s="2437"/>
      <c r="N7" s="2437"/>
      <c r="O7" s="2437"/>
      <c r="P7" s="3480" t="s">
        <v>1672</v>
      </c>
      <c r="Q7" s="3482"/>
      <c r="R7" s="663" t="s">
        <v>14</v>
      </c>
      <c r="S7" s="664">
        <f t="shared" ref="S7:S15" si="0">F7</f>
        <v>100</v>
      </c>
      <c r="T7" s="663" t="s">
        <v>14</v>
      </c>
      <c r="U7" s="664">
        <f t="shared" ref="U7:U15" si="1">H7</f>
        <v>100</v>
      </c>
      <c r="V7" s="663" t="s">
        <v>14</v>
      </c>
      <c r="W7" s="664">
        <f t="shared" ref="W7:W15" si="2">J7</f>
        <v>100</v>
      </c>
      <c r="X7" s="665"/>
      <c r="Y7" s="3480" t="s">
        <v>1672</v>
      </c>
      <c r="Z7" s="3481"/>
      <c r="AA7" s="50">
        <f>D7/F7</f>
        <v>1</v>
      </c>
      <c r="AB7" s="50">
        <f>D7/H7</f>
        <v>1</v>
      </c>
      <c r="AC7" s="50">
        <f>D7/J7</f>
        <v>1</v>
      </c>
    </row>
    <row r="8" spans="1:29" s="101" customFormat="1" ht="15.75" thickBot="1">
      <c r="A8" s="351" t="s">
        <v>1673</v>
      </c>
      <c r="B8" s="352"/>
      <c r="C8" s="357" t="s">
        <v>1674</v>
      </c>
      <c r="D8" s="354">
        <v>100</v>
      </c>
      <c r="E8" s="357" t="s">
        <v>1674</v>
      </c>
      <c r="F8" s="356">
        <f>SUMIF(72:72,E8,73:73)-SUMIF(72:72,C8,73:73)+100</f>
        <v>100</v>
      </c>
      <c r="G8" s="357" t="s">
        <v>1674</v>
      </c>
      <c r="H8" s="354">
        <f>SUMIF(72:72,G8,73:73)-SUMIF(72:72,C8,73:73)+100</f>
        <v>100</v>
      </c>
      <c r="I8" s="357" t="s">
        <v>1674</v>
      </c>
      <c r="J8" s="354">
        <f>SUMIF(72:72,I8,73:73)-SUMIF(72:72,C8,73:73)+100</f>
        <v>100</v>
      </c>
      <c r="K8" s="38"/>
      <c r="L8" s="2486"/>
      <c r="M8" s="2437"/>
      <c r="N8" s="2437"/>
      <c r="O8" s="2437"/>
      <c r="P8" s="3480" t="s">
        <v>1675</v>
      </c>
      <c r="Q8" s="3481"/>
      <c r="R8" s="663" t="s">
        <v>14</v>
      </c>
      <c r="S8" s="664">
        <f t="shared" si="0"/>
        <v>100</v>
      </c>
      <c r="T8" s="663" t="s">
        <v>14</v>
      </c>
      <c r="U8" s="664">
        <f t="shared" si="1"/>
        <v>100</v>
      </c>
      <c r="V8" s="663" t="s">
        <v>14</v>
      </c>
      <c r="W8" s="664">
        <f t="shared" si="2"/>
        <v>100</v>
      </c>
      <c r="X8" s="665"/>
      <c r="Y8" s="3480" t="s">
        <v>1675</v>
      </c>
      <c r="Z8" s="3481"/>
      <c r="AA8" s="50">
        <f t="shared" ref="AA8:AA45" si="3">D8/F8</f>
        <v>1</v>
      </c>
      <c r="AB8" s="50">
        <f t="shared" ref="AB8:AB45" si="4">D8/H8</f>
        <v>1</v>
      </c>
      <c r="AC8" s="50">
        <f t="shared" ref="AC8:AC45" si="5">D8/J8</f>
        <v>1</v>
      </c>
    </row>
    <row r="9" spans="1:29" s="101" customFormat="1" ht="28.5">
      <c r="A9" s="358" t="s">
        <v>1676</v>
      </c>
      <c r="B9" s="60" t="s">
        <v>1677</v>
      </c>
      <c r="C9" s="1823" t="s">
        <v>3507</v>
      </c>
      <c r="D9" s="59">
        <v>100</v>
      </c>
      <c r="E9" s="1823" t="s">
        <v>3507</v>
      </c>
      <c r="F9" s="59">
        <f>SUMIF(74:74,E9,75:75)-SUMIF(74:74,C9,75:75)+100</f>
        <v>100</v>
      </c>
      <c r="G9" s="1823" t="s">
        <v>3562</v>
      </c>
      <c r="H9" s="59">
        <f>SUMIF(74:74,G9,75:75)-SUMIF(74:74,C9,75:75)+100</f>
        <v>105</v>
      </c>
      <c r="I9" s="1823" t="s">
        <v>3507</v>
      </c>
      <c r="J9" s="59">
        <f>SUMIF(74:74,I9,75:75)-SUMIF(74:74,C9,75:75)+100</f>
        <v>100</v>
      </c>
      <c r="K9" s="38"/>
      <c r="L9" s="2486"/>
      <c r="M9" s="2437"/>
      <c r="N9" s="2437"/>
      <c r="O9" s="2538"/>
      <c r="P9" s="3452" t="s">
        <v>1678</v>
      </c>
      <c r="Q9" s="529" t="str">
        <f t="shared" ref="Q9:Q15" si="6">B9</f>
        <v>用途</v>
      </c>
      <c r="R9" s="663" t="s">
        <v>14</v>
      </c>
      <c r="S9" s="664">
        <f t="shared" si="0"/>
        <v>100</v>
      </c>
      <c r="T9" s="663" t="s">
        <v>14</v>
      </c>
      <c r="U9" s="664">
        <f t="shared" si="1"/>
        <v>105</v>
      </c>
      <c r="V9" s="663" t="s">
        <v>14</v>
      </c>
      <c r="W9" s="664">
        <f t="shared" si="2"/>
        <v>100</v>
      </c>
      <c r="X9" s="665"/>
      <c r="Y9" s="3328" t="s">
        <v>1679</v>
      </c>
      <c r="Z9" s="50" t="str">
        <f t="shared" ref="Z9:Z15" si="7">Q9</f>
        <v>用途</v>
      </c>
      <c r="AA9" s="50">
        <f t="shared" si="3"/>
        <v>1</v>
      </c>
      <c r="AB9" s="50">
        <f t="shared" si="4"/>
        <v>0.95238095238095233</v>
      </c>
      <c r="AC9" s="50">
        <f t="shared" si="5"/>
        <v>1</v>
      </c>
    </row>
    <row r="10" spans="1:29" s="365" customFormat="1" ht="27">
      <c r="A10" s="362"/>
      <c r="B10" s="363" t="s">
        <v>1680</v>
      </c>
      <c r="C10" s="370"/>
      <c r="D10" s="118">
        <v>100</v>
      </c>
      <c r="E10" s="402"/>
      <c r="F10" s="118">
        <f>ROUND(100/'数据-取费表'!G16,0)</f>
        <v>104</v>
      </c>
      <c r="G10" s="401"/>
      <c r="H10" s="118">
        <f>ROUND(100/'数据-取费表'!G16,0)</f>
        <v>104</v>
      </c>
      <c r="I10" s="401"/>
      <c r="J10" s="118">
        <f>ROUND(100/'数据-取费表'!G16,0)</f>
        <v>104</v>
      </c>
      <c r="K10" s="591"/>
      <c r="L10" s="2487"/>
      <c r="M10" s="2488"/>
      <c r="N10" s="2488"/>
      <c r="O10" s="2539"/>
      <c r="P10" s="3452"/>
      <c r="Q10" s="529" t="str">
        <f t="shared" si="6"/>
        <v>土地使用年限（年）</v>
      </c>
      <c r="R10" s="663" t="s">
        <v>14</v>
      </c>
      <c r="S10" s="664">
        <f t="shared" si="0"/>
        <v>104</v>
      </c>
      <c r="T10" s="663" t="s">
        <v>14</v>
      </c>
      <c r="U10" s="664">
        <f t="shared" si="1"/>
        <v>104</v>
      </c>
      <c r="V10" s="663" t="s">
        <v>14</v>
      </c>
      <c r="W10" s="664">
        <f t="shared" si="2"/>
        <v>104</v>
      </c>
      <c r="X10" s="665"/>
      <c r="Y10" s="3328"/>
      <c r="Z10" s="50" t="str">
        <f t="shared" si="7"/>
        <v>土地使用年限（年）</v>
      </c>
      <c r="AA10" s="50">
        <f t="shared" si="3"/>
        <v>0.96153846153846156</v>
      </c>
      <c r="AB10" s="50">
        <f t="shared" si="4"/>
        <v>0.96153846153846156</v>
      </c>
      <c r="AC10" s="50">
        <f t="shared" si="5"/>
        <v>0.96153846153846156</v>
      </c>
    </row>
    <row r="11" spans="1:29" ht="15">
      <c r="A11" s="366"/>
      <c r="B11" s="363" t="s">
        <v>1681</v>
      </c>
      <c r="C11" s="367">
        <v>2.5</v>
      </c>
      <c r="D11" s="118">
        <v>100</v>
      </c>
      <c r="E11" s="367">
        <v>2.2000000000000002</v>
      </c>
      <c r="F11" s="118">
        <f>LOOKUP(E11,79:79,80:80)-LOOKUP(C11,79:79,80:80)+100</f>
        <v>100</v>
      </c>
      <c r="G11" s="368">
        <v>1.5</v>
      </c>
      <c r="H11" s="118">
        <f>LOOKUP(G11,79:79,80:80)-LOOKUP(C11,79:79,80:80)+100</f>
        <v>103</v>
      </c>
      <c r="I11" s="367">
        <v>1.56</v>
      </c>
      <c r="J11" s="118">
        <f>LOOKUP(I11,79:79,80:80)-LOOKUP(C11,79:79,80:80)+100</f>
        <v>103</v>
      </c>
      <c r="K11" s="592">
        <v>3</v>
      </c>
      <c r="L11" s="2489"/>
      <c r="M11" s="2485"/>
      <c r="N11" s="2485"/>
      <c r="O11" s="2540"/>
      <c r="P11" s="3452"/>
      <c r="Q11" s="529" t="str">
        <f t="shared" si="6"/>
        <v>容积率</v>
      </c>
      <c r="R11" s="663" t="s">
        <v>14</v>
      </c>
      <c r="S11" s="664">
        <f t="shared" si="0"/>
        <v>100</v>
      </c>
      <c r="T11" s="663" t="s">
        <v>14</v>
      </c>
      <c r="U11" s="664">
        <f t="shared" si="1"/>
        <v>103</v>
      </c>
      <c r="V11" s="663" t="s">
        <v>14</v>
      </c>
      <c r="W11" s="664">
        <f t="shared" si="2"/>
        <v>103</v>
      </c>
      <c r="X11" s="665"/>
      <c r="Y11" s="3328"/>
      <c r="Z11" s="50" t="str">
        <f t="shared" si="7"/>
        <v>容积率</v>
      </c>
      <c r="AA11" s="50">
        <f t="shared" si="3"/>
        <v>1</v>
      </c>
      <c r="AB11" s="50">
        <f t="shared" si="4"/>
        <v>0.970873786407767</v>
      </c>
      <c r="AC11" s="50">
        <f t="shared" si="5"/>
        <v>0.970873786407767</v>
      </c>
    </row>
    <row r="12" spans="1:29" s="101" customFormat="1" ht="15">
      <c r="A12" s="369"/>
      <c r="B12" s="3216" t="s">
        <v>3798</v>
      </c>
      <c r="C12" s="3217" t="s">
        <v>3884</v>
      </c>
      <c r="D12" s="371">
        <v>100</v>
      </c>
      <c r="E12" s="3207" t="s">
        <v>3799</v>
      </c>
      <c r="F12" s="118">
        <f>SUMIF(81:81,E12,82:82)-SUMIF(81:81,C12,82:82)+100</f>
        <v>90</v>
      </c>
      <c r="G12" s="3208" t="s">
        <v>3799</v>
      </c>
      <c r="H12" s="118">
        <f>SUMIF(81:81,G12,82:82)-SUMIF(81:81,C12,82:82)+100</f>
        <v>90</v>
      </c>
      <c r="I12" s="3207" t="s">
        <v>3799</v>
      </c>
      <c r="J12" s="118">
        <f>SUMIF(81:81,I12,82:82)-SUMIF(81:81,C12,82:82)+100</f>
        <v>90</v>
      </c>
      <c r="K12" s="591"/>
      <c r="L12" s="2486"/>
      <c r="M12" s="2437"/>
      <c r="N12" s="2437"/>
      <c r="O12" s="2538"/>
      <c r="P12" s="3452"/>
      <c r="Q12" s="529" t="str">
        <f t="shared" si="6"/>
        <v>自持</v>
      </c>
      <c r="R12" s="663" t="s">
        <v>14</v>
      </c>
      <c r="S12" s="664">
        <f t="shared" si="0"/>
        <v>90</v>
      </c>
      <c r="T12" s="663" t="s">
        <v>14</v>
      </c>
      <c r="U12" s="664">
        <f t="shared" si="1"/>
        <v>90</v>
      </c>
      <c r="V12" s="663" t="s">
        <v>14</v>
      </c>
      <c r="W12" s="664">
        <f t="shared" si="2"/>
        <v>90</v>
      </c>
      <c r="X12" s="665"/>
      <c r="Y12" s="3328"/>
      <c r="Z12" s="50" t="str">
        <f t="shared" si="7"/>
        <v>自持</v>
      </c>
      <c r="AA12" s="50">
        <f>D12/F12</f>
        <v>1.1111111111111112</v>
      </c>
      <c r="AB12" s="50">
        <f>D12/H12</f>
        <v>1.1111111111111112</v>
      </c>
      <c r="AC12" s="50">
        <f>D12/J12</f>
        <v>1.1111111111111112</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452"/>
      <c r="Q13" s="529">
        <f t="shared" si="6"/>
        <v>111</v>
      </c>
      <c r="R13" s="663" t="s">
        <v>14</v>
      </c>
      <c r="S13" s="664">
        <f t="shared" si="0"/>
        <v>100</v>
      </c>
      <c r="T13" s="663" t="s">
        <v>14</v>
      </c>
      <c r="U13" s="664">
        <f t="shared" si="1"/>
        <v>100</v>
      </c>
      <c r="V13" s="663" t="s">
        <v>14</v>
      </c>
      <c r="W13" s="664">
        <f t="shared" si="2"/>
        <v>100</v>
      </c>
      <c r="X13" s="665"/>
      <c r="Y13" s="3328"/>
      <c r="Z13" s="50">
        <f t="shared" si="7"/>
        <v>111</v>
      </c>
      <c r="AA13" s="50">
        <f>D13/F13</f>
        <v>1</v>
      </c>
      <c r="AB13" s="50">
        <f>D13/H13</f>
        <v>1</v>
      </c>
      <c r="AC13" s="50">
        <f>D13/J13</f>
        <v>1</v>
      </c>
    </row>
    <row r="14" spans="1:29" ht="15.75" thickBot="1">
      <c r="A14" s="374"/>
      <c r="B14" s="1747">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452"/>
      <c r="Q14" s="529">
        <f t="shared" si="6"/>
        <v>111</v>
      </c>
      <c r="R14" s="663" t="s">
        <v>14</v>
      </c>
      <c r="S14" s="664">
        <f t="shared" si="0"/>
        <v>100</v>
      </c>
      <c r="T14" s="663" t="s">
        <v>14</v>
      </c>
      <c r="U14" s="664">
        <f t="shared" si="1"/>
        <v>100</v>
      </c>
      <c r="V14" s="663" t="s">
        <v>14</v>
      </c>
      <c r="W14" s="664">
        <f t="shared" si="2"/>
        <v>100</v>
      </c>
      <c r="X14" s="665"/>
      <c r="Y14" s="3328"/>
      <c r="Z14" s="50">
        <f t="shared" si="7"/>
        <v>111</v>
      </c>
      <c r="AA14" s="50">
        <f>D14/F14</f>
        <v>1</v>
      </c>
      <c r="AB14" s="50">
        <f>D14/H14</f>
        <v>1</v>
      </c>
      <c r="AC14" s="50">
        <f>D14/J14</f>
        <v>1</v>
      </c>
    </row>
    <row r="15" spans="1:29" ht="99.75" hidden="1">
      <c r="A15" s="378" t="s">
        <v>1682</v>
      </c>
      <c r="B15" s="58" t="s">
        <v>1251</v>
      </c>
      <c r="C15" s="1748"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453" t="s">
        <v>1683</v>
      </c>
      <c r="Q15" s="1261" t="str">
        <f t="shared" si="6"/>
        <v>居住社区成熟度</v>
      </c>
      <c r="R15" s="666" t="s">
        <v>14</v>
      </c>
      <c r="S15" s="667">
        <f t="shared" si="0"/>
        <v>100</v>
      </c>
      <c r="T15" s="666" t="s">
        <v>14</v>
      </c>
      <c r="U15" s="667">
        <f t="shared" si="1"/>
        <v>100</v>
      </c>
      <c r="V15" s="666" t="s">
        <v>14</v>
      </c>
      <c r="W15" s="667">
        <f t="shared" si="2"/>
        <v>100</v>
      </c>
      <c r="X15" s="1263"/>
      <c r="Y15" s="3453" t="s">
        <v>1683</v>
      </c>
      <c r="Z15" s="1262" t="str">
        <f t="shared" si="7"/>
        <v>居住社区成熟度</v>
      </c>
      <c r="AA15" s="1262">
        <f t="shared" si="3"/>
        <v>1</v>
      </c>
      <c r="AB15" s="1262">
        <f t="shared" si="4"/>
        <v>1</v>
      </c>
      <c r="AC15" s="1262">
        <f t="shared" si="5"/>
        <v>1</v>
      </c>
    </row>
    <row r="16" spans="1:29" ht="15" hidden="1">
      <c r="A16" s="366"/>
      <c r="B16" s="384"/>
      <c r="C16" s="385"/>
      <c r="D16" s="386"/>
      <c r="E16" s="1750"/>
      <c r="F16" s="386"/>
      <c r="G16" s="1750"/>
      <c r="H16" s="388"/>
      <c r="I16" s="1749"/>
      <c r="J16" s="386"/>
      <c r="K16" s="591"/>
      <c r="L16" s="2490"/>
      <c r="M16" s="2485"/>
      <c r="N16" s="2485"/>
      <c r="O16" s="2540"/>
      <c r="P16" s="3454"/>
      <c r="Q16" s="1261"/>
      <c r="R16" s="666"/>
      <c r="S16" s="667"/>
      <c r="T16" s="666"/>
      <c r="U16" s="667"/>
      <c r="V16" s="666"/>
      <c r="W16" s="667"/>
      <c r="X16" s="1263"/>
      <c r="Y16" s="3454"/>
      <c r="Z16" s="1262"/>
      <c r="AA16" s="1262">
        <v>1</v>
      </c>
      <c r="AB16" s="1262">
        <v>1</v>
      </c>
      <c r="AC16" s="1262">
        <v>1</v>
      </c>
    </row>
    <row r="17" spans="1:29" ht="71.25">
      <c r="A17" s="366"/>
      <c r="B17" s="389" t="s">
        <v>1769</v>
      </c>
      <c r="C17" s="1804"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v>2</v>
      </c>
      <c r="L17" s="2490"/>
      <c r="M17" s="2485"/>
      <c r="N17" s="2485"/>
      <c r="O17" s="2540"/>
      <c r="P17" s="3454"/>
      <c r="Q17" s="1261" t="str">
        <f>B17</f>
        <v>商业繁华度</v>
      </c>
      <c r="R17" s="666" t="s">
        <v>14</v>
      </c>
      <c r="S17" s="667">
        <f>F17</f>
        <v>100</v>
      </c>
      <c r="T17" s="666" t="s">
        <v>14</v>
      </c>
      <c r="U17" s="667">
        <f>H17</f>
        <v>100</v>
      </c>
      <c r="V17" s="666" t="s">
        <v>14</v>
      </c>
      <c r="W17" s="667">
        <f>J17</f>
        <v>100</v>
      </c>
      <c r="X17" s="1263"/>
      <c r="Y17" s="3454"/>
      <c r="Z17" s="1262" t="str">
        <f>Q17</f>
        <v>商业繁华度</v>
      </c>
      <c r="AA17" s="1262">
        <f t="shared" si="3"/>
        <v>1</v>
      </c>
      <c r="AB17" s="1262">
        <f t="shared" si="4"/>
        <v>1</v>
      </c>
      <c r="AC17" s="1262">
        <f t="shared" si="5"/>
        <v>1</v>
      </c>
    </row>
    <row r="18" spans="1:29" ht="15">
      <c r="A18" s="366"/>
      <c r="B18" s="394"/>
      <c r="C18" s="1753" t="s">
        <v>3785</v>
      </c>
      <c r="D18" s="388"/>
      <c r="E18" s="1753" t="s">
        <v>3785</v>
      </c>
      <c r="F18" s="388"/>
      <c r="G18" s="1753" t="s">
        <v>3785</v>
      </c>
      <c r="H18" s="386"/>
      <c r="I18" s="1753" t="s">
        <v>3785</v>
      </c>
      <c r="J18" s="386"/>
      <c r="K18" s="591"/>
      <c r="L18" s="2490"/>
      <c r="M18" s="2485"/>
      <c r="N18" s="2485"/>
      <c r="O18" s="2540"/>
      <c r="P18" s="3454"/>
      <c r="Q18" s="1261"/>
      <c r="R18" s="666"/>
      <c r="S18" s="667"/>
      <c r="T18" s="666"/>
      <c r="U18" s="667"/>
      <c r="V18" s="666"/>
      <c r="W18" s="667"/>
      <c r="X18" s="1263"/>
      <c r="Y18" s="3454"/>
      <c r="Z18" s="1262"/>
      <c r="AA18" s="1262">
        <v>1</v>
      </c>
      <c r="AB18" s="1262">
        <v>1</v>
      </c>
      <c r="AC18" s="1262">
        <v>1</v>
      </c>
    </row>
    <row r="19" spans="1:29" ht="71.25" hidden="1">
      <c r="A19" s="366"/>
      <c r="B19" s="389" t="s">
        <v>1803</v>
      </c>
      <c r="C19" s="1804"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454"/>
      <c r="Q19" s="1261" t="str">
        <f>B19</f>
        <v>办公集聚程度</v>
      </c>
      <c r="R19" s="666" t="s">
        <v>14</v>
      </c>
      <c r="S19" s="667">
        <f>F19</f>
        <v>100</v>
      </c>
      <c r="T19" s="666" t="s">
        <v>14</v>
      </c>
      <c r="U19" s="667">
        <f>H19</f>
        <v>100</v>
      </c>
      <c r="V19" s="666" t="s">
        <v>14</v>
      </c>
      <c r="W19" s="667">
        <f>J19</f>
        <v>100</v>
      </c>
      <c r="X19" s="1263"/>
      <c r="Y19" s="3454"/>
      <c r="Z19" s="1262" t="str">
        <f>Q19</f>
        <v>办公集聚程度</v>
      </c>
      <c r="AA19" s="1262">
        <f t="shared" si="3"/>
        <v>1</v>
      </c>
      <c r="AB19" s="1262">
        <f t="shared" si="4"/>
        <v>1</v>
      </c>
      <c r="AC19" s="1262">
        <f t="shared" si="5"/>
        <v>1</v>
      </c>
    </row>
    <row r="20" spans="1:29" ht="15" hidden="1">
      <c r="A20" s="366"/>
      <c r="B20" s="394"/>
      <c r="C20" s="385"/>
      <c r="D20" s="386"/>
      <c r="E20" s="1750"/>
      <c r="F20" s="386"/>
      <c r="G20" s="1750"/>
      <c r="H20" s="386"/>
      <c r="I20" s="1749"/>
      <c r="J20" s="386"/>
      <c r="K20" s="591"/>
      <c r="L20" s="2490"/>
      <c r="M20" s="2485"/>
      <c r="N20" s="2485"/>
      <c r="O20" s="2540"/>
      <c r="P20" s="3454"/>
      <c r="Q20" s="1261"/>
      <c r="R20" s="666"/>
      <c r="S20" s="667"/>
      <c r="T20" s="666"/>
      <c r="U20" s="667"/>
      <c r="V20" s="666"/>
      <c r="W20" s="667"/>
      <c r="X20" s="1263"/>
      <c r="Y20" s="3454"/>
      <c r="Z20" s="1262"/>
      <c r="AA20" s="1262">
        <v>1</v>
      </c>
      <c r="AB20" s="1262">
        <v>1</v>
      </c>
      <c r="AC20" s="1262">
        <v>1</v>
      </c>
    </row>
    <row r="21" spans="1:29" ht="85.5">
      <c r="A21" s="366"/>
      <c r="B21" s="389" t="s">
        <v>1825</v>
      </c>
      <c r="C21" s="1752" t="str">
        <f>估价对象房地状况!C18</f>
        <v>估价对象周边道路状况、公共交通通达情况、停车便捷程度，综合评价交通便捷度较好</v>
      </c>
      <c r="D21" s="388">
        <v>100</v>
      </c>
      <c r="E21" s="390"/>
      <c r="F21" s="393">
        <f>SUMIF(93:93,E22,94:94)-SUMIF(93:93,C22,94:94)+100</f>
        <v>104</v>
      </c>
      <c r="G21" s="390"/>
      <c r="H21" s="388">
        <f>SUMIF(93:93,G22,94:94)-SUMIF(93:93,C22,94:94)+100</f>
        <v>100</v>
      </c>
      <c r="I21" s="392"/>
      <c r="J21" s="388">
        <f>SUMIF(93:93,I22,94:94)-SUMIF(93:93,C22,94:94)+100</f>
        <v>104</v>
      </c>
      <c r="K21" s="592">
        <v>2</v>
      </c>
      <c r="L21" s="2490"/>
      <c r="M21" s="2485"/>
      <c r="N21" s="2485"/>
      <c r="O21" s="2540"/>
      <c r="P21" s="3454"/>
      <c r="Q21" s="1261" t="str">
        <f>B21</f>
        <v>交通便捷度</v>
      </c>
      <c r="R21" s="666" t="s">
        <v>14</v>
      </c>
      <c r="S21" s="667">
        <f>F21</f>
        <v>104</v>
      </c>
      <c r="T21" s="666" t="s">
        <v>14</v>
      </c>
      <c r="U21" s="667">
        <f>H21</f>
        <v>100</v>
      </c>
      <c r="V21" s="666" t="s">
        <v>14</v>
      </c>
      <c r="W21" s="667">
        <f>J21</f>
        <v>104</v>
      </c>
      <c r="X21" s="1263"/>
      <c r="Y21" s="3454"/>
      <c r="Z21" s="1262" t="str">
        <f>Q21</f>
        <v>交通便捷度</v>
      </c>
      <c r="AA21" s="1262">
        <f t="shared" si="3"/>
        <v>0.96153846153846156</v>
      </c>
      <c r="AB21" s="1262">
        <f t="shared" si="4"/>
        <v>1</v>
      </c>
      <c r="AC21" s="1262">
        <f t="shared" si="5"/>
        <v>0.96153846153846156</v>
      </c>
    </row>
    <row r="22" spans="1:29" ht="15">
      <c r="A22" s="366"/>
      <c r="B22" s="585"/>
      <c r="C22" s="385" t="s">
        <v>3785</v>
      </c>
      <c r="D22" s="388"/>
      <c r="E22" s="385" t="s">
        <v>3783</v>
      </c>
      <c r="F22" s="386"/>
      <c r="G22" s="385" t="s">
        <v>3785</v>
      </c>
      <c r="H22" s="386"/>
      <c r="I22" s="385" t="s">
        <v>3783</v>
      </c>
      <c r="J22" s="386"/>
      <c r="K22" s="591"/>
      <c r="L22" s="2490"/>
      <c r="M22" s="2485"/>
      <c r="N22" s="2485"/>
      <c r="O22" s="2540"/>
      <c r="P22" s="3454"/>
      <c r="Q22" s="1261"/>
      <c r="R22" s="666"/>
      <c r="S22" s="667"/>
      <c r="T22" s="666"/>
      <c r="U22" s="667"/>
      <c r="V22" s="666"/>
      <c r="W22" s="667"/>
      <c r="X22" s="1263"/>
      <c r="Y22" s="3454"/>
      <c r="Z22" s="1262"/>
      <c r="AA22" s="1262">
        <v>1</v>
      </c>
      <c r="AB22" s="1262">
        <v>1</v>
      </c>
      <c r="AC22" s="1262">
        <v>1</v>
      </c>
    </row>
    <row r="23" spans="1:29" ht="15">
      <c r="A23" s="347"/>
      <c r="B23" s="389" t="s">
        <v>1862</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2">
        <v>1</v>
      </c>
      <c r="L23" s="2490"/>
      <c r="M23" s="2485"/>
      <c r="N23" s="2485"/>
      <c r="O23" s="2540"/>
      <c r="P23" s="3454"/>
      <c r="Q23" s="1261" t="str">
        <f t="shared" ref="Q23:Q37" si="8">B23</f>
        <v>区域土地利用方向</v>
      </c>
      <c r="R23" s="666" t="s">
        <v>14</v>
      </c>
      <c r="S23" s="667">
        <f>F23</f>
        <v>100</v>
      </c>
      <c r="T23" s="666" t="s">
        <v>14</v>
      </c>
      <c r="U23" s="667">
        <f>H23</f>
        <v>100</v>
      </c>
      <c r="V23" s="666" t="s">
        <v>14</v>
      </c>
      <c r="W23" s="667">
        <f>J23</f>
        <v>100</v>
      </c>
      <c r="X23" s="1263"/>
      <c r="Y23" s="3454"/>
      <c r="Z23" s="1262" t="str">
        <f>Q23</f>
        <v>区域土地利用方向</v>
      </c>
      <c r="AA23" s="1262">
        <f t="shared" si="3"/>
        <v>1</v>
      </c>
      <c r="AB23" s="1262">
        <f t="shared" si="4"/>
        <v>1</v>
      </c>
      <c r="AC23" s="1262">
        <f t="shared" si="5"/>
        <v>1</v>
      </c>
    </row>
    <row r="24" spans="1:29" ht="15">
      <c r="A24" s="347"/>
      <c r="B24" s="394"/>
      <c r="C24" s="541" t="s">
        <v>3783</v>
      </c>
      <c r="D24" s="386"/>
      <c r="E24" s="541" t="s">
        <v>3783</v>
      </c>
      <c r="F24" s="386"/>
      <c r="G24" s="541" t="s">
        <v>3783</v>
      </c>
      <c r="H24" s="386"/>
      <c r="I24" s="541" t="s">
        <v>3783</v>
      </c>
      <c r="J24" s="386"/>
      <c r="K24" s="696"/>
      <c r="L24" s="2490"/>
      <c r="M24" s="2485"/>
      <c r="N24" s="2485"/>
      <c r="O24" s="2540"/>
      <c r="P24" s="3454"/>
      <c r="Q24" s="1261"/>
      <c r="R24" s="666"/>
      <c r="S24" s="667"/>
      <c r="T24" s="666"/>
      <c r="U24" s="667"/>
      <c r="V24" s="666"/>
      <c r="W24" s="667"/>
      <c r="X24" s="1263"/>
      <c r="Y24" s="3454"/>
      <c r="Z24" s="1262"/>
      <c r="AA24" s="1262"/>
      <c r="AB24" s="1262"/>
      <c r="AC24" s="1262"/>
    </row>
    <row r="25" spans="1:29" ht="57">
      <c r="A25" s="347"/>
      <c r="B25" s="585" t="s">
        <v>1863</v>
      </c>
      <c r="C25" s="1804" t="str">
        <f>估价对象房地状况!C20</f>
        <v>区域自然环境：；人文环境；综合评价环境状况一般</v>
      </c>
      <c r="D25" s="388">
        <v>100</v>
      </c>
      <c r="E25" s="390"/>
      <c r="F25" s="388">
        <f>SUMIF(97:97,E26,98:98)-SUMIF(97:97,C26,98:98)+100</f>
        <v>103</v>
      </c>
      <c r="G25" s="390"/>
      <c r="H25" s="388">
        <f>SUMIF(97:97,G26,98:98)-SUMIF(97:97,C26,98:98)+100</f>
        <v>103</v>
      </c>
      <c r="I25" s="392"/>
      <c r="J25" s="388">
        <f>SUMIF(97:97,I26,98:98)-SUMIF(97:97,C26,98:98)+100</f>
        <v>103</v>
      </c>
      <c r="K25" s="592">
        <v>3</v>
      </c>
      <c r="L25" s="2490"/>
      <c r="M25" s="2485"/>
      <c r="N25" s="2485"/>
      <c r="O25" s="2540"/>
      <c r="P25" s="3454"/>
      <c r="Q25" s="1261" t="str">
        <f t="shared" si="8"/>
        <v>自然及人文环境状况</v>
      </c>
      <c r="R25" s="666" t="s">
        <v>14</v>
      </c>
      <c r="S25" s="667">
        <f>F25</f>
        <v>103</v>
      </c>
      <c r="T25" s="666" t="s">
        <v>14</v>
      </c>
      <c r="U25" s="667">
        <f>H25</f>
        <v>103</v>
      </c>
      <c r="V25" s="666" t="s">
        <v>14</v>
      </c>
      <c r="W25" s="667">
        <f>J25</f>
        <v>103</v>
      </c>
      <c r="X25" s="1263"/>
      <c r="Y25" s="3454"/>
      <c r="Z25" s="1262" t="str">
        <f>Q25</f>
        <v>自然及人文环境状况</v>
      </c>
      <c r="AA25" s="1262">
        <f t="shared" si="3"/>
        <v>0.970873786407767</v>
      </c>
      <c r="AB25" s="1262">
        <f t="shared" si="4"/>
        <v>0.970873786407767</v>
      </c>
      <c r="AC25" s="1262">
        <f t="shared" si="5"/>
        <v>0.970873786407767</v>
      </c>
    </row>
    <row r="26" spans="1:29" ht="15">
      <c r="A26" s="347"/>
      <c r="B26" s="394"/>
      <c r="C26" s="385" t="s">
        <v>3785</v>
      </c>
      <c r="D26" s="386"/>
      <c r="E26" s="385" t="s">
        <v>3857</v>
      </c>
      <c r="F26" s="386"/>
      <c r="G26" s="385" t="s">
        <v>3857</v>
      </c>
      <c r="H26" s="386"/>
      <c r="I26" s="385" t="s">
        <v>3857</v>
      </c>
      <c r="J26" s="386"/>
      <c r="K26" s="591"/>
      <c r="L26" s="2490"/>
      <c r="M26" s="2485"/>
      <c r="N26" s="2485"/>
      <c r="O26" s="2540"/>
      <c r="P26" s="3454"/>
      <c r="Q26" s="1261"/>
      <c r="R26" s="666"/>
      <c r="S26" s="667"/>
      <c r="T26" s="666"/>
      <c r="U26" s="667"/>
      <c r="V26" s="666"/>
      <c r="W26" s="667"/>
      <c r="X26" s="1263"/>
      <c r="Y26" s="3454"/>
      <c r="Z26" s="1262"/>
      <c r="AA26" s="1262">
        <v>1</v>
      </c>
      <c r="AB26" s="1262">
        <v>1</v>
      </c>
      <c r="AC26" s="1262">
        <v>1</v>
      </c>
    </row>
    <row r="27" spans="1:29" s="101" customFormat="1" ht="42.75">
      <c r="A27" s="442"/>
      <c r="B27" s="585" t="s">
        <v>1770</v>
      </c>
      <c r="C27" s="1752" t="str">
        <f>估价对象房地状况!C21</f>
        <v>估价对象所在区域公共配套设施齐备情况</v>
      </c>
      <c r="D27" s="388">
        <v>100</v>
      </c>
      <c r="E27" s="390"/>
      <c r="F27" s="388">
        <f>SUMIF(99:99,E28,100:100)-SUMIF(99:99,C28,100:100)+100</f>
        <v>103</v>
      </c>
      <c r="G27" s="390"/>
      <c r="H27" s="388">
        <f>SUMIF(99:99,G28,100:100)-SUMIF(99:99,C28,100:100)+100</f>
        <v>103</v>
      </c>
      <c r="I27" s="392"/>
      <c r="J27" s="388">
        <f>SUMIF(99:99,I28,100:100)-SUMIF(99:99,C28,100:100)+100</f>
        <v>106</v>
      </c>
      <c r="K27" s="592">
        <v>3</v>
      </c>
      <c r="L27" s="2486"/>
      <c r="M27" s="2437"/>
      <c r="N27" s="2437"/>
      <c r="O27" s="2538"/>
      <c r="P27" s="3454"/>
      <c r="Q27" s="529" t="str">
        <f t="shared" si="8"/>
        <v>公共配套设施</v>
      </c>
      <c r="R27" s="663" t="s">
        <v>14</v>
      </c>
      <c r="S27" s="664">
        <f>F27</f>
        <v>103</v>
      </c>
      <c r="T27" s="663" t="s">
        <v>14</v>
      </c>
      <c r="U27" s="664">
        <f>H27</f>
        <v>103</v>
      </c>
      <c r="V27" s="663" t="s">
        <v>14</v>
      </c>
      <c r="W27" s="664">
        <f>J27</f>
        <v>106</v>
      </c>
      <c r="X27" s="665"/>
      <c r="Y27" s="3454"/>
      <c r="Z27" s="50" t="str">
        <f>Q27</f>
        <v>公共配套设施</v>
      </c>
      <c r="AA27" s="1262">
        <f>D27/F27</f>
        <v>0.970873786407767</v>
      </c>
      <c r="AB27" s="1262">
        <f>D27/H27</f>
        <v>0.970873786407767</v>
      </c>
      <c r="AC27" s="1262">
        <f>D27/J27</f>
        <v>0.94339622641509435</v>
      </c>
    </row>
    <row r="28" spans="1:29" s="101" customFormat="1" ht="15">
      <c r="A28" s="442"/>
      <c r="B28" s="394"/>
      <c r="C28" s="1824" t="s">
        <v>3785</v>
      </c>
      <c r="D28" s="386"/>
      <c r="E28" s="1824" t="s">
        <v>3857</v>
      </c>
      <c r="F28" s="386"/>
      <c r="G28" s="1824" t="s">
        <v>3857</v>
      </c>
      <c r="H28" s="386"/>
      <c r="I28" s="1824" t="s">
        <v>3783</v>
      </c>
      <c r="J28" s="386"/>
      <c r="K28" s="591"/>
      <c r="L28" s="2486"/>
      <c r="M28" s="2437"/>
      <c r="N28" s="2437"/>
      <c r="O28" s="2538"/>
      <c r="P28" s="3454"/>
      <c r="Q28" s="529"/>
      <c r="R28" s="663"/>
      <c r="S28" s="664"/>
      <c r="T28" s="663"/>
      <c r="U28" s="664"/>
      <c r="V28" s="663"/>
      <c r="W28" s="664"/>
      <c r="X28" s="665"/>
      <c r="Y28" s="3454"/>
      <c r="Z28" s="50"/>
      <c r="AA28" s="1262">
        <v>1</v>
      </c>
      <c r="AB28" s="1262">
        <v>1</v>
      </c>
      <c r="AC28" s="1262">
        <v>1</v>
      </c>
    </row>
    <row r="29" spans="1:29" s="101" customFormat="1" ht="28.5">
      <c r="A29" s="442"/>
      <c r="B29" s="585" t="s">
        <v>1771</v>
      </c>
      <c r="C29" s="1752"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v>1</v>
      </c>
      <c r="L29" s="2486"/>
      <c r="M29" s="2437"/>
      <c r="N29" s="2437"/>
      <c r="O29" s="2538"/>
      <c r="P29" s="3454"/>
      <c r="Q29" s="529" t="str">
        <f t="shared" ref="Q29" si="9">B29</f>
        <v>基础设施水平</v>
      </c>
      <c r="R29" s="663" t="s">
        <v>14</v>
      </c>
      <c r="S29" s="664">
        <f>F29</f>
        <v>100</v>
      </c>
      <c r="T29" s="663" t="s">
        <v>14</v>
      </c>
      <c r="U29" s="664">
        <f>H29</f>
        <v>100</v>
      </c>
      <c r="V29" s="663" t="s">
        <v>14</v>
      </c>
      <c r="W29" s="664">
        <f>J29</f>
        <v>100</v>
      </c>
      <c r="X29" s="665"/>
      <c r="Y29" s="3454"/>
      <c r="Z29" s="50" t="str">
        <f>Q29</f>
        <v>基础设施水平</v>
      </c>
      <c r="AA29" s="1262">
        <f>D29/F29</f>
        <v>1</v>
      </c>
      <c r="AB29" s="1262">
        <f>D29/H29</f>
        <v>1</v>
      </c>
      <c r="AC29" s="1262">
        <f>D29/J29</f>
        <v>1</v>
      </c>
    </row>
    <row r="30" spans="1:29" s="101" customFormat="1" ht="15">
      <c r="A30" s="442"/>
      <c r="B30" s="394"/>
      <c r="C30" s="1824" t="s">
        <v>3777</v>
      </c>
      <c r="D30" s="386"/>
      <c r="E30" s="1824" t="s">
        <v>3777</v>
      </c>
      <c r="F30" s="386"/>
      <c r="G30" s="1824" t="s">
        <v>3777</v>
      </c>
      <c r="H30" s="386"/>
      <c r="I30" s="1824" t="s">
        <v>3777</v>
      </c>
      <c r="J30" s="386"/>
      <c r="K30" s="591"/>
      <c r="L30" s="2486"/>
      <c r="M30" s="2437"/>
      <c r="N30" s="2437"/>
      <c r="O30" s="2538"/>
      <c r="P30" s="3454"/>
      <c r="Q30" s="529"/>
      <c r="R30" s="663"/>
      <c r="S30" s="664"/>
      <c r="T30" s="663"/>
      <c r="U30" s="664"/>
      <c r="V30" s="663"/>
      <c r="W30" s="664"/>
      <c r="X30" s="665"/>
      <c r="Y30" s="3454"/>
      <c r="Z30" s="50"/>
      <c r="AA30" s="1262">
        <v>1</v>
      </c>
      <c r="AB30" s="1262">
        <v>1</v>
      </c>
      <c r="AC30" s="1262">
        <v>1</v>
      </c>
    </row>
    <row r="31" spans="1:29" ht="15">
      <c r="A31" s="366"/>
      <c r="B31" s="394" t="s">
        <v>1772</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454"/>
      <c r="Q31" s="1261" t="str">
        <f t="shared" si="8"/>
        <v>临街状况</v>
      </c>
      <c r="R31" s="666" t="s">
        <v>14</v>
      </c>
      <c r="S31" s="667">
        <f t="shared" ref="S31:S45" si="10">F31</f>
        <v>100</v>
      </c>
      <c r="T31" s="666" t="s">
        <v>14</v>
      </c>
      <c r="U31" s="667">
        <f t="shared" ref="U31:U45" si="11">H31</f>
        <v>100</v>
      </c>
      <c r="V31" s="666" t="s">
        <v>14</v>
      </c>
      <c r="W31" s="667">
        <f t="shared" ref="W31:W45" si="12">J31</f>
        <v>100</v>
      </c>
      <c r="X31" s="1263"/>
      <c r="Y31" s="3454"/>
      <c r="Z31" s="1262" t="str">
        <f t="shared" ref="Z31:Z45" si="13">Q31</f>
        <v>临街状况</v>
      </c>
      <c r="AA31" s="1262">
        <f t="shared" si="3"/>
        <v>1</v>
      </c>
      <c r="AB31" s="1262">
        <f t="shared" si="4"/>
        <v>1</v>
      </c>
      <c r="AC31" s="1262">
        <f t="shared" si="5"/>
        <v>1</v>
      </c>
    </row>
    <row r="32" spans="1:29" ht="27">
      <c r="A32" s="366"/>
      <c r="B32" s="585" t="s">
        <v>1807</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454"/>
      <c r="Q32" s="1261" t="str">
        <f t="shared" si="8"/>
        <v>毗邻道路的类型与等级</v>
      </c>
      <c r="R32" s="666" t="s">
        <v>14</v>
      </c>
      <c r="S32" s="667">
        <f t="shared" si="10"/>
        <v>100</v>
      </c>
      <c r="T32" s="666" t="s">
        <v>14</v>
      </c>
      <c r="U32" s="667">
        <f t="shared" si="11"/>
        <v>100</v>
      </c>
      <c r="V32" s="666" t="s">
        <v>14</v>
      </c>
      <c r="W32" s="667">
        <f t="shared" si="12"/>
        <v>100</v>
      </c>
      <c r="X32" s="1263"/>
      <c r="Y32" s="3454"/>
      <c r="Z32" s="1262" t="str">
        <f t="shared" si="13"/>
        <v>毗邻道路的类型与等级</v>
      </c>
      <c r="AA32" s="1262">
        <f t="shared" si="3"/>
        <v>1</v>
      </c>
      <c r="AB32" s="1262">
        <f t="shared" si="4"/>
        <v>1</v>
      </c>
      <c r="AC32" s="1262">
        <f t="shared" si="5"/>
        <v>1</v>
      </c>
    </row>
    <row r="33" spans="1:29" ht="15">
      <c r="A33" s="366"/>
      <c r="B33" s="394"/>
      <c r="C33" s="385"/>
      <c r="D33" s="386"/>
      <c r="E33" s="1756"/>
      <c r="F33" s="386"/>
      <c r="G33" s="1756"/>
      <c r="H33" s="386"/>
      <c r="I33" s="385"/>
      <c r="J33" s="386"/>
      <c r="K33" s="538"/>
      <c r="L33" s="2490"/>
      <c r="M33" s="2485"/>
      <c r="N33" s="2485"/>
      <c r="O33" s="2540"/>
      <c r="P33" s="3454"/>
      <c r="Q33" s="1261"/>
      <c r="R33" s="666"/>
      <c r="S33" s="667"/>
      <c r="T33" s="666"/>
      <c r="U33" s="667"/>
      <c r="V33" s="666"/>
      <c r="W33" s="667"/>
      <c r="X33" s="1263"/>
      <c r="Y33" s="3454"/>
      <c r="Z33" s="1262"/>
      <c r="AA33" s="1262">
        <v>1</v>
      </c>
      <c r="AB33" s="1262">
        <v>1</v>
      </c>
      <c r="AC33" s="1262">
        <v>1</v>
      </c>
    </row>
    <row r="34" spans="1:29" ht="15">
      <c r="A34" s="366"/>
      <c r="B34" s="363" t="s">
        <v>1864</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454"/>
      <c r="Q34" s="1261" t="str">
        <f t="shared" si="8"/>
        <v>土地级别</v>
      </c>
      <c r="R34" s="666" t="s">
        <v>14</v>
      </c>
      <c r="S34" s="667">
        <f t="shared" si="10"/>
        <v>100</v>
      </c>
      <c r="T34" s="666" t="s">
        <v>14</v>
      </c>
      <c r="U34" s="667">
        <f t="shared" si="11"/>
        <v>100</v>
      </c>
      <c r="V34" s="666" t="s">
        <v>14</v>
      </c>
      <c r="W34" s="667">
        <f t="shared" si="12"/>
        <v>100</v>
      </c>
      <c r="X34" s="1263"/>
      <c r="Y34" s="3454"/>
      <c r="Z34" s="1262" t="str">
        <f t="shared" si="13"/>
        <v>土地级别</v>
      </c>
      <c r="AA34" s="1262">
        <f t="shared" si="3"/>
        <v>1</v>
      </c>
      <c r="AB34" s="1262">
        <f t="shared" si="4"/>
        <v>1</v>
      </c>
      <c r="AC34" s="1262">
        <f t="shared" si="5"/>
        <v>1</v>
      </c>
    </row>
    <row r="35" spans="1:29" ht="15">
      <c r="A35" s="347"/>
      <c r="B35" s="1064">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454"/>
      <c r="Q35" s="1261">
        <f t="shared" si="8"/>
        <v>111</v>
      </c>
      <c r="R35" s="666" t="s">
        <v>14</v>
      </c>
      <c r="S35" s="667">
        <f t="shared" si="10"/>
        <v>100</v>
      </c>
      <c r="T35" s="666" t="s">
        <v>14</v>
      </c>
      <c r="U35" s="667">
        <f t="shared" si="11"/>
        <v>100</v>
      </c>
      <c r="V35" s="666" t="s">
        <v>14</v>
      </c>
      <c r="W35" s="667">
        <f t="shared" si="12"/>
        <v>100</v>
      </c>
      <c r="X35" s="1263"/>
      <c r="Y35" s="3454"/>
      <c r="Z35" s="1262">
        <f t="shared" si="13"/>
        <v>111</v>
      </c>
      <c r="AA35" s="1262">
        <f t="shared" si="3"/>
        <v>1</v>
      </c>
      <c r="AB35" s="1262">
        <f t="shared" si="4"/>
        <v>1</v>
      </c>
      <c r="AC35" s="1262">
        <f t="shared" si="5"/>
        <v>1</v>
      </c>
    </row>
    <row r="36" spans="1:29" ht="15">
      <c r="A36" s="594"/>
      <c r="B36" s="1065">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55" t="s">
        <v>1688</v>
      </c>
      <c r="Q36" s="1261">
        <f t="shared" si="8"/>
        <v>111</v>
      </c>
      <c r="R36" s="666" t="s">
        <v>14</v>
      </c>
      <c r="S36" s="667">
        <f t="shared" si="10"/>
        <v>100</v>
      </c>
      <c r="T36" s="666" t="s">
        <v>14</v>
      </c>
      <c r="U36" s="667">
        <f t="shared" si="11"/>
        <v>100</v>
      </c>
      <c r="V36" s="666" t="s">
        <v>14</v>
      </c>
      <c r="W36" s="667">
        <f t="shared" si="12"/>
        <v>100</v>
      </c>
      <c r="X36" s="1263"/>
      <c r="Y36" s="3456" t="s">
        <v>1688</v>
      </c>
      <c r="Z36" s="1262">
        <f t="shared" si="13"/>
        <v>111</v>
      </c>
      <c r="AA36" s="1262">
        <f t="shared" si="3"/>
        <v>1</v>
      </c>
      <c r="AB36" s="1262">
        <f t="shared" si="4"/>
        <v>1</v>
      </c>
      <c r="AC36" s="1262">
        <f t="shared" si="5"/>
        <v>1</v>
      </c>
    </row>
    <row r="37" spans="1:29" s="407" customFormat="1" ht="15.75" thickBot="1">
      <c r="A37" s="595"/>
      <c r="B37" s="1066">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456"/>
      <c r="Q37" s="1261">
        <f t="shared" si="8"/>
        <v>111</v>
      </c>
      <c r="R37" s="668" t="s">
        <v>14</v>
      </c>
      <c r="S37" s="669">
        <f t="shared" si="10"/>
        <v>100</v>
      </c>
      <c r="T37" s="668" t="s">
        <v>14</v>
      </c>
      <c r="U37" s="669">
        <f t="shared" si="11"/>
        <v>100</v>
      </c>
      <c r="V37" s="668" t="s">
        <v>14</v>
      </c>
      <c r="W37" s="669">
        <f t="shared" si="12"/>
        <v>100</v>
      </c>
      <c r="X37" s="670"/>
      <c r="Y37" s="3456"/>
      <c r="Z37" s="671">
        <f t="shared" si="13"/>
        <v>111</v>
      </c>
      <c r="AA37" s="1262">
        <f t="shared" si="3"/>
        <v>1</v>
      </c>
      <c r="AB37" s="1262">
        <f t="shared" si="4"/>
        <v>1</v>
      </c>
      <c r="AC37" s="1262">
        <f t="shared" si="5"/>
        <v>1</v>
      </c>
    </row>
    <row r="38" spans="1:29" ht="15">
      <c r="A38" s="408" t="s">
        <v>1686</v>
      </c>
      <c r="B38" s="394" t="s">
        <v>1865</v>
      </c>
      <c r="C38" s="598">
        <v>7662.49</v>
      </c>
      <c r="D38" s="404">
        <v>100</v>
      </c>
      <c r="E38" s="598">
        <f>商业土地案例!F7</f>
        <v>41129.769999999997</v>
      </c>
      <c r="F38" s="404">
        <f>LOOKUP(E38,116:116,117:117)-LOOKUP(C38,116:116,117:117)+100</f>
        <v>102</v>
      </c>
      <c r="G38" s="598">
        <f>商业土地案例!F10</f>
        <v>21154.74</v>
      </c>
      <c r="H38" s="404">
        <f>LOOKUP(G38,116:116,117:117)-LOOKUP(C38,116:116,117:117)+100</f>
        <v>101</v>
      </c>
      <c r="I38" s="461">
        <f>商业土地案例!F16</f>
        <v>9632.01</v>
      </c>
      <c r="J38" s="404">
        <f>LOOKUP(I38,116:116,117:117)-LOOKUP(C38,116:116,117:117)+100</f>
        <v>100</v>
      </c>
      <c r="K38" s="538"/>
      <c r="L38" s="2490"/>
      <c r="M38" s="2485"/>
      <c r="N38" s="2485"/>
      <c r="O38" s="2540"/>
      <c r="P38" s="3456"/>
      <c r="Q38" s="1261" t="str">
        <f>B38</f>
        <v>宗地面积</v>
      </c>
      <c r="R38" s="666" t="s">
        <v>14</v>
      </c>
      <c r="S38" s="667">
        <f t="shared" si="10"/>
        <v>102</v>
      </c>
      <c r="T38" s="666" t="s">
        <v>14</v>
      </c>
      <c r="U38" s="667">
        <f t="shared" si="11"/>
        <v>101</v>
      </c>
      <c r="V38" s="666" t="s">
        <v>14</v>
      </c>
      <c r="W38" s="667">
        <f t="shared" si="12"/>
        <v>100</v>
      </c>
      <c r="X38" s="1263"/>
      <c r="Y38" s="3456"/>
      <c r="Z38" s="1262" t="str">
        <f t="shared" si="13"/>
        <v>宗地面积</v>
      </c>
      <c r="AA38" s="1262">
        <f t="shared" si="3"/>
        <v>0.98039215686274506</v>
      </c>
      <c r="AB38" s="1262">
        <f t="shared" si="4"/>
        <v>0.99009900990099009</v>
      </c>
      <c r="AC38" s="1262">
        <f t="shared" si="5"/>
        <v>1</v>
      </c>
    </row>
    <row r="39" spans="1:29" ht="15">
      <c r="A39" s="408"/>
      <c r="B39" s="363" t="s">
        <v>1866</v>
      </c>
      <c r="C39" s="1758" t="s">
        <v>3771</v>
      </c>
      <c r="D39" s="373">
        <v>100</v>
      </c>
      <c r="E39" s="1758" t="s">
        <v>3771</v>
      </c>
      <c r="F39" s="373">
        <f>SUMIF(118:118,E39,119:119)-SUMIF(118:118,C39,119:119)+100</f>
        <v>100</v>
      </c>
      <c r="G39" s="1758" t="s">
        <v>3801</v>
      </c>
      <c r="H39" s="373">
        <f>SUMIF(118:118,G39,119:119)-SUMIF(118:118,C39,119:119)+100</f>
        <v>101</v>
      </c>
      <c r="I39" s="1758" t="s">
        <v>3802</v>
      </c>
      <c r="J39" s="373">
        <f>SUMIF(118:118,I39,119:119)-SUMIF(118:118,C39,119:119)+100</f>
        <v>99</v>
      </c>
      <c r="K39" s="537">
        <v>1</v>
      </c>
      <c r="L39" s="2490"/>
      <c r="M39" s="2485"/>
      <c r="N39" s="2485"/>
      <c r="O39" s="2540"/>
      <c r="P39" s="3456"/>
      <c r="Q39" s="1261" t="str">
        <f t="shared" ref="Q39:Q45" si="14">B39</f>
        <v>宗地形状</v>
      </c>
      <c r="R39" s="666" t="s">
        <v>14</v>
      </c>
      <c r="S39" s="667">
        <f t="shared" si="10"/>
        <v>100</v>
      </c>
      <c r="T39" s="666" t="s">
        <v>14</v>
      </c>
      <c r="U39" s="667">
        <f t="shared" si="11"/>
        <v>101</v>
      </c>
      <c r="V39" s="666" t="s">
        <v>14</v>
      </c>
      <c r="W39" s="667">
        <f t="shared" si="12"/>
        <v>99</v>
      </c>
      <c r="X39" s="1263"/>
      <c r="Y39" s="3456"/>
      <c r="Z39" s="1262" t="str">
        <f t="shared" si="13"/>
        <v>宗地形状</v>
      </c>
      <c r="AA39" s="1262">
        <f t="shared" si="3"/>
        <v>1</v>
      </c>
      <c r="AB39" s="1262">
        <f t="shared" si="4"/>
        <v>0.99009900990099009</v>
      </c>
      <c r="AC39" s="1262">
        <f t="shared" si="5"/>
        <v>1.0101010101010102</v>
      </c>
    </row>
    <row r="40" spans="1:29" ht="15" hidden="1">
      <c r="A40" s="408"/>
      <c r="B40" s="363" t="s">
        <v>1867</v>
      </c>
      <c r="C40" s="1758"/>
      <c r="D40" s="373">
        <v>100</v>
      </c>
      <c r="E40" s="1758"/>
      <c r="F40" s="373">
        <f>SUMIF(120:120,E40,121:121)-SUMIF(120:120,C40,121:121)+100</f>
        <v>100</v>
      </c>
      <c r="G40" s="1758"/>
      <c r="H40" s="373">
        <f>SUMIF(120:120,G40,121:121)-SUMIF(120:120,C40,121:121)+100</f>
        <v>100</v>
      </c>
      <c r="I40" s="1758"/>
      <c r="J40" s="373">
        <f>SUMIF(120:120,I40,121:121)-SUMIF(120:120,C40,121:121)+100</f>
        <v>100</v>
      </c>
      <c r="K40" s="537">
        <v>1</v>
      </c>
      <c r="L40" s="2490"/>
      <c r="M40" s="2485"/>
      <c r="N40" s="2485"/>
      <c r="O40" s="2540"/>
      <c r="P40" s="3456"/>
      <c r="Q40" s="1261" t="str">
        <f t="shared" si="14"/>
        <v>临街宽度及深度</v>
      </c>
      <c r="R40" s="666" t="s">
        <v>14</v>
      </c>
      <c r="S40" s="667">
        <f t="shared" si="10"/>
        <v>100</v>
      </c>
      <c r="T40" s="666" t="s">
        <v>14</v>
      </c>
      <c r="U40" s="667">
        <f t="shared" si="11"/>
        <v>100</v>
      </c>
      <c r="V40" s="666" t="s">
        <v>14</v>
      </c>
      <c r="W40" s="667">
        <f t="shared" si="12"/>
        <v>100</v>
      </c>
      <c r="X40" s="1263"/>
      <c r="Y40" s="3456"/>
      <c r="Z40" s="1262" t="str">
        <f t="shared" si="13"/>
        <v>临街宽度及深度</v>
      </c>
      <c r="AA40" s="1262">
        <f t="shared" si="3"/>
        <v>1</v>
      </c>
      <c r="AB40" s="1262">
        <f t="shared" si="4"/>
        <v>1</v>
      </c>
      <c r="AC40" s="1262">
        <f t="shared" si="5"/>
        <v>1</v>
      </c>
    </row>
    <row r="41" spans="1:29" s="101" customFormat="1" ht="15">
      <c r="A41" s="409"/>
      <c r="B41" s="363" t="s">
        <v>1868</v>
      </c>
      <c r="C41" s="1826" t="s">
        <v>3779</v>
      </c>
      <c r="D41" s="118">
        <v>100</v>
      </c>
      <c r="E41" s="1826" t="s">
        <v>3796</v>
      </c>
      <c r="F41" s="373">
        <f>SUMIF(122:122,E41,123:123)-SUMIF(122:122,C41,123:123)+100</f>
        <v>97</v>
      </c>
      <c r="G41" s="1826" t="s">
        <v>3800</v>
      </c>
      <c r="H41" s="373">
        <f>SUMIF(122:122,G41,123:123)-SUMIF(122:122,C41,123:123)+100</f>
        <v>99</v>
      </c>
      <c r="I41" s="1826" t="s">
        <v>3796</v>
      </c>
      <c r="J41" s="373">
        <f>SUMIF(122:122,I41,123:123)-SUMIF(122:122,C41,123:123)+100</f>
        <v>97</v>
      </c>
      <c r="K41" s="537">
        <v>1</v>
      </c>
      <c r="L41" s="2486"/>
      <c r="M41" s="2437"/>
      <c r="N41" s="2437"/>
      <c r="O41" s="2538"/>
      <c r="P41" s="3456"/>
      <c r="Q41" s="1261" t="str">
        <f t="shared" si="14"/>
        <v>宗地开发程度</v>
      </c>
      <c r="R41" s="663" t="s">
        <v>14</v>
      </c>
      <c r="S41" s="664">
        <f t="shared" si="10"/>
        <v>97</v>
      </c>
      <c r="T41" s="663" t="s">
        <v>14</v>
      </c>
      <c r="U41" s="664">
        <f t="shared" si="11"/>
        <v>99</v>
      </c>
      <c r="V41" s="663" t="s">
        <v>14</v>
      </c>
      <c r="W41" s="664">
        <f t="shared" si="12"/>
        <v>97</v>
      </c>
      <c r="X41" s="665"/>
      <c r="Y41" s="3456"/>
      <c r="Z41" s="50" t="str">
        <f t="shared" si="13"/>
        <v>宗地开发程度</v>
      </c>
      <c r="AA41" s="50">
        <f t="shared" si="3"/>
        <v>1.0309278350515463</v>
      </c>
      <c r="AB41" s="50">
        <f t="shared" si="4"/>
        <v>1.0101010101010102</v>
      </c>
      <c r="AC41" s="50">
        <f t="shared" si="5"/>
        <v>1.0309278350515463</v>
      </c>
    </row>
    <row r="42" spans="1:29" ht="15">
      <c r="A42" s="408"/>
      <c r="B42" s="363" t="s">
        <v>1869</v>
      </c>
      <c r="C42" s="1758" t="s">
        <v>3783</v>
      </c>
      <c r="D42" s="373">
        <v>100</v>
      </c>
      <c r="E42" s="1758" t="s">
        <v>3783</v>
      </c>
      <c r="F42" s="373">
        <f>SUMIF(124:124,E42,125:125)-SUMIF(124:124,C42,125:125)+100</f>
        <v>100</v>
      </c>
      <c r="G42" s="1758" t="s">
        <v>3783</v>
      </c>
      <c r="H42" s="373">
        <f>SUMIF(124:124,G42,125:125)-SUMIF(124:124,C42,125:125)+100</f>
        <v>100</v>
      </c>
      <c r="I42" s="1758" t="s">
        <v>3783</v>
      </c>
      <c r="J42" s="373">
        <f>SUMIF(124:124,I42,125:125)-SUMIF(124:124,C42,125:125)+100</f>
        <v>100</v>
      </c>
      <c r="K42" s="537">
        <v>1</v>
      </c>
      <c r="L42" s="2490"/>
      <c r="M42" s="2485"/>
      <c r="N42" s="2485"/>
      <c r="O42" s="2540"/>
      <c r="P42" s="3456" t="s">
        <v>1688</v>
      </c>
      <c r="Q42" s="1261" t="str">
        <f t="shared" si="14"/>
        <v>工程地质条件</v>
      </c>
      <c r="R42" s="666" t="s">
        <v>14</v>
      </c>
      <c r="S42" s="667">
        <f t="shared" si="10"/>
        <v>100</v>
      </c>
      <c r="T42" s="666" t="s">
        <v>14</v>
      </c>
      <c r="U42" s="667">
        <f t="shared" si="11"/>
        <v>100</v>
      </c>
      <c r="V42" s="666" t="s">
        <v>14</v>
      </c>
      <c r="W42" s="667">
        <f t="shared" si="12"/>
        <v>100</v>
      </c>
      <c r="X42" s="1263"/>
      <c r="Y42" s="3456" t="s">
        <v>1688</v>
      </c>
      <c r="Z42" s="1262" t="str">
        <f t="shared" si="13"/>
        <v>工程地质条件</v>
      </c>
      <c r="AA42" s="1262">
        <f t="shared" si="3"/>
        <v>1</v>
      </c>
      <c r="AB42" s="1262">
        <f t="shared" si="4"/>
        <v>1</v>
      </c>
      <c r="AC42" s="1262">
        <f t="shared" si="5"/>
        <v>1</v>
      </c>
    </row>
    <row r="43" spans="1:29" ht="15">
      <c r="A43" s="408"/>
      <c r="B43" s="1065">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456"/>
      <c r="Q43" s="1261">
        <f t="shared" si="14"/>
        <v>111</v>
      </c>
      <c r="R43" s="666" t="s">
        <v>14</v>
      </c>
      <c r="S43" s="667">
        <f t="shared" si="10"/>
        <v>100</v>
      </c>
      <c r="T43" s="666" t="s">
        <v>14</v>
      </c>
      <c r="U43" s="667">
        <f t="shared" si="11"/>
        <v>100</v>
      </c>
      <c r="V43" s="666" t="s">
        <v>14</v>
      </c>
      <c r="W43" s="667">
        <f t="shared" si="12"/>
        <v>100</v>
      </c>
      <c r="X43" s="1263"/>
      <c r="Y43" s="3456"/>
      <c r="Z43" s="1262">
        <f t="shared" si="13"/>
        <v>111</v>
      </c>
      <c r="AA43" s="1262">
        <f t="shared" si="3"/>
        <v>1</v>
      </c>
      <c r="AB43" s="1262">
        <f t="shared" si="4"/>
        <v>1</v>
      </c>
      <c r="AC43" s="1262">
        <f t="shared" si="5"/>
        <v>1</v>
      </c>
    </row>
    <row r="44" spans="1:29" ht="15">
      <c r="A44" s="408"/>
      <c r="B44" s="1065">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456"/>
      <c r="Q44" s="1261">
        <f t="shared" si="14"/>
        <v>111</v>
      </c>
      <c r="R44" s="666" t="s">
        <v>14</v>
      </c>
      <c r="S44" s="667">
        <f t="shared" si="10"/>
        <v>100</v>
      </c>
      <c r="T44" s="666" t="s">
        <v>14</v>
      </c>
      <c r="U44" s="667">
        <f t="shared" si="11"/>
        <v>100</v>
      </c>
      <c r="V44" s="666" t="s">
        <v>14</v>
      </c>
      <c r="W44" s="667">
        <f t="shared" si="12"/>
        <v>100</v>
      </c>
      <c r="X44" s="1263"/>
      <c r="Y44" s="3456"/>
      <c r="Z44" s="1262">
        <f t="shared" si="13"/>
        <v>111</v>
      </c>
      <c r="AA44" s="1262">
        <f t="shared" si="3"/>
        <v>1</v>
      </c>
      <c r="AB44" s="1262">
        <f t="shared" si="4"/>
        <v>1</v>
      </c>
      <c r="AC44" s="1262">
        <f t="shared" si="5"/>
        <v>1</v>
      </c>
    </row>
    <row r="45" spans="1:29" s="407" customFormat="1" ht="15.75" thickBot="1">
      <c r="A45" s="405"/>
      <c r="B45" s="1065">
        <v>111</v>
      </c>
      <c r="C45" s="1827"/>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456"/>
      <c r="Q45" s="1261">
        <f t="shared" si="14"/>
        <v>111</v>
      </c>
      <c r="R45" s="668" t="s">
        <v>14</v>
      </c>
      <c r="S45" s="669">
        <f t="shared" si="10"/>
        <v>100</v>
      </c>
      <c r="T45" s="668" t="s">
        <v>14</v>
      </c>
      <c r="U45" s="669">
        <f t="shared" si="11"/>
        <v>100</v>
      </c>
      <c r="V45" s="668" t="s">
        <v>14</v>
      </c>
      <c r="W45" s="669">
        <f t="shared" si="12"/>
        <v>100</v>
      </c>
      <c r="X45" s="670"/>
      <c r="Y45" s="3456"/>
      <c r="Z45" s="671">
        <f t="shared" si="13"/>
        <v>111</v>
      </c>
      <c r="AA45" s="1262">
        <f t="shared" si="3"/>
        <v>1</v>
      </c>
      <c r="AB45" s="1262">
        <f t="shared" si="4"/>
        <v>1</v>
      </c>
      <c r="AC45" s="1262">
        <f t="shared" si="5"/>
        <v>1</v>
      </c>
    </row>
    <row r="46" spans="1:29" ht="15">
      <c r="A46" s="415" t="s">
        <v>1836</v>
      </c>
      <c r="B46" s="1828" t="s">
        <v>1870</v>
      </c>
      <c r="C46" s="601" t="s">
        <v>0</v>
      </c>
      <c r="D46" s="417"/>
      <c r="E46" s="418">
        <f>商业土地案例!W7</f>
        <v>8941</v>
      </c>
      <c r="F46" s="419"/>
      <c r="G46" s="420">
        <f>商业土地案例!W10</f>
        <v>9328</v>
      </c>
      <c r="H46" s="421"/>
      <c r="I46" s="418">
        <f>商业土地案例!W16</f>
        <v>9118</v>
      </c>
      <c r="J46" s="421"/>
      <c r="K46" s="673"/>
      <c r="L46" s="2492"/>
      <c r="M46" s="2485"/>
      <c r="N46" s="2485"/>
      <c r="O46" s="2485"/>
      <c r="P46" s="3452" t="str">
        <f>A46</f>
        <v>成交单价</v>
      </c>
      <c r="Q46" s="3452"/>
      <c r="R46" s="3457">
        <f>E46</f>
        <v>8941</v>
      </c>
      <c r="S46" s="3457"/>
      <c r="T46" s="3457">
        <f>G46</f>
        <v>9328</v>
      </c>
      <c r="U46" s="3457"/>
      <c r="V46" s="3457">
        <f>I46</f>
        <v>9118</v>
      </c>
      <c r="W46" s="3457"/>
      <c r="X46" s="384"/>
      <c r="Y46" s="672"/>
      <c r="Z46" s="384"/>
      <c r="AA46" s="384"/>
      <c r="AB46" s="384"/>
      <c r="AC46" s="384"/>
    </row>
    <row r="47" spans="1:29" ht="15.75" thickBot="1">
      <c r="A47" s="422" t="s">
        <v>1785</v>
      </c>
      <c r="B47" s="602"/>
      <c r="C47" s="425">
        <f>R48</f>
        <v>8675</v>
      </c>
      <c r="D47" s="2139" t="s">
        <v>2128</v>
      </c>
      <c r="E47" s="425">
        <f>R47</f>
        <v>8750</v>
      </c>
      <c r="F47" s="2140"/>
      <c r="G47" s="424">
        <f>T47</f>
        <v>8601</v>
      </c>
      <c r="H47" s="2140"/>
      <c r="I47" s="425">
        <f>V47</f>
        <v>8674</v>
      </c>
      <c r="J47" s="2140"/>
      <c r="K47" s="2142">
        <f>F47+H47+J47</f>
        <v>0</v>
      </c>
      <c r="L47" s="2492"/>
      <c r="M47" s="2485"/>
      <c r="N47" s="2485"/>
      <c r="O47" s="2485"/>
      <c r="P47" s="3452" t="str">
        <f>A47</f>
        <v>比较价值（元/平方米）</v>
      </c>
      <c r="Q47" s="3452"/>
      <c r="R47" s="3445">
        <f>ROUND(PRODUCT(R46,AA7:AA45),0)</f>
        <v>8750</v>
      </c>
      <c r="S47" s="3445"/>
      <c r="T47" s="3445">
        <f>ROUND(PRODUCT(T46,AB7:AB45),0)</f>
        <v>8601</v>
      </c>
      <c r="U47" s="3445"/>
      <c r="V47" s="3445">
        <f>ROUND(PRODUCT(V46,AC7:AC45),0)</f>
        <v>8674</v>
      </c>
      <c r="W47" s="3445"/>
      <c r="X47" s="384"/>
      <c r="Y47" s="384"/>
      <c r="Z47" s="384"/>
      <c r="AA47" s="384"/>
      <c r="AB47" s="384"/>
      <c r="AC47" s="384"/>
    </row>
    <row r="48" spans="1:29" ht="15.75" thickBot="1">
      <c r="A48" s="426" t="s">
        <v>1871</v>
      </c>
      <c r="B48" s="427"/>
      <c r="C48" s="428">
        <f>R48</f>
        <v>8675</v>
      </c>
      <c r="D48" s="428"/>
      <c r="E48" s="428"/>
      <c r="F48" s="428"/>
      <c r="G48" s="428"/>
      <c r="H48" s="428"/>
      <c r="I48" s="428"/>
      <c r="J48" s="428"/>
      <c r="K48" s="674"/>
      <c r="L48" s="2492"/>
      <c r="M48" s="2485"/>
      <c r="N48" s="2485"/>
      <c r="O48" s="2485"/>
      <c r="P48" s="3446" t="str">
        <f>A48</f>
        <v>估价对象XX用房的比较价值（楼面单价，元/平方米）</v>
      </c>
      <c r="Q48" s="3447"/>
      <c r="R48" s="3448">
        <f>ROUND(IF(D47="简单平均",AVERAGE(R47:W47),R47*F47+T47*H47+V47*J47),0)</f>
        <v>8675</v>
      </c>
      <c r="S48" s="3448"/>
      <c r="T48" s="3448"/>
      <c r="U48" s="3448"/>
      <c r="V48" s="3448"/>
      <c r="W48" s="3448"/>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1787</v>
      </c>
      <c r="D51" s="432"/>
      <c r="E51" s="433">
        <f>IF(E46&lt;E47,E47/E46-1,E46/E47-1)</f>
        <v>2.182857142857153E-2</v>
      </c>
      <c r="F51" s="434" t="str">
        <f>IF(OR(E51&gt;=0.3,E51&lt;=-0.3),"超过30%","")</f>
        <v/>
      </c>
      <c r="G51" s="433">
        <f>IF(G46&lt;G47,G47/G46-1,G46/G47-1)</f>
        <v>8.4525055226136514E-2</v>
      </c>
      <c r="H51" s="434" t="str">
        <f>IF(OR(G51&gt;=0.3,G51&lt;=-0.3),"超过30%","")</f>
        <v/>
      </c>
      <c r="I51" s="433">
        <f>IF(I46&lt;I47,I47/I46-1,I46/I47-1)</f>
        <v>5.1187456767350703E-2</v>
      </c>
      <c r="J51" s="434"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1788</v>
      </c>
      <c r="D52" s="435"/>
      <c r="E52" s="433">
        <f>IF(E47&lt;G47,G47/E47-1,E47/G47-1)</f>
        <v>1.7323567027089926E-2</v>
      </c>
      <c r="F52" s="434" t="str">
        <f>IF(OR(E52&gt;=0.2,E52&lt;=-0.2),"超过20%","")</f>
        <v/>
      </c>
      <c r="G52" s="433">
        <f>IF(G47&lt;I47,I47/G47-1,G47/I47-1)</f>
        <v>8.4873851877689255E-3</v>
      </c>
      <c r="H52" s="434" t="str">
        <f>IF(OR(G52&gt;=0.2,G52&lt;=-0.2),"超过20%","")</f>
        <v/>
      </c>
      <c r="I52" s="433">
        <f>IF(I47&lt;E47,E47/I47-1,I47/E47-1)</f>
        <v>8.7618169241410193E-3</v>
      </c>
      <c r="J52" s="434"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1789</v>
      </c>
      <c r="D53" s="435"/>
      <c r="E53" s="433">
        <f>IF(E46&lt;G46,G46/E46-1,E46/G46-1)</f>
        <v>4.3283749021362228E-2</v>
      </c>
      <c r="F53" s="434" t="str">
        <f>IF(OR(E53&gt;=0.3,E53&lt;=-0.3),"超过30%","")</f>
        <v/>
      </c>
      <c r="G53" s="433">
        <f>IF(G46&lt;I46,I46/G46-1,G46/I46-1)</f>
        <v>2.3031366527747288E-2</v>
      </c>
      <c r="H53" s="434" t="str">
        <f>IF(OR(G53&gt;=0.3,G53&lt;=-0.3),"超过30%","")</f>
        <v/>
      </c>
      <c r="I53" s="433">
        <f>IF(I46&lt;E46,E46/I46-1,I46/E46-1)</f>
        <v>1.9796443350855508E-2</v>
      </c>
      <c r="J53" s="434"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5"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1872</v>
      </c>
      <c r="B55" s="604" t="s">
        <v>1873</v>
      </c>
      <c r="C55" s="1829" t="s">
        <v>1874</v>
      </c>
      <c r="D55" s="1830" t="s">
        <v>1875</v>
      </c>
      <c r="E55" s="605" t="s">
        <v>1876</v>
      </c>
      <c r="F55" s="835" t="s">
        <v>1877</v>
      </c>
      <c r="G55" s="3449" t="s">
        <v>1878</v>
      </c>
      <c r="H55" s="3450"/>
      <c r="I55" s="126" t="s">
        <v>1879</v>
      </c>
      <c r="J55" s="1831">
        <f>项目基本情况!F35</f>
        <v>0</v>
      </c>
      <c r="K55" s="1832" t="s">
        <v>1880</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1881</v>
      </c>
      <c r="B56" s="608">
        <f>C48</f>
        <v>8675</v>
      </c>
      <c r="C56" s="609">
        <v>1</v>
      </c>
      <c r="D56" s="888">
        <v>1</v>
      </c>
      <c r="E56" s="609">
        <f>'数据-汇总表'!E8+'数据-汇总表'!E9</f>
        <v>17801.5</v>
      </c>
      <c r="F56" s="831">
        <f t="shared" ref="F56:F64" si="15">ROUND(B56*E56/10000,0)</f>
        <v>15443</v>
      </c>
      <c r="G56" s="3451"/>
      <c r="H56" s="3452"/>
      <c r="I56" s="836">
        <v>1</v>
      </c>
      <c r="J56" s="839">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1882</v>
      </c>
      <c r="B57" s="209">
        <f>ROUND($C$48*C57*D57,0)</f>
        <v>1301</v>
      </c>
      <c r="C57" s="162">
        <f t="shared" ref="C57:C64" si="16">IF($C$55="北京市系数",I57,J57)</f>
        <v>0.6</v>
      </c>
      <c r="D57" s="889">
        <v>0.25</v>
      </c>
      <c r="E57" s="613"/>
      <c r="F57" s="831">
        <f t="shared" si="15"/>
        <v>0</v>
      </c>
      <c r="G57" s="2748" t="s">
        <v>1883</v>
      </c>
      <c r="H57" s="832" t="str">
        <f>项目基本情况!B37</f>
        <v>七级</v>
      </c>
      <c r="I57" s="836">
        <f>SUMIF(修正!A57:A68,H57,修正!B57:B68)</f>
        <v>0.6</v>
      </c>
      <c r="J57" s="840"/>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1884</v>
      </c>
      <c r="B58" s="209">
        <f t="shared" ref="B58:B64" si="17">ROUND($C$48*C58*D58,0)</f>
        <v>651</v>
      </c>
      <c r="C58" s="162">
        <f t="shared" si="16"/>
        <v>0.3</v>
      </c>
      <c r="D58" s="889">
        <v>0.25</v>
      </c>
      <c r="E58" s="613"/>
      <c r="F58" s="831">
        <f t="shared" si="15"/>
        <v>0</v>
      </c>
      <c r="G58" s="2749"/>
      <c r="H58" s="832" t="str">
        <f>项目基本情况!B37</f>
        <v>七级</v>
      </c>
      <c r="I58" s="836">
        <f>SUMIF(修正!A57:A68,H58,修正!C57:C68)</f>
        <v>0.3</v>
      </c>
      <c r="J58" s="840"/>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1885</v>
      </c>
      <c r="B59" s="209">
        <f t="shared" si="17"/>
        <v>542</v>
      </c>
      <c r="C59" s="162">
        <f t="shared" si="16"/>
        <v>0.25</v>
      </c>
      <c r="D59" s="889">
        <v>0.25</v>
      </c>
      <c r="E59" s="613"/>
      <c r="F59" s="831">
        <f t="shared" si="15"/>
        <v>0</v>
      </c>
      <c r="G59" s="2749"/>
      <c r="H59" s="832" t="str">
        <f>项目基本情况!B37</f>
        <v>七级</v>
      </c>
      <c r="I59" s="836">
        <f>SUMIF(修正!A57:A68,H59,修正!D57:D68)</f>
        <v>0.25</v>
      </c>
      <c r="J59" s="840"/>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1886</v>
      </c>
      <c r="B60" s="209">
        <f t="shared" si="17"/>
        <v>542</v>
      </c>
      <c r="C60" s="162">
        <f t="shared" si="16"/>
        <v>0.25</v>
      </c>
      <c r="D60" s="889">
        <v>0.25</v>
      </c>
      <c r="E60" s="208">
        <f>'数据-汇总表'!E11</f>
        <v>0</v>
      </c>
      <c r="F60" s="831">
        <f t="shared" si="15"/>
        <v>0</v>
      </c>
      <c r="G60" s="1833" t="s">
        <v>1887</v>
      </c>
      <c r="H60" s="832" t="str">
        <f>项目基本情况!C37</f>
        <v>七级</v>
      </c>
      <c r="I60" s="836">
        <f>SUMIF(修正!A57:A68,H60,修正!E57:E68)</f>
        <v>0.25</v>
      </c>
      <c r="J60" s="840"/>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1888</v>
      </c>
      <c r="B61" s="209">
        <f t="shared" si="17"/>
        <v>542</v>
      </c>
      <c r="C61" s="162">
        <f t="shared" si="16"/>
        <v>0.25</v>
      </c>
      <c r="D61" s="889">
        <v>0.25</v>
      </c>
      <c r="E61" s="208">
        <f>'数据-汇总表'!E12</f>
        <v>0</v>
      </c>
      <c r="F61" s="831">
        <f t="shared" si="15"/>
        <v>0</v>
      </c>
      <c r="G61" s="837" t="s">
        <v>3789</v>
      </c>
      <c r="H61" s="832" t="str">
        <f>IF(G61="商业",项目基本情况!B37,IF(G61="办公",项目基本情况!C37,IF(G61="住宅",项目基本情况!D37,项目基本情况!E37)))</f>
        <v>七级</v>
      </c>
      <c r="I61" s="836">
        <f>SUMIF(修正!A57:A68,H61,修正!F57:F68)</f>
        <v>0.25</v>
      </c>
      <c r="J61" s="840"/>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1890</v>
      </c>
      <c r="B62" s="209">
        <f t="shared" si="17"/>
        <v>325</v>
      </c>
      <c r="C62" s="162">
        <f t="shared" si="16"/>
        <v>0.15</v>
      </c>
      <c r="D62" s="889">
        <v>0.25</v>
      </c>
      <c r="E62" s="208">
        <f>'数据-汇总表'!E13</f>
        <v>3478.24</v>
      </c>
      <c r="F62" s="831">
        <f t="shared" si="15"/>
        <v>113</v>
      </c>
      <c r="G62" s="837" t="s">
        <v>1891</v>
      </c>
      <c r="H62" s="832" t="str">
        <f>IF(G62="商业",项目基本情况!B37,IF(G62="办公",项目基本情况!C37,IF(G62="住宅",项目基本情况!D37,项目基本情况!E37)))</f>
        <v>七级</v>
      </c>
      <c r="I62" s="836">
        <f>SUMIF(修正!A57:A68,H62,修正!G57:G68)</f>
        <v>0.15</v>
      </c>
      <c r="J62" s="840"/>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1892</v>
      </c>
      <c r="B63" s="209">
        <f t="shared" si="17"/>
        <v>325</v>
      </c>
      <c r="C63" s="162">
        <f t="shared" si="16"/>
        <v>0.15</v>
      </c>
      <c r="D63" s="889">
        <v>0.25</v>
      </c>
      <c r="E63" s="208">
        <f>'数据-汇总表'!E14</f>
        <v>0</v>
      </c>
      <c r="F63" s="831">
        <f t="shared" si="15"/>
        <v>0</v>
      </c>
      <c r="G63" s="1833" t="s">
        <v>1883</v>
      </c>
      <c r="H63" s="832" t="str">
        <f>项目基本情况!B37</f>
        <v>七级</v>
      </c>
      <c r="I63" s="836">
        <f>SUMIF(修正!A57:A68,H63,修正!G57:G68)</f>
        <v>0.15</v>
      </c>
      <c r="J63" s="840"/>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5" thickBot="1">
      <c r="A64" s="612" t="s">
        <v>1893</v>
      </c>
      <c r="B64" s="209">
        <f t="shared" si="17"/>
        <v>325</v>
      </c>
      <c r="C64" s="162">
        <f t="shared" si="16"/>
        <v>0.15</v>
      </c>
      <c r="D64" s="889">
        <v>0.25</v>
      </c>
      <c r="E64" s="208">
        <f>'数据-汇总表'!E15</f>
        <v>0</v>
      </c>
      <c r="F64" s="831">
        <f t="shared" si="15"/>
        <v>0</v>
      </c>
      <c r="G64" s="1834" t="s">
        <v>1887</v>
      </c>
      <c r="H64" s="842" t="str">
        <f>项目基本情况!C37</f>
        <v>七级</v>
      </c>
      <c r="I64" s="838">
        <f>SUMIF(修正!A57:A68,H64,修正!G57:G68)</f>
        <v>0.15</v>
      </c>
      <c r="J64" s="841"/>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ht="13.5" thickBot="1">
      <c r="A65" s="614" t="s">
        <v>1894</v>
      </c>
      <c r="B65" s="615" t="s">
        <v>22</v>
      </c>
      <c r="C65" s="615" t="s">
        <v>23</v>
      </c>
      <c r="D65" s="615" t="s">
        <v>392</v>
      </c>
      <c r="E65" s="615">
        <f>IF(B46="楼面地价",SUM(E56:E64),'数据-汇总表'!D3)</f>
        <v>21279.739999999998</v>
      </c>
      <c r="F65" s="616">
        <f>IF(B46="楼面地价",SUM(F56:F64),ROUND(C48*E65/10000,0))</f>
        <v>15556</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59"/>
      <c r="K66" s="833"/>
      <c r="L66" s="834"/>
      <c r="M66" s="859"/>
      <c r="N66" s="859"/>
      <c r="O66" s="859"/>
      <c r="P66" s="2485"/>
      <c r="Q66" s="2485"/>
      <c r="R66" s="2485"/>
      <c r="S66" s="2485"/>
      <c r="T66" s="2485"/>
      <c r="U66" s="2485"/>
      <c r="V66" s="2485"/>
      <c r="W66" s="2485"/>
      <c r="X66" s="2485"/>
      <c r="Y66" s="2485"/>
      <c r="Z66" s="2485"/>
      <c r="AA66" s="2485"/>
      <c r="AB66" s="2485"/>
      <c r="AC66" s="2485"/>
    </row>
    <row r="67" spans="1:29">
      <c r="A67" s="384"/>
      <c r="B67" s="655"/>
      <c r="C67" s="655" t="str">
        <f>YEAR(C7)&amp;"-"&amp;MONTH(C7)&amp;"-1"</f>
        <v>2025-2-1</v>
      </c>
      <c r="D67" s="655">
        <f>EDATE(C67,-3)</f>
        <v>45597</v>
      </c>
      <c r="E67" s="655">
        <f>EDATE(D67,-3)</f>
        <v>45505</v>
      </c>
      <c r="F67" s="655">
        <f t="shared" ref="F67:O67" si="18">EDATE(E67,-3)</f>
        <v>45413</v>
      </c>
      <c r="G67" s="655">
        <f t="shared" si="18"/>
        <v>45323</v>
      </c>
      <c r="H67" s="655">
        <f t="shared" si="18"/>
        <v>45231</v>
      </c>
      <c r="I67" s="655">
        <f t="shared" si="18"/>
        <v>45139</v>
      </c>
      <c r="J67" s="655">
        <f t="shared" si="18"/>
        <v>45047</v>
      </c>
      <c r="K67" s="655">
        <f t="shared" si="18"/>
        <v>44958</v>
      </c>
      <c r="L67" s="655">
        <f t="shared" si="18"/>
        <v>44866</v>
      </c>
      <c r="M67" s="655">
        <f t="shared" si="18"/>
        <v>44774</v>
      </c>
      <c r="N67" s="655">
        <f t="shared" si="18"/>
        <v>44682</v>
      </c>
      <c r="O67" s="655">
        <f t="shared" si="18"/>
        <v>44593</v>
      </c>
      <c r="P67" s="2485"/>
      <c r="Q67" s="2485"/>
      <c r="R67" s="2485"/>
      <c r="S67" s="2485"/>
      <c r="T67" s="2485"/>
      <c r="U67" s="2485"/>
      <c r="V67" s="2485"/>
      <c r="W67" s="2485"/>
      <c r="X67" s="2485"/>
      <c r="Y67" s="2485"/>
      <c r="Z67" s="2485"/>
      <c r="AA67" s="2485"/>
      <c r="AB67" s="2485"/>
      <c r="AC67" s="2485"/>
    </row>
    <row r="68" spans="1:29" ht="21.75" thickBot="1">
      <c r="A68" s="657" t="s">
        <v>1790</v>
      </c>
      <c r="B68" s="384"/>
      <c r="C68" s="658"/>
      <c r="D68" s="658"/>
      <c r="E68" s="658"/>
      <c r="F68" s="659"/>
      <c r="G68" s="659"/>
      <c r="H68" s="658"/>
      <c r="I68" s="658"/>
      <c r="J68" s="884"/>
      <c r="K68" s="885"/>
      <c r="L68" s="886"/>
      <c r="M68" s="884"/>
      <c r="N68" s="2535"/>
      <c r="O68" s="2535"/>
      <c r="P68" s="2535"/>
      <c r="Q68" s="2506"/>
      <c r="R68" s="2485"/>
      <c r="S68" s="2485"/>
      <c r="T68" s="2485"/>
      <c r="U68" s="2485"/>
      <c r="V68" s="2485"/>
      <c r="W68" s="2485"/>
      <c r="X68" s="2485"/>
      <c r="Y68" s="2485"/>
      <c r="Z68" s="2485"/>
      <c r="AA68" s="2485"/>
      <c r="AB68" s="2485"/>
      <c r="AC68" s="2485"/>
    </row>
    <row r="69" spans="1:29" s="441" customFormat="1" ht="15">
      <c r="A69" s="1628" t="s">
        <v>1895</v>
      </c>
      <c r="B69" s="1044"/>
      <c r="C69" s="1099" t="str">
        <f>YEAR(C67)&amp;"-"&amp;ROUNDUP(MONTH(C67)/3,0)</f>
        <v>2025-1</v>
      </c>
      <c r="D69" s="1099" t="str">
        <f>YEAR(D67)&amp;"-"&amp;ROUNDUP(MONTH(D67)/3,0)</f>
        <v>2024-4</v>
      </c>
      <c r="E69" s="1099" t="str">
        <f t="shared" ref="E69:O69" si="19">YEAR(E67)&amp;"-"&amp;ROUNDUP(MONTH(E67)/3,0)</f>
        <v>2024-3</v>
      </c>
      <c r="F69" s="1099" t="str">
        <f t="shared" si="19"/>
        <v>2024-2</v>
      </c>
      <c r="G69" s="1099" t="str">
        <f t="shared" si="19"/>
        <v>2024-1</v>
      </c>
      <c r="H69" s="1099" t="str">
        <f t="shared" si="19"/>
        <v>2023-4</v>
      </c>
      <c r="I69" s="1099" t="str">
        <f t="shared" si="19"/>
        <v>2023-3</v>
      </c>
      <c r="J69" s="1099" t="str">
        <f t="shared" si="19"/>
        <v>2023-2</v>
      </c>
      <c r="K69" s="1099" t="str">
        <f t="shared" si="19"/>
        <v>2023-1</v>
      </c>
      <c r="L69" s="1099" t="str">
        <f t="shared" si="19"/>
        <v>2022-4</v>
      </c>
      <c r="M69" s="1099" t="str">
        <f t="shared" si="19"/>
        <v>2022-3</v>
      </c>
      <c r="N69" s="1099" t="str">
        <f t="shared" si="19"/>
        <v>2022-2</v>
      </c>
      <c r="O69" s="1099" t="str">
        <f t="shared" si="19"/>
        <v>2022-1</v>
      </c>
      <c r="P69" s="2508"/>
      <c r="Q69" s="2508"/>
      <c r="R69" s="2508"/>
      <c r="S69" s="2508"/>
      <c r="T69" s="2508"/>
      <c r="U69" s="2508"/>
      <c r="V69" s="2508"/>
      <c r="W69" s="2508"/>
      <c r="X69" s="2508"/>
      <c r="Y69" s="2508"/>
      <c r="Z69" s="2508"/>
      <c r="AA69" s="2508"/>
      <c r="AB69" s="2508"/>
      <c r="AC69" s="2508"/>
    </row>
    <row r="70" spans="1:29" s="101" customFormat="1" ht="30" customHeight="1">
      <c r="A70" s="1835" t="s">
        <v>667</v>
      </c>
      <c r="B70" s="279" t="str">
        <f>"北京市平均增长率"&amp;TEXT(SUMIF(基准地价修正!N25:N29,A70,基准地价修正!P25:P29),"0.00%")</f>
        <v>北京市平均增长率0.00%</v>
      </c>
      <c r="C70" s="529">
        <v>100</v>
      </c>
      <c r="D70" s="6">
        <v>100</v>
      </c>
      <c r="E70" s="6">
        <v>100</v>
      </c>
      <c r="F70" s="6">
        <v>100</v>
      </c>
      <c r="G70" s="6">
        <v>100</v>
      </c>
      <c r="H70" s="6">
        <v>100</v>
      </c>
      <c r="I70" s="6">
        <v>100</v>
      </c>
      <c r="J70" s="6">
        <v>100</v>
      </c>
      <c r="K70" s="6">
        <v>100</v>
      </c>
      <c r="L70" s="6">
        <v>100</v>
      </c>
      <c r="M70" s="6">
        <v>100</v>
      </c>
      <c r="N70" s="6"/>
      <c r="O70" s="1096"/>
      <c r="P70" s="2506"/>
      <c r="Q70" s="2437"/>
      <c r="R70" s="2437"/>
      <c r="S70" s="2437"/>
      <c r="T70" s="2437"/>
      <c r="U70" s="2437"/>
      <c r="V70" s="2437"/>
      <c r="W70" s="2437"/>
      <c r="X70" s="2437"/>
      <c r="Y70" s="2437"/>
      <c r="Z70" s="2437"/>
      <c r="AA70" s="2437"/>
      <c r="AB70" s="2437"/>
      <c r="AC70" s="2437"/>
    </row>
    <row r="71" spans="1:29" s="101" customFormat="1" ht="15.75" thickBot="1">
      <c r="A71" s="448" t="s">
        <v>1708</v>
      </c>
      <c r="B71" s="449"/>
      <c r="C71" s="450"/>
      <c r="D71" s="451"/>
      <c r="E71" s="451"/>
      <c r="F71" s="451"/>
      <c r="G71" s="451"/>
      <c r="H71" s="451"/>
      <c r="I71" s="451"/>
      <c r="J71" s="451"/>
      <c r="K71" s="451"/>
      <c r="L71" s="451"/>
      <c r="M71" s="452"/>
      <c r="N71" s="451"/>
      <c r="O71" s="887"/>
      <c r="P71" s="2506"/>
      <c r="Q71" s="2506"/>
      <c r="R71" s="2437"/>
      <c r="S71" s="2437"/>
      <c r="T71" s="2437"/>
      <c r="U71" s="2437"/>
      <c r="V71" s="2437"/>
      <c r="W71" s="2437"/>
      <c r="X71" s="2437"/>
      <c r="Y71" s="2437"/>
      <c r="Z71" s="2437"/>
      <c r="AA71" s="2437"/>
      <c r="AB71" s="2437"/>
      <c r="AC71" s="2437"/>
    </row>
    <row r="72" spans="1:29" s="101" customFormat="1" ht="15">
      <c r="A72" s="454" t="s">
        <v>1673</v>
      </c>
      <c r="B72" s="443"/>
      <c r="C72" s="455" t="s">
        <v>1768</v>
      </c>
      <c r="D72" s="31"/>
      <c r="E72" s="31"/>
      <c r="F72" s="31"/>
      <c r="G72" s="31"/>
      <c r="H72" s="31"/>
      <c r="I72" s="31"/>
      <c r="J72" s="31"/>
      <c r="K72" s="31"/>
      <c r="L72" s="456"/>
      <c r="M72" s="457"/>
      <c r="N72" s="2518"/>
      <c r="O72" s="2518"/>
      <c r="P72" s="2542"/>
      <c r="Q72" s="2506"/>
      <c r="R72" s="2437"/>
      <c r="S72" s="2437"/>
      <c r="T72" s="2437"/>
      <c r="U72" s="2437"/>
      <c r="V72" s="2437"/>
      <c r="W72" s="2437"/>
      <c r="X72" s="2437"/>
      <c r="Y72" s="2437"/>
      <c r="Z72" s="2437"/>
      <c r="AA72" s="2437"/>
      <c r="AB72" s="2437"/>
      <c r="AC72" s="2437"/>
    </row>
    <row r="73" spans="1:29" s="101" customFormat="1" ht="15.75" thickBot="1">
      <c r="A73" s="454"/>
      <c r="B73" s="443"/>
      <c r="C73" s="562">
        <v>100</v>
      </c>
      <c r="D73" s="445"/>
      <c r="E73" s="445"/>
      <c r="F73" s="445"/>
      <c r="G73" s="445"/>
      <c r="H73" s="445"/>
      <c r="I73" s="445"/>
      <c r="J73" s="445"/>
      <c r="K73" s="445"/>
      <c r="L73" s="445"/>
      <c r="M73" s="447"/>
      <c r="N73" s="2518"/>
      <c r="O73" s="2518"/>
      <c r="P73" s="2506"/>
      <c r="Q73" s="2506"/>
      <c r="R73" s="2437"/>
      <c r="S73" s="2437"/>
      <c r="T73" s="2437"/>
      <c r="U73" s="2437"/>
      <c r="V73" s="2437"/>
      <c r="W73" s="2437"/>
      <c r="X73" s="2437"/>
      <c r="Y73" s="2437"/>
      <c r="Z73" s="2437"/>
      <c r="AA73" s="2437"/>
      <c r="AB73" s="2437"/>
      <c r="AC73" s="2437"/>
    </row>
    <row r="74" spans="1:29" ht="27.75">
      <c r="A74" s="378" t="s">
        <v>1711</v>
      </c>
      <c r="B74" s="459" t="s">
        <v>1677</v>
      </c>
      <c r="C74" s="3201" t="s">
        <v>3806</v>
      </c>
      <c r="D74" s="461" t="s">
        <v>3804</v>
      </c>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5.75" thickBot="1">
      <c r="A75" s="366"/>
      <c r="B75" s="465"/>
      <c r="C75" s="466">
        <v>105</v>
      </c>
      <c r="D75" s="466">
        <v>100</v>
      </c>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7.75" thickTop="1">
      <c r="A76" s="366"/>
      <c r="B76" s="468" t="s">
        <v>1680</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5.75"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75" thickTop="1">
      <c r="A78" s="366"/>
      <c r="B78" s="476" t="s">
        <v>1681</v>
      </c>
      <c r="C78" s="477" t="str">
        <f>C79&amp;"（含）"&amp;"-"&amp;D79</f>
        <v>0（含）-1</v>
      </c>
      <c r="D78" s="477" t="str">
        <f t="shared" ref="D78:L78" si="20">D79&amp;"（含）"&amp;"-"&amp;E79</f>
        <v>1（含）-2</v>
      </c>
      <c r="E78" s="477" t="str">
        <f t="shared" si="20"/>
        <v>2（含）-3</v>
      </c>
      <c r="F78" s="477" t="str">
        <f t="shared" si="20"/>
        <v>3（含）-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6"/>
      <c r="B79" s="478"/>
      <c r="C79" s="479">
        <v>0</v>
      </c>
      <c r="D79" s="479">
        <v>1</v>
      </c>
      <c r="E79" s="479">
        <v>2</v>
      </c>
      <c r="F79" s="479">
        <v>3</v>
      </c>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5.75" thickBot="1">
      <c r="A80" s="366"/>
      <c r="B80" s="465"/>
      <c r="C80" s="474">
        <v>100</v>
      </c>
      <c r="D80" s="474">
        <f t="shared" ref="D80:M80" si="21">IF($B$46="单位面积地价",C80+$K11,C80-$K11)</f>
        <v>97</v>
      </c>
      <c r="E80" s="474">
        <f t="shared" si="21"/>
        <v>94</v>
      </c>
      <c r="F80" s="474">
        <f t="shared" si="21"/>
        <v>91</v>
      </c>
      <c r="G80" s="474">
        <f t="shared" si="21"/>
        <v>88</v>
      </c>
      <c r="H80" s="474">
        <f t="shared" si="21"/>
        <v>85</v>
      </c>
      <c r="I80" s="474">
        <f t="shared" si="21"/>
        <v>82</v>
      </c>
      <c r="J80" s="474">
        <f t="shared" si="21"/>
        <v>79</v>
      </c>
      <c r="K80" s="474">
        <f t="shared" si="21"/>
        <v>76</v>
      </c>
      <c r="L80" s="474">
        <f t="shared" si="21"/>
        <v>73</v>
      </c>
      <c r="M80" s="474">
        <f t="shared" si="21"/>
        <v>70</v>
      </c>
      <c r="N80" s="2520"/>
      <c r="O80" s="2520"/>
      <c r="P80" s="2518"/>
      <c r="Q80" s="2506"/>
      <c r="R80" s="2485"/>
      <c r="S80" s="2485"/>
      <c r="T80" s="2485"/>
      <c r="U80" s="2485"/>
      <c r="V80" s="2485"/>
      <c r="W80" s="2485"/>
      <c r="X80" s="2485"/>
      <c r="Y80" s="2485"/>
      <c r="Z80" s="2485"/>
      <c r="AA80" s="2485"/>
      <c r="AB80" s="2485"/>
      <c r="AC80" s="2485"/>
    </row>
    <row r="81" spans="1:29" s="407" customFormat="1" ht="15.75" thickTop="1">
      <c r="A81" s="483"/>
      <c r="B81" s="468" t="str">
        <f>B12</f>
        <v>自持</v>
      </c>
      <c r="C81" s="3203" t="s">
        <v>3882</v>
      </c>
      <c r="D81" s="3203" t="s">
        <v>3883</v>
      </c>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5.75" thickBot="1">
      <c r="A82" s="483"/>
      <c r="B82" s="473"/>
      <c r="C82" s="490">
        <v>100</v>
      </c>
      <c r="D82" s="466">
        <v>90</v>
      </c>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5.75"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5.75"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5.75"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5.75"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c r="A87" s="378" t="s">
        <v>1682</v>
      </c>
      <c r="B87" s="459" t="s">
        <v>1712</v>
      </c>
      <c r="C87" s="503" t="s">
        <v>1713</v>
      </c>
      <c r="D87" s="503" t="s">
        <v>1714</v>
      </c>
      <c r="E87" s="503" t="s">
        <v>1715</v>
      </c>
      <c r="F87" s="503" t="s">
        <v>1716</v>
      </c>
      <c r="G87" s="503" t="s">
        <v>1717</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75" thickTop="1">
      <c r="A89" s="366"/>
      <c r="B89" s="468" t="s">
        <v>1896</v>
      </c>
      <c r="C89" s="508" t="s">
        <v>1713</v>
      </c>
      <c r="D89" s="508" t="s">
        <v>1714</v>
      </c>
      <c r="E89" s="508" t="s">
        <v>1715</v>
      </c>
      <c r="F89" s="508" t="s">
        <v>1716</v>
      </c>
      <c r="G89" s="508" t="s">
        <v>1717</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5.75" thickBot="1">
      <c r="A90" s="366"/>
      <c r="B90" s="473"/>
      <c r="C90" s="474">
        <v>100</v>
      </c>
      <c r="D90" s="474">
        <f>C90-$K17</f>
        <v>98</v>
      </c>
      <c r="E90" s="474">
        <f>D90-$K17</f>
        <v>96</v>
      </c>
      <c r="F90" s="474">
        <f>E90-$K17</f>
        <v>94</v>
      </c>
      <c r="G90" s="474">
        <f>F90-$K17</f>
        <v>92</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75" thickTop="1">
      <c r="A91" s="366"/>
      <c r="B91" s="468" t="s">
        <v>1813</v>
      </c>
      <c r="C91" s="508" t="s">
        <v>1713</v>
      </c>
      <c r="D91" s="508" t="s">
        <v>1714</v>
      </c>
      <c r="E91" s="508" t="s">
        <v>1715</v>
      </c>
      <c r="F91" s="508" t="s">
        <v>1716</v>
      </c>
      <c r="G91" s="508" t="s">
        <v>1717</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75" thickTop="1">
      <c r="A93" s="366"/>
      <c r="B93" s="468" t="s">
        <v>1718</v>
      </c>
      <c r="C93" s="508" t="s">
        <v>1713</v>
      </c>
      <c r="D93" s="508" t="s">
        <v>1714</v>
      </c>
      <c r="E93" s="508" t="s">
        <v>1715</v>
      </c>
      <c r="F93" s="508" t="s">
        <v>1716</v>
      </c>
      <c r="G93" s="508" t="s">
        <v>1717</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5.75" thickBot="1">
      <c r="A94" s="366"/>
      <c r="B94" s="473"/>
      <c r="C94" s="474">
        <v>100</v>
      </c>
      <c r="D94" s="474">
        <f>C94-$K21</f>
        <v>98</v>
      </c>
      <c r="E94" s="474">
        <f>D94-$K21</f>
        <v>96</v>
      </c>
      <c r="F94" s="474">
        <f>E94-$K21</f>
        <v>94</v>
      </c>
      <c r="G94" s="474">
        <f>F94-$K21</f>
        <v>92</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15.75" thickTop="1">
      <c r="A95" s="369"/>
      <c r="B95" s="468" t="s">
        <v>1897</v>
      </c>
      <c r="C95" s="508" t="s">
        <v>1713</v>
      </c>
      <c r="D95" s="508" t="s">
        <v>1714</v>
      </c>
      <c r="E95" s="508" t="s">
        <v>1715</v>
      </c>
      <c r="F95" s="508" t="s">
        <v>1716</v>
      </c>
      <c r="G95" s="508" t="s">
        <v>1717</v>
      </c>
      <c r="H95" s="508"/>
      <c r="I95" s="508"/>
      <c r="J95" s="508"/>
      <c r="K95" s="508"/>
      <c r="L95" s="617"/>
      <c r="M95" s="546"/>
      <c r="N95" s="2518"/>
      <c r="O95" s="2518"/>
      <c r="P95" s="2518"/>
      <c r="Q95" s="2506"/>
      <c r="R95" s="2437"/>
      <c r="S95" s="2437"/>
      <c r="T95" s="2437"/>
      <c r="U95" s="2437"/>
      <c r="V95" s="2437"/>
      <c r="W95" s="2437"/>
      <c r="X95" s="2437"/>
      <c r="Y95" s="2437"/>
      <c r="Z95" s="2437"/>
      <c r="AA95" s="2437"/>
      <c r="AB95" s="2437"/>
      <c r="AC95" s="2437"/>
    </row>
    <row r="96" spans="1:29" s="101" customFormat="1" ht="15.75" thickBot="1">
      <c r="A96" s="369"/>
      <c r="B96" s="473"/>
      <c r="C96" s="511">
        <v>100</v>
      </c>
      <c r="D96" s="474">
        <f>C96-$K23</f>
        <v>99</v>
      </c>
      <c r="E96" s="474">
        <f>D96-$K23</f>
        <v>98</v>
      </c>
      <c r="F96" s="474">
        <f>E96-$K23</f>
        <v>97</v>
      </c>
      <c r="G96" s="474">
        <f>F96-$K23</f>
        <v>96</v>
      </c>
      <c r="H96" s="474"/>
      <c r="I96" s="474"/>
      <c r="J96" s="474"/>
      <c r="K96" s="474"/>
      <c r="L96" s="474"/>
      <c r="M96" s="475"/>
      <c r="N96" s="2520"/>
      <c r="O96" s="2520"/>
      <c r="P96" s="2518"/>
      <c r="Q96" s="2506"/>
      <c r="R96" s="2437"/>
      <c r="S96" s="2437"/>
      <c r="T96" s="2437"/>
      <c r="U96" s="2437"/>
      <c r="V96" s="2437"/>
      <c r="W96" s="2437"/>
      <c r="X96" s="2437"/>
      <c r="Y96" s="2437"/>
      <c r="Z96" s="2437"/>
      <c r="AA96" s="2437"/>
      <c r="AB96" s="2437"/>
      <c r="AC96" s="2437"/>
    </row>
    <row r="97" spans="1:29" s="101" customFormat="1" ht="27.75" thickTop="1">
      <c r="A97" s="369"/>
      <c r="B97" s="468" t="s">
        <v>1898</v>
      </c>
      <c r="C97" s="503" t="s">
        <v>1713</v>
      </c>
      <c r="D97" s="503" t="s">
        <v>1714</v>
      </c>
      <c r="E97" s="503" t="s">
        <v>1715</v>
      </c>
      <c r="F97" s="503" t="s">
        <v>1716</v>
      </c>
      <c r="G97" s="503" t="s">
        <v>1717</v>
      </c>
      <c r="H97" s="508"/>
      <c r="I97" s="508"/>
      <c r="J97" s="508"/>
      <c r="K97" s="508"/>
      <c r="L97" s="508"/>
      <c r="M97" s="546"/>
      <c r="N97" s="2518"/>
      <c r="O97" s="2518"/>
      <c r="P97" s="2518"/>
      <c r="Q97" s="2506"/>
      <c r="R97" s="2437"/>
      <c r="S97" s="2437"/>
      <c r="T97" s="2437"/>
      <c r="U97" s="2437"/>
      <c r="V97" s="2437"/>
      <c r="W97" s="2437"/>
      <c r="X97" s="2437"/>
      <c r="Y97" s="2437"/>
      <c r="Z97" s="2437"/>
      <c r="AA97" s="2437"/>
      <c r="AB97" s="2437"/>
      <c r="AC97" s="2437"/>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20"/>
      <c r="O98" s="2520"/>
      <c r="P98" s="2518"/>
      <c r="Q98" s="2506"/>
      <c r="R98" s="2437"/>
      <c r="S98" s="2437"/>
      <c r="T98" s="2437"/>
      <c r="U98" s="2437"/>
      <c r="V98" s="2437"/>
      <c r="W98" s="2437"/>
      <c r="X98" s="2437"/>
      <c r="Y98" s="2437"/>
      <c r="Z98" s="2437"/>
      <c r="AA98" s="2437"/>
      <c r="AB98" s="2437"/>
      <c r="AC98" s="2437"/>
    </row>
    <row r="99" spans="1:29" s="407" customFormat="1" ht="15.75" thickTop="1">
      <c r="A99" s="483"/>
      <c r="B99" s="468" t="s">
        <v>1770</v>
      </c>
      <c r="C99" s="503" t="s">
        <v>1713</v>
      </c>
      <c r="D99" s="503" t="s">
        <v>1714</v>
      </c>
      <c r="E99" s="503" t="s">
        <v>1715</v>
      </c>
      <c r="F99" s="503" t="s">
        <v>1716</v>
      </c>
      <c r="G99" s="503" t="s">
        <v>1717</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5.75" thickBot="1">
      <c r="A100" s="483"/>
      <c r="B100" s="473"/>
      <c r="C100" s="474">
        <v>100</v>
      </c>
      <c r="D100" s="474">
        <f>C100-$K27</f>
        <v>97</v>
      </c>
      <c r="E100" s="474">
        <f>D100-$K27</f>
        <v>94</v>
      </c>
      <c r="F100" s="474">
        <f>E100-$K27</f>
        <v>91</v>
      </c>
      <c r="G100" s="474">
        <f>F100-$K27</f>
        <v>88</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75" thickTop="1">
      <c r="A101" s="483"/>
      <c r="B101" s="476" t="s">
        <v>1771</v>
      </c>
      <c r="C101" s="580" t="s">
        <v>1791</v>
      </c>
      <c r="D101" s="580" t="s">
        <v>1792</v>
      </c>
      <c r="E101" s="580" t="s">
        <v>1793</v>
      </c>
      <c r="F101" s="580" t="s">
        <v>1794</v>
      </c>
      <c r="G101" s="580" t="s">
        <v>1795</v>
      </c>
      <c r="H101" s="526"/>
      <c r="I101" s="526"/>
      <c r="J101" s="526"/>
      <c r="K101" s="526"/>
      <c r="L101" s="526"/>
      <c r="M101" s="1063"/>
      <c r="N101" s="2521"/>
      <c r="O101" s="2521"/>
      <c r="P101" s="2521"/>
      <c r="Q101" s="2513"/>
      <c r="R101" s="2491"/>
      <c r="S101" s="2491"/>
      <c r="T101" s="2491"/>
      <c r="U101" s="2491"/>
      <c r="V101" s="2491"/>
      <c r="W101" s="2491"/>
      <c r="X101" s="2491"/>
      <c r="Y101" s="2491"/>
      <c r="Z101" s="2491"/>
      <c r="AA101" s="2491"/>
      <c r="AB101" s="2491"/>
      <c r="AC101" s="2491"/>
    </row>
    <row r="102" spans="1:29" s="407" customFormat="1" ht="15.75" thickBot="1">
      <c r="A102" s="483"/>
      <c r="B102" s="476"/>
      <c r="C102" s="474">
        <v>100</v>
      </c>
      <c r="D102" s="474">
        <f>C102-$K29</f>
        <v>99</v>
      </c>
      <c r="E102" s="474">
        <f>D102-$K29</f>
        <v>98</v>
      </c>
      <c r="F102" s="474">
        <f>E102-$K29</f>
        <v>97</v>
      </c>
      <c r="G102" s="474">
        <f>F102-$K29</f>
        <v>96</v>
      </c>
      <c r="H102" s="478"/>
      <c r="I102" s="478"/>
      <c r="J102" s="478"/>
      <c r="K102" s="478"/>
      <c r="L102" s="478"/>
      <c r="M102" s="1063"/>
      <c r="N102" s="2521"/>
      <c r="O102" s="2521"/>
      <c r="P102" s="2521"/>
      <c r="Q102" s="2513"/>
      <c r="R102" s="2491"/>
      <c r="S102" s="2491"/>
      <c r="T102" s="2491"/>
      <c r="U102" s="2491"/>
      <c r="V102" s="2491"/>
      <c r="W102" s="2491"/>
      <c r="X102" s="2491"/>
      <c r="Y102" s="2491"/>
      <c r="Z102" s="2491"/>
      <c r="AA102" s="2491"/>
      <c r="AB102" s="2491"/>
      <c r="AC102" s="2491"/>
    </row>
    <row r="103" spans="1:29" ht="15.75" thickTop="1">
      <c r="A103" s="366"/>
      <c r="B103" s="468" t="str">
        <f>B31</f>
        <v>临街状况</v>
      </c>
      <c r="C103" s="469" t="s">
        <v>1899</v>
      </c>
      <c r="D103" s="469" t="s">
        <v>1900</v>
      </c>
      <c r="E103" s="469" t="s">
        <v>1901</v>
      </c>
      <c r="F103" s="469" t="s">
        <v>1902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6"/>
      <c r="B105" s="468" t="s">
        <v>1807</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6"/>
      <c r="B107" s="468" t="s">
        <v>1864</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5.75"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5"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5.75"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5"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5.75"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ht="28.5">
      <c r="A115" s="378" t="s">
        <v>1686</v>
      </c>
      <c r="B115" s="459" t="s">
        <v>1903</v>
      </c>
      <c r="C115" s="460" t="str">
        <f>C116&amp;"(含)"&amp;"-"&amp;D116</f>
        <v>0(含)-20000</v>
      </c>
      <c r="D115" s="460" t="str">
        <f t="shared" ref="D115:M115" si="25">D116&amp;"(含)"&amp;"-"&amp;E116</f>
        <v>20000(含)-40000</v>
      </c>
      <c r="E115" s="460" t="str">
        <f t="shared" si="25"/>
        <v>40000(含)-60000</v>
      </c>
      <c r="F115" s="460" t="str">
        <f t="shared" si="25"/>
        <v>60000(含)-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6"/>
      <c r="B116" s="476"/>
      <c r="C116" s="6">
        <v>0</v>
      </c>
      <c r="D116" s="6">
        <v>20000</v>
      </c>
      <c r="E116" s="6">
        <v>40000</v>
      </c>
      <c r="F116" s="6">
        <v>60000</v>
      </c>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5.75" thickBot="1">
      <c r="A117" s="366"/>
      <c r="B117" s="473"/>
      <c r="C117" s="500">
        <v>100</v>
      </c>
      <c r="D117" s="520">
        <v>101</v>
      </c>
      <c r="E117" s="520">
        <v>102</v>
      </c>
      <c r="F117" s="520">
        <v>103</v>
      </c>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1904</v>
      </c>
      <c r="C118" s="3202" t="s">
        <v>3775</v>
      </c>
      <c r="D118" s="3202" t="s">
        <v>3772</v>
      </c>
      <c r="E118" s="3202" t="s">
        <v>3773</v>
      </c>
      <c r="F118" s="3202" t="s">
        <v>3774</v>
      </c>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5.75" thickBot="1">
      <c r="A119" s="366"/>
      <c r="B119" s="473"/>
      <c r="C119" s="474">
        <v>100</v>
      </c>
      <c r="D119" s="474">
        <f t="shared" ref="D119:M119" si="26">C119-$K39</f>
        <v>99</v>
      </c>
      <c r="E119" s="474">
        <f t="shared" si="26"/>
        <v>98</v>
      </c>
      <c r="F119" s="474">
        <f t="shared" si="26"/>
        <v>97</v>
      </c>
      <c r="G119" s="474">
        <f t="shared" si="26"/>
        <v>96</v>
      </c>
      <c r="H119" s="474">
        <f t="shared" si="26"/>
        <v>95</v>
      </c>
      <c r="I119" s="474">
        <f t="shared" si="26"/>
        <v>94</v>
      </c>
      <c r="J119" s="474">
        <f t="shared" si="26"/>
        <v>93</v>
      </c>
      <c r="K119" s="474">
        <f t="shared" si="26"/>
        <v>92</v>
      </c>
      <c r="L119" s="474">
        <f t="shared" si="26"/>
        <v>91</v>
      </c>
      <c r="M119" s="475">
        <f t="shared" si="26"/>
        <v>90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1905</v>
      </c>
      <c r="C120" s="3203" t="s">
        <v>3776</v>
      </c>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5.75" thickBot="1">
      <c r="A121" s="366"/>
      <c r="B121" s="473"/>
      <c r="C121" s="474">
        <v>100</v>
      </c>
      <c r="D121" s="474">
        <f t="shared" ref="D121:M121" si="27">C121-$K40</f>
        <v>99</v>
      </c>
      <c r="E121" s="474">
        <f t="shared" si="27"/>
        <v>98</v>
      </c>
      <c r="F121" s="474">
        <f t="shared" si="27"/>
        <v>97</v>
      </c>
      <c r="G121" s="474">
        <f t="shared" si="27"/>
        <v>96</v>
      </c>
      <c r="H121" s="474">
        <f t="shared" si="27"/>
        <v>95</v>
      </c>
      <c r="I121" s="474">
        <f t="shared" si="27"/>
        <v>94</v>
      </c>
      <c r="J121" s="474">
        <f t="shared" si="27"/>
        <v>93</v>
      </c>
      <c r="K121" s="474">
        <f t="shared" si="27"/>
        <v>92</v>
      </c>
      <c r="L121" s="474">
        <f t="shared" si="27"/>
        <v>91</v>
      </c>
      <c r="M121" s="475">
        <f t="shared" si="27"/>
        <v>90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1906</v>
      </c>
      <c r="C122" s="3203" t="s">
        <v>3778</v>
      </c>
      <c r="D122" s="3203" t="s">
        <v>3780</v>
      </c>
      <c r="E122" s="3203" t="s">
        <v>3781</v>
      </c>
      <c r="F122" s="3203" t="s">
        <v>3782</v>
      </c>
      <c r="G122" s="3203" t="s">
        <v>3797</v>
      </c>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5.75" thickBot="1">
      <c r="A123" s="483"/>
      <c r="B123" s="473"/>
      <c r="C123" s="474">
        <v>100</v>
      </c>
      <c r="D123" s="474">
        <f t="shared" ref="D123:M123" si="28">C123-$K41</f>
        <v>99</v>
      </c>
      <c r="E123" s="474">
        <f t="shared" si="28"/>
        <v>98</v>
      </c>
      <c r="F123" s="474">
        <f t="shared" si="28"/>
        <v>97</v>
      </c>
      <c r="G123" s="474">
        <f t="shared" si="28"/>
        <v>96</v>
      </c>
      <c r="H123" s="474">
        <f t="shared" si="28"/>
        <v>95</v>
      </c>
      <c r="I123" s="474">
        <f t="shared" si="28"/>
        <v>94</v>
      </c>
      <c r="J123" s="474">
        <f t="shared" si="28"/>
        <v>93</v>
      </c>
      <c r="K123" s="474">
        <f t="shared" si="28"/>
        <v>92</v>
      </c>
      <c r="L123" s="474">
        <f t="shared" si="28"/>
        <v>91</v>
      </c>
      <c r="M123" s="475">
        <f t="shared" si="28"/>
        <v>90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1907</v>
      </c>
      <c r="C124" s="3203" t="s">
        <v>3784</v>
      </c>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 t="shared" ref="D125:M125" si="29">C125-$K42</f>
        <v>99</v>
      </c>
      <c r="E125" s="474">
        <f t="shared" si="29"/>
        <v>98</v>
      </c>
      <c r="F125" s="474">
        <f t="shared" si="29"/>
        <v>97</v>
      </c>
      <c r="G125" s="474">
        <f t="shared" si="29"/>
        <v>96</v>
      </c>
      <c r="H125" s="474">
        <f t="shared" si="29"/>
        <v>95</v>
      </c>
      <c r="I125" s="474">
        <f t="shared" si="29"/>
        <v>94</v>
      </c>
      <c r="J125" s="474">
        <f t="shared" si="29"/>
        <v>93</v>
      </c>
      <c r="K125" s="474">
        <f t="shared" si="29"/>
        <v>92</v>
      </c>
      <c r="L125" s="474">
        <f t="shared" si="29"/>
        <v>91</v>
      </c>
      <c r="M125" s="475">
        <f t="shared" si="29"/>
        <v>90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5.75"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5"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5.75"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5"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5.75"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2"/>
  <sheetViews>
    <sheetView topLeftCell="K49" workbookViewId="0">
      <selection activeCell="AF71" sqref="AF71"/>
    </sheetView>
  </sheetViews>
  <sheetFormatPr defaultRowHeight="12"/>
  <cols>
    <col min="1" max="1" width="20" style="2856" customWidth="1"/>
    <col min="2" max="2" width="5.875" style="2856" hidden="1" customWidth="1"/>
    <col min="3" max="3" width="6.5" style="2856" customWidth="1"/>
    <col min="4" max="4" width="10.625" style="2856" hidden="1" customWidth="1"/>
    <col min="5" max="5" width="8.25" style="2856" customWidth="1"/>
    <col min="6" max="6" width="11.125" style="2856" customWidth="1"/>
    <col min="7" max="7" width="10" style="2856" customWidth="1"/>
    <col min="8" max="8" width="8.625" style="2856" customWidth="1"/>
    <col min="9" max="9" width="8.75" style="2856" customWidth="1"/>
    <col min="10" max="10" width="9.125" style="2856" customWidth="1"/>
    <col min="11" max="11" width="10.75" style="2856" customWidth="1"/>
    <col min="12" max="15" width="20" style="2856" hidden="1" customWidth="1"/>
    <col min="16" max="16" width="10.875" style="2856" customWidth="1"/>
    <col min="17" max="18" width="20" style="2856" hidden="1" customWidth="1"/>
    <col min="19" max="19" width="10.75" style="2856" customWidth="1"/>
    <col min="20" max="20" width="9.5" style="2856" customWidth="1"/>
    <col min="21" max="21" width="14.5" style="2856" customWidth="1"/>
    <col min="22" max="22" width="9.875" style="2856" customWidth="1"/>
    <col min="23" max="23" width="10.625" style="2856" customWidth="1"/>
    <col min="24" max="24" width="20" style="2856" hidden="1" customWidth="1"/>
    <col min="25" max="25" width="8.5" style="2856" customWidth="1"/>
    <col min="26" max="28" width="20" style="2856" hidden="1" customWidth="1"/>
    <col min="29" max="29" width="12" style="2856" customWidth="1"/>
    <col min="30" max="30" width="10.375" style="2856" customWidth="1"/>
    <col min="31" max="31" width="9" style="2856" customWidth="1"/>
    <col min="32" max="33" width="10.25" style="2856" bestFit="1" customWidth="1"/>
    <col min="34" max="16384" width="9" style="2856"/>
  </cols>
  <sheetData>
    <row r="1" spans="1:30" s="3199" customFormat="1" ht="24">
      <c r="A1" s="3199" t="s">
        <v>3459</v>
      </c>
      <c r="B1" s="3199" t="s">
        <v>3460</v>
      </c>
      <c r="C1" s="3199" t="s">
        <v>3461</v>
      </c>
      <c r="D1" s="3199" t="s">
        <v>3462</v>
      </c>
      <c r="E1" s="3199" t="s">
        <v>3463</v>
      </c>
      <c r="F1" s="3199" t="s">
        <v>3464</v>
      </c>
      <c r="G1" s="3199" t="s">
        <v>3465</v>
      </c>
      <c r="H1" s="3199" t="s">
        <v>3466</v>
      </c>
      <c r="I1" s="3199" t="s">
        <v>3467</v>
      </c>
      <c r="J1" s="3199" t="s">
        <v>3468</v>
      </c>
      <c r="K1" s="3199" t="s">
        <v>3469</v>
      </c>
      <c r="L1" s="3199" t="s">
        <v>3470</v>
      </c>
      <c r="M1" s="3199" t="s">
        <v>3471</v>
      </c>
      <c r="N1" s="3199" t="s">
        <v>3472</v>
      </c>
      <c r="O1" s="3199" t="s">
        <v>3473</v>
      </c>
      <c r="P1" s="3199" t="s">
        <v>3474</v>
      </c>
      <c r="Q1" s="3199" t="s">
        <v>3768</v>
      </c>
      <c r="R1" s="3199" t="s">
        <v>3475</v>
      </c>
      <c r="S1" s="3199" t="s">
        <v>3476</v>
      </c>
      <c r="T1" s="3199" t="s">
        <v>3477</v>
      </c>
      <c r="U1" s="3199" t="s">
        <v>3478</v>
      </c>
      <c r="V1" s="3199" t="s">
        <v>3479</v>
      </c>
      <c r="W1" s="3199" t="s">
        <v>3480</v>
      </c>
      <c r="X1" s="3199" t="s">
        <v>3481</v>
      </c>
      <c r="Y1" s="3199" t="s">
        <v>3482</v>
      </c>
      <c r="Z1" s="3199" t="s">
        <v>3483</v>
      </c>
      <c r="AA1" s="3199" t="s">
        <v>3484</v>
      </c>
      <c r="AB1" s="3199" t="s">
        <v>3485</v>
      </c>
      <c r="AC1" s="3199" t="s">
        <v>3486</v>
      </c>
      <c r="AD1" s="3199" t="s">
        <v>3487</v>
      </c>
    </row>
    <row r="2" spans="1:30">
      <c r="A2" s="2856" t="s">
        <v>3488</v>
      </c>
      <c r="B2" s="2856" t="s">
        <v>3394</v>
      </c>
      <c r="C2" s="2856" t="s">
        <v>3489</v>
      </c>
      <c r="D2" s="2856" t="s">
        <v>3490</v>
      </c>
      <c r="E2" s="2856" t="s">
        <v>3491</v>
      </c>
      <c r="F2" s="2856">
        <v>54036.49</v>
      </c>
      <c r="G2" s="2856">
        <v>81054.740000000005</v>
      </c>
      <c r="H2" s="2856" t="s">
        <v>3492</v>
      </c>
      <c r="I2" s="2856" t="s">
        <v>3493</v>
      </c>
      <c r="J2" s="2856" t="s">
        <v>3494</v>
      </c>
      <c r="K2" s="2856" t="s">
        <v>3495</v>
      </c>
      <c r="L2" s="2856" t="s">
        <v>3496</v>
      </c>
      <c r="M2" s="2856" t="s">
        <v>3497</v>
      </c>
      <c r="N2" s="2856" t="s">
        <v>3496</v>
      </c>
      <c r="O2" s="2856" t="s">
        <v>3496</v>
      </c>
      <c r="P2" s="2856" t="s">
        <v>3498</v>
      </c>
      <c r="Q2" s="2856" t="s">
        <v>3499</v>
      </c>
      <c r="R2" s="2856" t="s">
        <v>3500</v>
      </c>
      <c r="S2" s="2856" t="s">
        <v>3501</v>
      </c>
      <c r="T2" s="2856">
        <v>56400</v>
      </c>
      <c r="U2" s="2856">
        <v>10437.39</v>
      </c>
      <c r="V2" s="2856">
        <v>695.83</v>
      </c>
      <c r="W2" s="2856">
        <v>6958</v>
      </c>
      <c r="X2" s="2856" t="s">
        <v>3496</v>
      </c>
      <c r="Y2" s="2856">
        <v>0</v>
      </c>
      <c r="Z2" s="2856" t="s">
        <v>3496</v>
      </c>
      <c r="AA2" s="2856" t="s">
        <v>3496</v>
      </c>
      <c r="AB2" s="2856" t="s">
        <v>3496</v>
      </c>
      <c r="AC2" s="2856" t="s">
        <v>3502</v>
      </c>
      <c r="AD2" s="2856" t="s">
        <v>3496</v>
      </c>
    </row>
    <row r="3" spans="1:30">
      <c r="A3" s="2856" t="s">
        <v>3503</v>
      </c>
      <c r="B3" s="2856" t="s">
        <v>3394</v>
      </c>
      <c r="C3" s="2856" t="s">
        <v>3504</v>
      </c>
      <c r="D3" s="2856" t="s">
        <v>3505</v>
      </c>
      <c r="E3" s="2856" t="s">
        <v>3506</v>
      </c>
      <c r="F3" s="2856">
        <v>5369.21</v>
      </c>
      <c r="G3" s="2856">
        <v>12886.11</v>
      </c>
      <c r="H3" s="2856" t="s">
        <v>3492</v>
      </c>
      <c r="I3" s="2856" t="s">
        <v>3507</v>
      </c>
      <c r="J3" s="2856" t="s">
        <v>3508</v>
      </c>
      <c r="K3" s="2856" t="s">
        <v>3509</v>
      </c>
      <c r="L3" s="2856" t="s">
        <v>3496</v>
      </c>
      <c r="M3" s="2856" t="s">
        <v>3497</v>
      </c>
      <c r="N3" s="2856" t="s">
        <v>3496</v>
      </c>
      <c r="O3" s="2856" t="s">
        <v>3496</v>
      </c>
      <c r="P3" s="2856" t="s">
        <v>3510</v>
      </c>
      <c r="Q3" s="2856" t="s">
        <v>3499</v>
      </c>
      <c r="R3" s="2856" t="s">
        <v>3500</v>
      </c>
      <c r="S3" s="2856" t="s">
        <v>3511</v>
      </c>
      <c r="T3" s="2856">
        <v>17220</v>
      </c>
      <c r="U3" s="2856">
        <v>32071.75</v>
      </c>
      <c r="V3" s="2856">
        <v>2138.12</v>
      </c>
      <c r="W3" s="2856">
        <v>13363</v>
      </c>
      <c r="X3" s="2856" t="s">
        <v>3496</v>
      </c>
      <c r="Y3" s="2856">
        <v>0</v>
      </c>
      <c r="Z3" s="2856" t="s">
        <v>3496</v>
      </c>
      <c r="AA3" s="2856" t="s">
        <v>3496</v>
      </c>
      <c r="AB3" s="2856" t="s">
        <v>3496</v>
      </c>
      <c r="AC3" s="2856" t="s">
        <v>3512</v>
      </c>
      <c r="AD3" s="2856" t="s">
        <v>3496</v>
      </c>
    </row>
    <row r="4" spans="1:30">
      <c r="A4" s="2856" t="s">
        <v>3513</v>
      </c>
      <c r="B4" s="2856" t="s">
        <v>3394</v>
      </c>
      <c r="C4" s="2856" t="s">
        <v>3514</v>
      </c>
      <c r="D4" s="2856" t="s">
        <v>3515</v>
      </c>
      <c r="E4" s="2856" t="s">
        <v>3516</v>
      </c>
      <c r="F4" s="2856">
        <v>51399.76</v>
      </c>
      <c r="G4" s="2856">
        <v>52941.75</v>
      </c>
      <c r="H4" s="2856" t="s">
        <v>3492</v>
      </c>
      <c r="I4" s="2856" t="s">
        <v>3507</v>
      </c>
      <c r="J4" s="2856" t="s">
        <v>3517</v>
      </c>
      <c r="K4" s="2856" t="s">
        <v>3518</v>
      </c>
      <c r="L4" s="2856" t="s">
        <v>3496</v>
      </c>
      <c r="M4" s="2856" t="s">
        <v>3497</v>
      </c>
      <c r="N4" s="2856" t="s">
        <v>3496</v>
      </c>
      <c r="O4" s="2856" t="s">
        <v>3496</v>
      </c>
      <c r="P4" s="2856" t="s">
        <v>3519</v>
      </c>
      <c r="Q4" s="2856" t="s">
        <v>3499</v>
      </c>
      <c r="R4" s="2856" t="s">
        <v>3500</v>
      </c>
      <c r="S4" s="2856" t="s">
        <v>3520</v>
      </c>
      <c r="T4" s="2856">
        <v>121800</v>
      </c>
      <c r="U4" s="2856">
        <v>23696.61</v>
      </c>
      <c r="V4" s="2856">
        <v>1579.77</v>
      </c>
      <c r="W4" s="2856">
        <v>23006</v>
      </c>
      <c r="X4" s="2856" t="s">
        <v>3496</v>
      </c>
      <c r="Y4" s="2856">
        <v>0</v>
      </c>
      <c r="Z4" s="2856" t="s">
        <v>3496</v>
      </c>
      <c r="AA4" s="2856" t="s">
        <v>3496</v>
      </c>
      <c r="AB4" s="2856" t="s">
        <v>3496</v>
      </c>
      <c r="AC4" s="2856" t="s">
        <v>3521</v>
      </c>
      <c r="AD4" s="2856" t="s">
        <v>3496</v>
      </c>
    </row>
    <row r="5" spans="1:30">
      <c r="A5" s="2856" t="s">
        <v>3522</v>
      </c>
      <c r="B5" s="2856" t="s">
        <v>3394</v>
      </c>
      <c r="C5" s="2856" t="s">
        <v>3523</v>
      </c>
      <c r="D5" s="2856" t="s">
        <v>3524</v>
      </c>
      <c r="E5" s="2856" t="s">
        <v>3525</v>
      </c>
      <c r="F5" s="2856">
        <v>29689.18</v>
      </c>
      <c r="G5" s="2856">
        <v>29689.18</v>
      </c>
      <c r="H5" s="2856" t="s">
        <v>3492</v>
      </c>
      <c r="I5" s="2856" t="s">
        <v>3526</v>
      </c>
      <c r="J5" s="2856">
        <v>40</v>
      </c>
      <c r="K5" s="2856" t="s">
        <v>3527</v>
      </c>
      <c r="L5" s="2856" t="s">
        <v>3496</v>
      </c>
      <c r="M5" s="2856" t="s">
        <v>3497</v>
      </c>
      <c r="N5" s="2856" t="s">
        <v>3496</v>
      </c>
      <c r="O5" s="2856" t="s">
        <v>3496</v>
      </c>
      <c r="P5" s="2856" t="s">
        <v>3528</v>
      </c>
      <c r="Q5" s="2856" t="s">
        <v>3499</v>
      </c>
      <c r="R5" s="2856" t="s">
        <v>3529</v>
      </c>
      <c r="S5" s="2856" t="s">
        <v>3530</v>
      </c>
      <c r="T5" s="2856">
        <v>14250.88</v>
      </c>
      <c r="U5" s="2856">
        <v>4800.0200000000004</v>
      </c>
      <c r="V5" s="2856">
        <v>320</v>
      </c>
      <c r="W5" s="2856">
        <v>4800</v>
      </c>
      <c r="X5" s="2856" t="s">
        <v>3496</v>
      </c>
      <c r="Y5" s="2856">
        <v>0</v>
      </c>
      <c r="Z5" s="2856" t="s">
        <v>3496</v>
      </c>
      <c r="AA5" s="2856" t="s">
        <v>3496</v>
      </c>
      <c r="AB5" s="2856" t="s">
        <v>3496</v>
      </c>
      <c r="AC5" s="2856" t="s">
        <v>3531</v>
      </c>
      <c r="AD5" s="2856" t="s">
        <v>3496</v>
      </c>
    </row>
    <row r="6" spans="1:30">
      <c r="A6" s="2856" t="s">
        <v>3532</v>
      </c>
      <c r="B6" s="2856" t="s">
        <v>3394</v>
      </c>
      <c r="C6" s="2856" t="s">
        <v>3504</v>
      </c>
      <c r="D6" s="2856" t="s">
        <v>3533</v>
      </c>
      <c r="E6" s="2856" t="s">
        <v>3534</v>
      </c>
      <c r="F6" s="2856">
        <v>13348.31</v>
      </c>
      <c r="G6" s="2856">
        <v>17352.8</v>
      </c>
      <c r="H6" s="2856" t="s">
        <v>3492</v>
      </c>
      <c r="I6" s="2856" t="s">
        <v>3535</v>
      </c>
      <c r="J6" s="2856" t="s">
        <v>3536</v>
      </c>
      <c r="K6" s="2856" t="s">
        <v>3537</v>
      </c>
      <c r="L6" s="2856" t="s">
        <v>3496</v>
      </c>
      <c r="M6" s="2856" t="s">
        <v>3497</v>
      </c>
      <c r="N6" s="2856" t="s">
        <v>3496</v>
      </c>
      <c r="O6" s="2856" t="s">
        <v>3496</v>
      </c>
      <c r="P6" s="2856" t="s">
        <v>3538</v>
      </c>
      <c r="Q6" s="2856" t="s">
        <v>3499</v>
      </c>
      <c r="R6" s="2856" t="s">
        <v>3529</v>
      </c>
      <c r="S6" s="2856" t="s">
        <v>3539</v>
      </c>
      <c r="T6" s="2856">
        <v>6823.12</v>
      </c>
      <c r="U6" s="2856">
        <v>5111.59</v>
      </c>
      <c r="V6" s="2856">
        <v>340.77</v>
      </c>
      <c r="W6" s="2856">
        <v>3932</v>
      </c>
      <c r="X6" s="2856" t="s">
        <v>3496</v>
      </c>
      <c r="Y6" s="2856">
        <v>0</v>
      </c>
      <c r="Z6" s="2856" t="s">
        <v>3496</v>
      </c>
      <c r="AA6" s="2856" t="s">
        <v>3496</v>
      </c>
      <c r="AB6" s="2856" t="s">
        <v>3496</v>
      </c>
      <c r="AC6" s="2856" t="s">
        <v>3502</v>
      </c>
      <c r="AD6" s="2856" t="s">
        <v>3496</v>
      </c>
    </row>
    <row r="7" spans="1:30" s="3206" customFormat="1">
      <c r="A7" s="3206" t="s">
        <v>3540</v>
      </c>
      <c r="B7" s="3206" t="s">
        <v>3394</v>
      </c>
      <c r="C7" s="3206" t="s">
        <v>3504</v>
      </c>
      <c r="D7" s="3206" t="s">
        <v>3541</v>
      </c>
      <c r="E7" s="3206" t="s">
        <v>3791</v>
      </c>
      <c r="F7" s="3206">
        <v>41129.769999999997</v>
      </c>
      <c r="G7" s="3206">
        <v>90485.49</v>
      </c>
      <c r="H7" s="3206" t="s">
        <v>3492</v>
      </c>
      <c r="I7" s="3206" t="s">
        <v>3803</v>
      </c>
      <c r="J7" s="3206" t="s">
        <v>3542</v>
      </c>
      <c r="K7" s="3206" t="s">
        <v>3543</v>
      </c>
      <c r="L7" s="3206" t="s">
        <v>3496</v>
      </c>
      <c r="M7" s="3206" t="s">
        <v>3497</v>
      </c>
      <c r="N7" s="3206" t="s">
        <v>3496</v>
      </c>
      <c r="O7" s="3206" t="s">
        <v>3496</v>
      </c>
      <c r="P7" s="3206" t="s">
        <v>3544</v>
      </c>
      <c r="Q7" s="3206" t="s">
        <v>3499</v>
      </c>
      <c r="R7" s="3206" t="s">
        <v>3529</v>
      </c>
      <c r="S7" s="3206" t="s">
        <v>3545</v>
      </c>
      <c r="T7" s="3206">
        <v>80900</v>
      </c>
      <c r="U7" s="3206">
        <v>19669.45</v>
      </c>
      <c r="V7" s="3206">
        <v>1311.3</v>
      </c>
      <c r="W7" s="3206">
        <v>8941</v>
      </c>
      <c r="X7" s="3206" t="s">
        <v>3496</v>
      </c>
      <c r="Y7" s="3206">
        <v>0</v>
      </c>
      <c r="Z7" s="3206" t="s">
        <v>3496</v>
      </c>
      <c r="AA7" s="3206" t="s">
        <v>3496</v>
      </c>
      <c r="AB7" s="3206" t="s">
        <v>3496</v>
      </c>
      <c r="AC7" s="3206" t="s">
        <v>3512</v>
      </c>
      <c r="AD7" s="3206" t="s">
        <v>3496</v>
      </c>
    </row>
    <row r="8" spans="1:30">
      <c r="A8" s="2856" t="s">
        <v>3546</v>
      </c>
      <c r="B8" s="2856" t="s">
        <v>3394</v>
      </c>
      <c r="C8" s="2856" t="s">
        <v>3523</v>
      </c>
      <c r="D8" s="2856" t="s">
        <v>3547</v>
      </c>
      <c r="E8" s="2856" t="s">
        <v>3548</v>
      </c>
      <c r="F8" s="2856">
        <v>32423.18</v>
      </c>
      <c r="G8" s="2856">
        <v>42150</v>
      </c>
      <c r="H8" s="2856" t="s">
        <v>3492</v>
      </c>
      <c r="I8" s="2856" t="s">
        <v>3507</v>
      </c>
      <c r="J8" s="2856" t="s">
        <v>3542</v>
      </c>
      <c r="K8" s="2856" t="s">
        <v>3537</v>
      </c>
      <c r="L8" s="2856" t="s">
        <v>3496</v>
      </c>
      <c r="M8" s="2856" t="s">
        <v>3497</v>
      </c>
      <c r="N8" s="2856" t="s">
        <v>3496</v>
      </c>
      <c r="O8" s="2856" t="s">
        <v>3496</v>
      </c>
      <c r="P8" s="2856" t="s">
        <v>3549</v>
      </c>
      <c r="Q8" s="2856" t="s">
        <v>3499</v>
      </c>
      <c r="R8" s="2856" t="s">
        <v>3529</v>
      </c>
      <c r="S8" s="2856" t="s">
        <v>3550</v>
      </c>
      <c r="T8" s="2856">
        <v>23500</v>
      </c>
      <c r="U8" s="2856">
        <v>7247.9</v>
      </c>
      <c r="V8" s="2856">
        <v>483.19</v>
      </c>
      <c r="W8" s="2856">
        <v>5575</v>
      </c>
      <c r="X8" s="2856" t="s">
        <v>3496</v>
      </c>
      <c r="Y8" s="2856">
        <v>0</v>
      </c>
      <c r="Z8" s="2856" t="s">
        <v>3496</v>
      </c>
      <c r="AA8" s="2856" t="s">
        <v>3496</v>
      </c>
      <c r="AB8" s="2856" t="s">
        <v>3496</v>
      </c>
      <c r="AC8" s="2856" t="s">
        <v>3531</v>
      </c>
      <c r="AD8" s="2856" t="s">
        <v>3496</v>
      </c>
    </row>
    <row r="9" spans="1:30">
      <c r="A9" s="2856" t="s">
        <v>3551</v>
      </c>
      <c r="B9" s="2856" t="s">
        <v>3394</v>
      </c>
      <c r="C9" s="2856" t="s">
        <v>3523</v>
      </c>
      <c r="D9" s="2856" t="s">
        <v>3552</v>
      </c>
      <c r="E9" s="2856" t="s">
        <v>3553</v>
      </c>
      <c r="F9" s="2856">
        <v>48824.83</v>
      </c>
      <c r="G9" s="2856">
        <v>122062.08</v>
      </c>
      <c r="H9" s="2856" t="s">
        <v>3492</v>
      </c>
      <c r="I9" s="2856" t="s">
        <v>3554</v>
      </c>
      <c r="J9" s="2856" t="s">
        <v>3555</v>
      </c>
      <c r="K9" s="2856" t="s">
        <v>3556</v>
      </c>
      <c r="L9" s="2856" t="s">
        <v>3496</v>
      </c>
      <c r="M9" s="2856" t="s">
        <v>3497</v>
      </c>
      <c r="N9" s="2856" t="s">
        <v>3496</v>
      </c>
      <c r="O9" s="2856" t="s">
        <v>3496</v>
      </c>
      <c r="P9" s="2856" t="s">
        <v>3557</v>
      </c>
      <c r="Q9" s="2856" t="s">
        <v>3499</v>
      </c>
      <c r="R9" s="2856" t="s">
        <v>3529</v>
      </c>
      <c r="S9" s="2856" t="s">
        <v>3558</v>
      </c>
      <c r="T9" s="2856">
        <v>93000</v>
      </c>
      <c r="U9" s="2856">
        <v>19047.68</v>
      </c>
      <c r="V9" s="2856">
        <v>1269.8499999999999</v>
      </c>
      <c r="W9" s="2856">
        <v>7619</v>
      </c>
      <c r="X9" s="2856" t="s">
        <v>3496</v>
      </c>
      <c r="Y9" s="2856">
        <v>0</v>
      </c>
      <c r="Z9" s="2856" t="s">
        <v>3496</v>
      </c>
      <c r="AA9" s="2856" t="s">
        <v>3496</v>
      </c>
      <c r="AB9" s="2856" t="s">
        <v>3496</v>
      </c>
      <c r="AC9" s="2856" t="s">
        <v>3559</v>
      </c>
      <c r="AD9" s="2856" t="s">
        <v>3496</v>
      </c>
    </row>
    <row r="10" spans="1:30" s="3200" customFormat="1">
      <c r="A10" s="3200" t="s">
        <v>3560</v>
      </c>
      <c r="B10" s="2856" t="s">
        <v>3394</v>
      </c>
      <c r="C10" s="3200" t="s">
        <v>3489</v>
      </c>
      <c r="D10" s="2856" t="s">
        <v>3561</v>
      </c>
      <c r="E10" s="3200" t="s">
        <v>3790</v>
      </c>
      <c r="F10" s="3200">
        <v>21154.74</v>
      </c>
      <c r="G10" s="3200">
        <v>31732.11</v>
      </c>
      <c r="H10" s="3200" t="s">
        <v>3492</v>
      </c>
      <c r="I10" s="3200" t="s">
        <v>3805</v>
      </c>
      <c r="J10" s="3200" t="s">
        <v>3542</v>
      </c>
      <c r="K10" s="3200" t="s">
        <v>3495</v>
      </c>
      <c r="L10" s="2856" t="s">
        <v>3496</v>
      </c>
      <c r="M10" s="2856" t="s">
        <v>3497</v>
      </c>
      <c r="N10" s="2856" t="s">
        <v>3496</v>
      </c>
      <c r="O10" s="2856" t="s">
        <v>3496</v>
      </c>
      <c r="P10" s="3200" t="s">
        <v>3563</v>
      </c>
      <c r="Q10" s="2856" t="s">
        <v>3499</v>
      </c>
      <c r="R10" s="2856" t="s">
        <v>3529</v>
      </c>
      <c r="S10" s="3200" t="s">
        <v>3564</v>
      </c>
      <c r="T10" s="3200">
        <v>29600</v>
      </c>
      <c r="U10" s="3200">
        <v>13992.13</v>
      </c>
      <c r="V10" s="3200">
        <v>932.81</v>
      </c>
      <c r="W10" s="3200">
        <v>9328</v>
      </c>
      <c r="X10" s="2856" t="s">
        <v>3496</v>
      </c>
      <c r="Y10" s="3200">
        <v>0</v>
      </c>
      <c r="Z10" s="2856" t="s">
        <v>3496</v>
      </c>
      <c r="AA10" s="2856" t="s">
        <v>3496</v>
      </c>
      <c r="AB10" s="2856" t="s">
        <v>3496</v>
      </c>
      <c r="AC10" s="3200" t="s">
        <v>3512</v>
      </c>
      <c r="AD10" s="3200" t="s">
        <v>3496</v>
      </c>
    </row>
    <row r="11" spans="1:30">
      <c r="A11" s="2856" t="s">
        <v>3565</v>
      </c>
      <c r="B11" s="2856" t="s">
        <v>3394</v>
      </c>
      <c r="C11" s="2856" t="s">
        <v>3504</v>
      </c>
      <c r="D11" s="2856" t="s">
        <v>3566</v>
      </c>
      <c r="E11" s="2856" t="s">
        <v>3567</v>
      </c>
      <c r="F11" s="2856">
        <v>19810.400000000001</v>
      </c>
      <c r="G11" s="2856">
        <v>700</v>
      </c>
      <c r="H11" s="2856" t="s">
        <v>3492</v>
      </c>
      <c r="I11" s="2856" t="s">
        <v>3568</v>
      </c>
      <c r="J11" s="2856" t="s">
        <v>3542</v>
      </c>
      <c r="K11" s="2856" t="s">
        <v>3569</v>
      </c>
      <c r="L11" s="2856" t="s">
        <v>3496</v>
      </c>
      <c r="M11" s="2856" t="s">
        <v>3497</v>
      </c>
      <c r="N11" s="2856" t="s">
        <v>3496</v>
      </c>
      <c r="O11" s="2856" t="s">
        <v>3496</v>
      </c>
      <c r="P11" s="2856" t="s">
        <v>3570</v>
      </c>
      <c r="Q11" s="2856" t="s">
        <v>3499</v>
      </c>
      <c r="R11" s="2856" t="s">
        <v>3529</v>
      </c>
      <c r="S11" s="2856" t="s">
        <v>3571</v>
      </c>
      <c r="T11" s="2856">
        <v>6600</v>
      </c>
      <c r="U11" s="2856">
        <v>3331.58</v>
      </c>
      <c r="V11" s="2856">
        <v>222.11</v>
      </c>
      <c r="W11" s="2856">
        <v>94286</v>
      </c>
      <c r="X11" s="2856" t="s">
        <v>3496</v>
      </c>
      <c r="Y11" s="2856">
        <v>0</v>
      </c>
      <c r="Z11" s="2856" t="s">
        <v>3496</v>
      </c>
      <c r="AA11" s="2856" t="s">
        <v>3496</v>
      </c>
      <c r="AB11" s="2856" t="s">
        <v>3496</v>
      </c>
      <c r="AC11" s="2856" t="s">
        <v>3572</v>
      </c>
      <c r="AD11" s="2856" t="s">
        <v>3496</v>
      </c>
    </row>
    <row r="12" spans="1:30">
      <c r="A12" s="2856" t="s">
        <v>3573</v>
      </c>
      <c r="B12" s="2856" t="s">
        <v>3394</v>
      </c>
      <c r="C12" s="2856" t="s">
        <v>3514</v>
      </c>
      <c r="D12" s="2856" t="s">
        <v>3574</v>
      </c>
      <c r="E12" s="2856" t="s">
        <v>3575</v>
      </c>
      <c r="F12" s="2856">
        <v>8286.49</v>
      </c>
      <c r="G12" s="2856">
        <v>8286.49</v>
      </c>
      <c r="H12" s="2856" t="s">
        <v>3492</v>
      </c>
      <c r="I12" s="2856" t="s">
        <v>3576</v>
      </c>
      <c r="J12" s="2856" t="s">
        <v>3542</v>
      </c>
      <c r="K12" s="2856" t="s">
        <v>3527</v>
      </c>
      <c r="L12" s="2856" t="s">
        <v>3496</v>
      </c>
      <c r="M12" s="2856" t="s">
        <v>3497</v>
      </c>
      <c r="N12" s="2856" t="s">
        <v>3496</v>
      </c>
      <c r="O12" s="2856" t="s">
        <v>3496</v>
      </c>
      <c r="P12" s="2856" t="s">
        <v>3577</v>
      </c>
      <c r="Q12" s="2856" t="s">
        <v>3499</v>
      </c>
      <c r="R12" s="2856" t="s">
        <v>3529</v>
      </c>
      <c r="S12" s="2856" t="s">
        <v>3578</v>
      </c>
      <c r="T12" s="2856">
        <v>16000</v>
      </c>
      <c r="U12" s="2856">
        <v>19308.53</v>
      </c>
      <c r="V12" s="2856">
        <v>1287.24</v>
      </c>
      <c r="W12" s="2856">
        <v>19309</v>
      </c>
      <c r="X12" s="2856" t="s">
        <v>3496</v>
      </c>
      <c r="Y12" s="2856">
        <v>0</v>
      </c>
      <c r="Z12" s="2856" t="s">
        <v>3496</v>
      </c>
      <c r="AA12" s="2856" t="s">
        <v>3496</v>
      </c>
      <c r="AB12" s="2856" t="s">
        <v>3496</v>
      </c>
      <c r="AC12" s="2856" t="s">
        <v>3502</v>
      </c>
      <c r="AD12" s="2856" t="s">
        <v>3496</v>
      </c>
    </row>
    <row r="13" spans="1:30">
      <c r="A13" s="2856" t="s">
        <v>3579</v>
      </c>
      <c r="B13" s="2856" t="s">
        <v>3394</v>
      </c>
      <c r="C13" s="2856" t="s">
        <v>3514</v>
      </c>
      <c r="D13" s="2856" t="s">
        <v>3580</v>
      </c>
      <c r="E13" s="2856" t="s">
        <v>3581</v>
      </c>
      <c r="F13" s="2856">
        <v>78101.460000000006</v>
      </c>
      <c r="G13" s="2856">
        <v>249924.67</v>
      </c>
      <c r="H13" s="2856" t="s">
        <v>3492</v>
      </c>
      <c r="I13" s="2856" t="s">
        <v>3582</v>
      </c>
      <c r="J13" s="2856" t="s">
        <v>3542</v>
      </c>
      <c r="K13" s="2856" t="s">
        <v>3583</v>
      </c>
      <c r="L13" s="2856">
        <v>27.34</v>
      </c>
      <c r="M13" s="2856" t="s">
        <v>3497</v>
      </c>
      <c r="N13" s="2856" t="s">
        <v>3496</v>
      </c>
      <c r="O13" s="2856" t="s">
        <v>3496</v>
      </c>
      <c r="P13" s="2856" t="s">
        <v>3577</v>
      </c>
      <c r="Q13" s="2856" t="s">
        <v>3499</v>
      </c>
      <c r="R13" s="2856" t="s">
        <v>3529</v>
      </c>
      <c r="S13" s="2856" t="s">
        <v>3584</v>
      </c>
      <c r="T13" s="2856">
        <v>423000</v>
      </c>
      <c r="U13" s="2856">
        <v>54160.32</v>
      </c>
      <c r="V13" s="2856">
        <v>3610.69</v>
      </c>
      <c r="W13" s="2856">
        <v>16925</v>
      </c>
      <c r="X13" s="2856" t="s">
        <v>3496</v>
      </c>
      <c r="Y13" s="2856">
        <v>0</v>
      </c>
      <c r="Z13" s="2856" t="s">
        <v>3496</v>
      </c>
      <c r="AA13" s="2856" t="s">
        <v>3496</v>
      </c>
      <c r="AB13" s="2856" t="s">
        <v>3496</v>
      </c>
      <c r="AC13" s="2856" t="s">
        <v>3572</v>
      </c>
      <c r="AD13" s="2856" t="s">
        <v>3496</v>
      </c>
    </row>
    <row r="14" spans="1:30">
      <c r="A14" s="2856" t="s">
        <v>3585</v>
      </c>
      <c r="B14" s="2856" t="s">
        <v>3394</v>
      </c>
      <c r="C14" s="2856" t="s">
        <v>3514</v>
      </c>
      <c r="D14" s="2856" t="s">
        <v>3586</v>
      </c>
      <c r="E14" s="2856" t="s">
        <v>3587</v>
      </c>
      <c r="F14" s="2856">
        <v>37655.61</v>
      </c>
      <c r="G14" s="2856">
        <v>56108.97</v>
      </c>
      <c r="H14" s="2856" t="s">
        <v>3492</v>
      </c>
      <c r="I14" s="2856" t="s">
        <v>3588</v>
      </c>
      <c r="J14" s="2856" t="s">
        <v>3589</v>
      </c>
      <c r="K14" s="2856" t="s">
        <v>3590</v>
      </c>
      <c r="L14" s="2856" t="s">
        <v>3496</v>
      </c>
      <c r="M14" s="2856" t="s">
        <v>3497</v>
      </c>
      <c r="N14" s="2856" t="s">
        <v>3496</v>
      </c>
      <c r="O14" s="2856" t="s">
        <v>3496</v>
      </c>
      <c r="P14" s="2856" t="s">
        <v>3591</v>
      </c>
      <c r="Q14" s="2856" t="s">
        <v>3499</v>
      </c>
      <c r="R14" s="2856" t="s">
        <v>3529</v>
      </c>
      <c r="S14" s="2856" t="s">
        <v>3592</v>
      </c>
      <c r="T14" s="2856">
        <v>74000</v>
      </c>
      <c r="U14" s="2856">
        <v>19651.78</v>
      </c>
      <c r="V14" s="2856">
        <v>1310.1199999999999</v>
      </c>
      <c r="W14" s="2856">
        <v>13189</v>
      </c>
      <c r="X14" s="2856" t="s">
        <v>3496</v>
      </c>
      <c r="Y14" s="2856">
        <v>0</v>
      </c>
      <c r="Z14" s="2856" t="s">
        <v>3496</v>
      </c>
      <c r="AA14" s="2856" t="s">
        <v>3496</v>
      </c>
      <c r="AB14" s="2856" t="s">
        <v>3496</v>
      </c>
      <c r="AC14" s="2856" t="s">
        <v>3502</v>
      </c>
      <c r="AD14" s="2856" t="s">
        <v>3496</v>
      </c>
    </row>
    <row r="15" spans="1:30">
      <c r="A15" s="2856" t="s">
        <v>3593</v>
      </c>
      <c r="B15" s="2856" t="s">
        <v>3394</v>
      </c>
      <c r="C15" s="2856" t="s">
        <v>3514</v>
      </c>
      <c r="D15" s="2856" t="s">
        <v>3594</v>
      </c>
      <c r="E15" s="2856" t="s">
        <v>3595</v>
      </c>
      <c r="F15" s="2856">
        <v>70601.06</v>
      </c>
      <c r="G15" s="2856">
        <v>285523</v>
      </c>
      <c r="H15" s="2856" t="s">
        <v>3492</v>
      </c>
      <c r="I15" s="2856" t="s">
        <v>3596</v>
      </c>
      <c r="J15" s="2856" t="s">
        <v>3597</v>
      </c>
      <c r="K15" s="2856" t="s">
        <v>3598</v>
      </c>
      <c r="L15" s="2856" t="s">
        <v>3496</v>
      </c>
      <c r="M15" s="2856" t="s">
        <v>3497</v>
      </c>
      <c r="N15" s="2856" t="s">
        <v>3496</v>
      </c>
      <c r="O15" s="2856" t="s">
        <v>3496</v>
      </c>
      <c r="P15" s="2856" t="s">
        <v>3599</v>
      </c>
      <c r="Q15" s="2856" t="s">
        <v>3499</v>
      </c>
      <c r="R15" s="2856" t="s">
        <v>3529</v>
      </c>
      <c r="S15" s="2856" t="s">
        <v>3600</v>
      </c>
      <c r="T15" s="2856">
        <v>642000</v>
      </c>
      <c r="U15" s="2856">
        <v>90933.48</v>
      </c>
      <c r="V15" s="2856">
        <v>6062.23</v>
      </c>
      <c r="W15" s="2856">
        <v>22485</v>
      </c>
      <c r="X15" s="2856" t="s">
        <v>3496</v>
      </c>
      <c r="Y15" s="2856">
        <v>0</v>
      </c>
      <c r="Z15" s="2856" t="s">
        <v>3496</v>
      </c>
      <c r="AA15" s="2856" t="s">
        <v>3496</v>
      </c>
      <c r="AB15" s="2856" t="s">
        <v>3496</v>
      </c>
      <c r="AC15" s="2856" t="s">
        <v>3601</v>
      </c>
      <c r="AD15" s="2856" t="s">
        <v>3496</v>
      </c>
    </row>
    <row r="16" spans="1:30" s="3206" customFormat="1">
      <c r="A16" s="3206" t="s">
        <v>3602</v>
      </c>
      <c r="B16" s="3206" t="s">
        <v>3394</v>
      </c>
      <c r="C16" s="3206" t="s">
        <v>3504</v>
      </c>
      <c r="D16" s="3206" t="s">
        <v>3566</v>
      </c>
      <c r="E16" s="3206" t="s">
        <v>3792</v>
      </c>
      <c r="F16" s="3206">
        <v>9632.01</v>
      </c>
      <c r="G16" s="3206">
        <v>15025.93</v>
      </c>
      <c r="H16" s="3206" t="s">
        <v>3492</v>
      </c>
      <c r="I16" s="3206" t="s">
        <v>3507</v>
      </c>
      <c r="J16" s="3206" t="s">
        <v>3603</v>
      </c>
      <c r="K16" s="3206" t="s">
        <v>3604</v>
      </c>
      <c r="L16" s="3206" t="s">
        <v>3496</v>
      </c>
      <c r="M16" s="3206" t="s">
        <v>3497</v>
      </c>
      <c r="N16" s="3206" t="s">
        <v>3496</v>
      </c>
      <c r="O16" s="3206" t="s">
        <v>3496</v>
      </c>
      <c r="P16" s="3206" t="s">
        <v>3605</v>
      </c>
      <c r="Q16" s="3206" t="s">
        <v>3499</v>
      </c>
      <c r="R16" s="3206" t="s">
        <v>3529</v>
      </c>
      <c r="S16" s="3206" t="s">
        <v>3606</v>
      </c>
      <c r="T16" s="3206">
        <v>13700</v>
      </c>
      <c r="U16" s="3206">
        <v>14223.4</v>
      </c>
      <c r="V16" s="3206">
        <v>948.23</v>
      </c>
      <c r="W16" s="3206">
        <v>9118</v>
      </c>
      <c r="X16" s="3206" t="s">
        <v>3496</v>
      </c>
      <c r="Y16" s="3206">
        <v>0</v>
      </c>
      <c r="Z16" s="3206" t="s">
        <v>3496</v>
      </c>
      <c r="AA16" s="3206" t="s">
        <v>3496</v>
      </c>
      <c r="AB16" s="3206" t="s">
        <v>3496</v>
      </c>
      <c r="AC16" s="3206" t="s">
        <v>3572</v>
      </c>
      <c r="AD16" s="3206" t="s">
        <v>3496</v>
      </c>
    </row>
    <row r="17" spans="1:30">
      <c r="A17" s="2856" t="s">
        <v>3607</v>
      </c>
      <c r="B17" s="2856" t="s">
        <v>3394</v>
      </c>
      <c r="C17" s="2856" t="s">
        <v>3514</v>
      </c>
      <c r="D17" s="2856" t="s">
        <v>3586</v>
      </c>
      <c r="E17" s="2856" t="s">
        <v>3608</v>
      </c>
      <c r="F17" s="2856">
        <v>49900.54</v>
      </c>
      <c r="G17" s="2856">
        <v>109781.19</v>
      </c>
      <c r="H17" s="2856" t="s">
        <v>3492</v>
      </c>
      <c r="I17" s="2856" t="s">
        <v>3507</v>
      </c>
      <c r="J17" s="2856" t="s">
        <v>3609</v>
      </c>
      <c r="K17" s="2856" t="s">
        <v>3543</v>
      </c>
      <c r="L17" s="2856" t="s">
        <v>3496</v>
      </c>
      <c r="M17" s="2856" t="s">
        <v>3497</v>
      </c>
      <c r="N17" s="2856" t="s">
        <v>3496</v>
      </c>
      <c r="O17" s="2856" t="s">
        <v>3496</v>
      </c>
      <c r="P17" s="2856" t="s">
        <v>3610</v>
      </c>
      <c r="Q17" s="2856" t="s">
        <v>3499</v>
      </c>
      <c r="R17" s="2856" t="s">
        <v>3529</v>
      </c>
      <c r="S17" s="2856" t="s">
        <v>3611</v>
      </c>
      <c r="T17" s="2856">
        <v>227000</v>
      </c>
      <c r="U17" s="2856">
        <v>45490.49</v>
      </c>
      <c r="V17" s="2856">
        <v>3032.7</v>
      </c>
      <c r="W17" s="2856">
        <v>20677</v>
      </c>
      <c r="X17" s="2856" t="s">
        <v>3496</v>
      </c>
      <c r="Y17" s="2856">
        <v>0</v>
      </c>
      <c r="Z17" s="2856" t="s">
        <v>3496</v>
      </c>
      <c r="AA17" s="2856" t="s">
        <v>3496</v>
      </c>
      <c r="AB17" s="2856" t="s">
        <v>3496</v>
      </c>
      <c r="AC17" s="2856" t="s">
        <v>3512</v>
      </c>
      <c r="AD17" s="2856" t="s">
        <v>3496</v>
      </c>
    </row>
    <row r="18" spans="1:30">
      <c r="A18" s="2856" t="s">
        <v>3612</v>
      </c>
      <c r="B18" s="2856" t="s">
        <v>3394</v>
      </c>
      <c r="C18" s="2856" t="s">
        <v>3504</v>
      </c>
      <c r="D18" s="2856" t="s">
        <v>3613</v>
      </c>
      <c r="E18" s="2856" t="s">
        <v>3614</v>
      </c>
      <c r="F18" s="2856">
        <v>15459.22</v>
      </c>
      <c r="G18" s="2856">
        <v>52599.12</v>
      </c>
      <c r="H18" s="2856" t="s">
        <v>3492</v>
      </c>
      <c r="I18" s="2856" t="s">
        <v>3554</v>
      </c>
      <c r="J18" s="2856" t="s">
        <v>3615</v>
      </c>
      <c r="K18" s="2856" t="s">
        <v>3616</v>
      </c>
      <c r="L18" s="2856" t="s">
        <v>3496</v>
      </c>
      <c r="M18" s="2856" t="s">
        <v>3497</v>
      </c>
      <c r="N18" s="2856" t="s">
        <v>3496</v>
      </c>
      <c r="O18" s="2856" t="s">
        <v>3496</v>
      </c>
      <c r="P18" s="2856" t="s">
        <v>3617</v>
      </c>
      <c r="Q18" s="2856" t="s">
        <v>3499</v>
      </c>
      <c r="R18" s="2856" t="s">
        <v>3529</v>
      </c>
      <c r="S18" s="2856" t="s">
        <v>3606</v>
      </c>
      <c r="T18" s="2856">
        <v>53100</v>
      </c>
      <c r="U18" s="2856">
        <v>34348.43</v>
      </c>
      <c r="V18" s="2856">
        <v>2289.9</v>
      </c>
      <c r="W18" s="2856">
        <v>10095</v>
      </c>
      <c r="X18" s="2856" t="s">
        <v>3496</v>
      </c>
      <c r="Y18" s="2856">
        <v>0</v>
      </c>
      <c r="Z18" s="2856" t="s">
        <v>3496</v>
      </c>
      <c r="AA18" s="2856" t="s">
        <v>3496</v>
      </c>
      <c r="AB18" s="2856" t="s">
        <v>3496</v>
      </c>
      <c r="AC18" s="2856" t="s">
        <v>3572</v>
      </c>
      <c r="AD18" s="2856" t="s">
        <v>3496</v>
      </c>
    </row>
    <row r="19" spans="1:30">
      <c r="A19" s="2856" t="s">
        <v>3618</v>
      </c>
      <c r="B19" s="2856" t="s">
        <v>3394</v>
      </c>
      <c r="C19" s="2856" t="s">
        <v>3619</v>
      </c>
      <c r="D19" s="2856" t="s">
        <v>3620</v>
      </c>
      <c r="E19" s="2856" t="s">
        <v>3621</v>
      </c>
      <c r="F19" s="2856">
        <v>101190.07</v>
      </c>
      <c r="G19" s="2856">
        <v>198291</v>
      </c>
      <c r="H19" s="2856" t="s">
        <v>3492</v>
      </c>
      <c r="I19" s="2856" t="s">
        <v>3507</v>
      </c>
      <c r="J19" s="2856" t="s">
        <v>3609</v>
      </c>
      <c r="K19" s="2856" t="s">
        <v>3622</v>
      </c>
      <c r="L19" s="2856" t="s">
        <v>3496</v>
      </c>
      <c r="M19" s="2856" t="s">
        <v>3497</v>
      </c>
      <c r="N19" s="2856" t="s">
        <v>3496</v>
      </c>
      <c r="O19" s="2856" t="s">
        <v>3496</v>
      </c>
      <c r="P19" s="2856" t="s">
        <v>3623</v>
      </c>
      <c r="Q19" s="2856" t="s">
        <v>3499</v>
      </c>
      <c r="R19" s="2856" t="s">
        <v>3529</v>
      </c>
      <c r="S19" s="2856" t="s">
        <v>3624</v>
      </c>
      <c r="T19" s="2856">
        <v>100000</v>
      </c>
      <c r="U19" s="2856">
        <v>9882.39</v>
      </c>
      <c r="V19" s="2856">
        <v>658.83</v>
      </c>
      <c r="W19" s="2856">
        <v>5043</v>
      </c>
      <c r="X19" s="2856" t="s">
        <v>3496</v>
      </c>
      <c r="Y19" s="2856">
        <v>0</v>
      </c>
      <c r="Z19" s="2856" t="s">
        <v>3496</v>
      </c>
      <c r="AA19" s="2856" t="s">
        <v>3496</v>
      </c>
      <c r="AB19" s="2856" t="s">
        <v>3496</v>
      </c>
      <c r="AC19" s="2856" t="s">
        <v>3625</v>
      </c>
      <c r="AD19" s="2856" t="s">
        <v>3496</v>
      </c>
    </row>
    <row r="20" spans="1:30">
      <c r="A20" s="2856" t="s">
        <v>3626</v>
      </c>
      <c r="B20" s="2856" t="s">
        <v>3394</v>
      </c>
      <c r="C20" s="2856" t="s">
        <v>3504</v>
      </c>
      <c r="D20" s="2856" t="s">
        <v>3627</v>
      </c>
      <c r="E20" s="2856" t="s">
        <v>3628</v>
      </c>
      <c r="F20" s="2856">
        <v>5500.65</v>
      </c>
      <c r="G20" s="2856">
        <v>15401.81</v>
      </c>
      <c r="H20" s="2856" t="s">
        <v>3492</v>
      </c>
      <c r="I20" s="2856" t="s">
        <v>3629</v>
      </c>
      <c r="J20" s="2856" t="s">
        <v>3630</v>
      </c>
      <c r="K20" s="2856" t="s">
        <v>3631</v>
      </c>
      <c r="L20" s="2856" t="s">
        <v>3496</v>
      </c>
      <c r="M20" s="2856" t="s">
        <v>3497</v>
      </c>
      <c r="N20" s="2856" t="s">
        <v>3496</v>
      </c>
      <c r="O20" s="2856" t="s">
        <v>3496</v>
      </c>
      <c r="P20" s="2856" t="s">
        <v>3632</v>
      </c>
      <c r="Q20" s="2856" t="s">
        <v>3499</v>
      </c>
      <c r="R20" s="2856" t="s">
        <v>3529</v>
      </c>
      <c r="S20" s="2856" t="s">
        <v>3633</v>
      </c>
      <c r="T20" s="2856">
        <v>17000</v>
      </c>
      <c r="U20" s="2856">
        <v>30905.43</v>
      </c>
      <c r="V20" s="2856">
        <v>2060.36</v>
      </c>
      <c r="W20" s="2856">
        <v>11038</v>
      </c>
      <c r="X20" s="2856" t="s">
        <v>3496</v>
      </c>
      <c r="Y20" s="2856">
        <v>0</v>
      </c>
      <c r="Z20" s="2856" t="s">
        <v>3496</v>
      </c>
      <c r="AA20" s="2856" t="s">
        <v>3496</v>
      </c>
      <c r="AB20" s="2856" t="s">
        <v>3496</v>
      </c>
      <c r="AC20" s="2856" t="s">
        <v>3512</v>
      </c>
      <c r="AD20" s="2856" t="s">
        <v>3496</v>
      </c>
    </row>
    <row r="21" spans="1:30">
      <c r="A21" s="2856" t="s">
        <v>3634</v>
      </c>
      <c r="B21" s="2856" t="s">
        <v>3394</v>
      </c>
      <c r="C21" s="2856" t="s">
        <v>3523</v>
      </c>
      <c r="D21" s="2856" t="s">
        <v>3635</v>
      </c>
      <c r="E21" s="2856" t="s">
        <v>3636</v>
      </c>
      <c r="F21" s="2856">
        <v>82500</v>
      </c>
      <c r="G21" s="2856">
        <v>165000</v>
      </c>
      <c r="H21" s="2856" t="s">
        <v>3492</v>
      </c>
      <c r="I21" s="2856" t="s">
        <v>3526</v>
      </c>
      <c r="J21" s="2856">
        <v>40</v>
      </c>
      <c r="K21" s="2856" t="s">
        <v>3637</v>
      </c>
      <c r="L21" s="2856" t="s">
        <v>3496</v>
      </c>
      <c r="M21" s="2856" t="s">
        <v>3497</v>
      </c>
      <c r="N21" s="2856" t="s">
        <v>3496</v>
      </c>
      <c r="O21" s="2856" t="s">
        <v>3496</v>
      </c>
      <c r="P21" s="2856" t="s">
        <v>3638</v>
      </c>
      <c r="Q21" s="2856" t="s">
        <v>3499</v>
      </c>
      <c r="R21" s="2856" t="s">
        <v>3529</v>
      </c>
      <c r="S21" s="2856" t="s">
        <v>3639</v>
      </c>
      <c r="T21" s="2856">
        <v>260700</v>
      </c>
      <c r="U21" s="2856">
        <v>31600</v>
      </c>
      <c r="V21" s="2856">
        <v>2106.67</v>
      </c>
      <c r="W21" s="2856">
        <v>15800</v>
      </c>
      <c r="X21" s="2856" t="s">
        <v>3496</v>
      </c>
      <c r="Y21" s="2856">
        <v>0</v>
      </c>
      <c r="Z21" s="2856" t="s">
        <v>3496</v>
      </c>
      <c r="AA21" s="2856" t="s">
        <v>3496</v>
      </c>
      <c r="AB21" s="2856" t="s">
        <v>3496</v>
      </c>
      <c r="AC21" s="2856" t="s">
        <v>3512</v>
      </c>
      <c r="AD21" s="2856" t="s">
        <v>3496</v>
      </c>
    </row>
    <row r="22" spans="1:30">
      <c r="A22" s="2856" t="s">
        <v>3640</v>
      </c>
      <c r="B22" s="2856" t="s">
        <v>3394</v>
      </c>
      <c r="C22" s="2856" t="s">
        <v>3523</v>
      </c>
      <c r="D22" s="2856" t="s">
        <v>3524</v>
      </c>
      <c r="E22" s="2856" t="s">
        <v>3641</v>
      </c>
      <c r="F22" s="2856">
        <v>4800</v>
      </c>
      <c r="G22" s="2856">
        <v>1920</v>
      </c>
      <c r="H22" s="2856" t="s">
        <v>3492</v>
      </c>
      <c r="I22" s="2856" t="s">
        <v>3642</v>
      </c>
      <c r="J22" s="2856" t="s">
        <v>3643</v>
      </c>
      <c r="K22" s="2856" t="s">
        <v>3644</v>
      </c>
      <c r="L22" s="2856" t="s">
        <v>3496</v>
      </c>
      <c r="M22" s="2856" t="s">
        <v>3497</v>
      </c>
      <c r="N22" s="2856" t="s">
        <v>3496</v>
      </c>
      <c r="O22" s="2856" t="s">
        <v>3496</v>
      </c>
      <c r="P22" s="2856" t="s">
        <v>3645</v>
      </c>
      <c r="Q22" s="2856" t="s">
        <v>3499</v>
      </c>
      <c r="R22" s="2856" t="s">
        <v>3646</v>
      </c>
      <c r="S22" s="2856" t="s">
        <v>3647</v>
      </c>
      <c r="T22" s="2856">
        <v>5800</v>
      </c>
      <c r="U22" s="2856">
        <v>12083.33</v>
      </c>
      <c r="V22" s="2856">
        <v>805.56</v>
      </c>
      <c r="W22" s="2856">
        <v>30208</v>
      </c>
      <c r="X22" s="2856" t="s">
        <v>3496</v>
      </c>
      <c r="Y22" s="2856">
        <v>0</v>
      </c>
      <c r="Z22" s="2856" t="s">
        <v>3496</v>
      </c>
      <c r="AA22" s="2856" t="s">
        <v>3496</v>
      </c>
      <c r="AB22" s="2856" t="s">
        <v>3496</v>
      </c>
      <c r="AC22" s="2856" t="s">
        <v>3531</v>
      </c>
      <c r="AD22" s="2856" t="s">
        <v>3496</v>
      </c>
    </row>
    <row r="23" spans="1:30">
      <c r="A23" s="2856" t="s">
        <v>3648</v>
      </c>
      <c r="B23" s="2856" t="s">
        <v>3394</v>
      </c>
      <c r="C23" s="2856" t="s">
        <v>3514</v>
      </c>
      <c r="D23" s="2856" t="s">
        <v>3586</v>
      </c>
      <c r="E23" s="2856" t="s">
        <v>3649</v>
      </c>
      <c r="F23" s="2856">
        <v>32733.22</v>
      </c>
      <c r="G23" s="2856">
        <v>72013.08</v>
      </c>
      <c r="H23" s="2856" t="s">
        <v>3492</v>
      </c>
      <c r="I23" s="2856" t="s">
        <v>3507</v>
      </c>
      <c r="J23" s="2856" t="s">
        <v>3609</v>
      </c>
      <c r="K23" s="2856" t="s">
        <v>3543</v>
      </c>
      <c r="L23" s="2856" t="s">
        <v>3496</v>
      </c>
      <c r="M23" s="2856" t="s">
        <v>3497</v>
      </c>
      <c r="N23" s="2856" t="s">
        <v>3496</v>
      </c>
      <c r="O23" s="2856" t="s">
        <v>3496</v>
      </c>
      <c r="P23" s="2856" t="s">
        <v>3650</v>
      </c>
      <c r="Q23" s="2856" t="s">
        <v>3499</v>
      </c>
      <c r="R23" s="2856" t="s">
        <v>3646</v>
      </c>
      <c r="S23" s="2856" t="s">
        <v>3651</v>
      </c>
      <c r="T23" s="2856">
        <v>149000</v>
      </c>
      <c r="U23" s="2856">
        <v>45519.5</v>
      </c>
      <c r="V23" s="2856">
        <v>3034.63</v>
      </c>
      <c r="W23" s="2856">
        <v>20691</v>
      </c>
      <c r="X23" s="2856" t="s">
        <v>3496</v>
      </c>
      <c r="Y23" s="2856">
        <v>0</v>
      </c>
      <c r="Z23" s="2856" t="s">
        <v>3496</v>
      </c>
      <c r="AA23" s="2856" t="s">
        <v>3496</v>
      </c>
      <c r="AB23" s="2856" t="s">
        <v>3496</v>
      </c>
      <c r="AC23" s="2856" t="s">
        <v>3512</v>
      </c>
      <c r="AD23" s="2856" t="s">
        <v>3496</v>
      </c>
    </row>
    <row r="24" spans="1:30">
      <c r="A24" s="2856" t="s">
        <v>3652</v>
      </c>
      <c r="B24" s="2856" t="s">
        <v>3394</v>
      </c>
      <c r="C24" s="2856" t="s">
        <v>3514</v>
      </c>
      <c r="D24" s="2856" t="s">
        <v>3586</v>
      </c>
      <c r="E24" s="2856" t="s">
        <v>3653</v>
      </c>
      <c r="F24" s="2856">
        <v>29506.55</v>
      </c>
      <c r="G24" s="2856">
        <v>64914.41</v>
      </c>
      <c r="H24" s="2856" t="s">
        <v>3492</v>
      </c>
      <c r="I24" s="2856" t="s">
        <v>3507</v>
      </c>
      <c r="J24" s="2856" t="s">
        <v>3609</v>
      </c>
      <c r="K24" s="2856" t="s">
        <v>3543</v>
      </c>
      <c r="L24" s="2856" t="s">
        <v>3496</v>
      </c>
      <c r="M24" s="2856" t="s">
        <v>3497</v>
      </c>
      <c r="N24" s="2856" t="s">
        <v>3496</v>
      </c>
      <c r="O24" s="2856" t="s">
        <v>3496</v>
      </c>
      <c r="P24" s="2856" t="s">
        <v>3650</v>
      </c>
      <c r="Q24" s="2856" t="s">
        <v>3499</v>
      </c>
      <c r="R24" s="2856" t="s">
        <v>3646</v>
      </c>
      <c r="S24" s="2856" t="s">
        <v>3654</v>
      </c>
      <c r="T24" s="2856">
        <v>135000</v>
      </c>
      <c r="U24" s="2856">
        <v>45752.55</v>
      </c>
      <c r="V24" s="2856">
        <v>3050.17</v>
      </c>
      <c r="W24" s="2856">
        <v>20797</v>
      </c>
      <c r="X24" s="2856" t="s">
        <v>3496</v>
      </c>
      <c r="Y24" s="2856">
        <v>0</v>
      </c>
      <c r="Z24" s="2856" t="s">
        <v>3496</v>
      </c>
      <c r="AA24" s="2856" t="s">
        <v>3496</v>
      </c>
      <c r="AB24" s="2856" t="s">
        <v>3496</v>
      </c>
      <c r="AC24" s="2856" t="s">
        <v>3512</v>
      </c>
      <c r="AD24" s="2856" t="s">
        <v>3496</v>
      </c>
    </row>
    <row r="25" spans="1:30">
      <c r="A25" s="2856" t="s">
        <v>3655</v>
      </c>
      <c r="B25" s="2856" t="s">
        <v>3394</v>
      </c>
      <c r="C25" s="2856" t="s">
        <v>3504</v>
      </c>
      <c r="D25" s="2856" t="s">
        <v>3656</v>
      </c>
      <c r="E25" s="2856" t="s">
        <v>3657</v>
      </c>
      <c r="F25" s="2856">
        <v>10000</v>
      </c>
      <c r="G25" s="2856">
        <v>22000</v>
      </c>
      <c r="H25" s="2856" t="s">
        <v>3492</v>
      </c>
      <c r="I25" s="2856" t="s">
        <v>3507</v>
      </c>
      <c r="J25" s="2856" t="s">
        <v>3658</v>
      </c>
      <c r="K25" s="2856" t="s">
        <v>3659</v>
      </c>
      <c r="L25" s="2856" t="s">
        <v>3496</v>
      </c>
      <c r="M25" s="2856" t="s">
        <v>3497</v>
      </c>
      <c r="N25" s="2856" t="s">
        <v>3496</v>
      </c>
      <c r="O25" s="2856" t="s">
        <v>3496</v>
      </c>
      <c r="P25" s="2856" t="s">
        <v>3660</v>
      </c>
      <c r="Q25" s="2856" t="s">
        <v>3499</v>
      </c>
      <c r="R25" s="2856" t="s">
        <v>3646</v>
      </c>
      <c r="S25" s="2856" t="s">
        <v>3661</v>
      </c>
      <c r="T25" s="2856">
        <v>36400</v>
      </c>
      <c r="U25" s="2856">
        <v>36400</v>
      </c>
      <c r="V25" s="2856">
        <v>2426.67</v>
      </c>
      <c r="W25" s="2856">
        <v>16545</v>
      </c>
      <c r="X25" s="2856" t="s">
        <v>3496</v>
      </c>
      <c r="Y25" s="2856">
        <v>0</v>
      </c>
      <c r="Z25" s="2856" t="s">
        <v>3496</v>
      </c>
      <c r="AA25" s="2856" t="s">
        <v>3496</v>
      </c>
      <c r="AB25" s="2856" t="s">
        <v>3496</v>
      </c>
      <c r="AC25" s="2856" t="s">
        <v>3512</v>
      </c>
      <c r="AD25" s="2856" t="s">
        <v>3496</v>
      </c>
    </row>
    <row r="26" spans="1:30">
      <c r="A26" s="2856" t="s">
        <v>3662</v>
      </c>
      <c r="B26" s="2856" t="s">
        <v>3394</v>
      </c>
      <c r="C26" s="2856" t="s">
        <v>3504</v>
      </c>
      <c r="D26" s="2856" t="s">
        <v>3656</v>
      </c>
      <c r="E26" s="2856" t="s">
        <v>3663</v>
      </c>
      <c r="F26" s="2856">
        <v>5500</v>
      </c>
      <c r="G26" s="2856">
        <v>12100</v>
      </c>
      <c r="H26" s="2856" t="s">
        <v>3492</v>
      </c>
      <c r="I26" s="2856" t="s">
        <v>3507</v>
      </c>
      <c r="J26" s="2856" t="s">
        <v>3658</v>
      </c>
      <c r="K26" s="2856" t="s">
        <v>3659</v>
      </c>
      <c r="L26" s="2856" t="s">
        <v>3496</v>
      </c>
      <c r="M26" s="2856" t="s">
        <v>3497</v>
      </c>
      <c r="N26" s="2856" t="s">
        <v>3496</v>
      </c>
      <c r="O26" s="2856" t="s">
        <v>3496</v>
      </c>
      <c r="P26" s="2856" t="s">
        <v>3664</v>
      </c>
      <c r="Q26" s="2856" t="s">
        <v>3499</v>
      </c>
      <c r="R26" s="2856" t="s">
        <v>3646</v>
      </c>
      <c r="S26" s="2856" t="s">
        <v>3665</v>
      </c>
      <c r="T26" s="2856">
        <v>20000</v>
      </c>
      <c r="U26" s="2856">
        <v>36363.629999999997</v>
      </c>
      <c r="V26" s="2856">
        <v>2424.2399999999998</v>
      </c>
      <c r="W26" s="2856">
        <v>16529</v>
      </c>
      <c r="X26" s="2856" t="s">
        <v>3496</v>
      </c>
      <c r="Y26" s="2856">
        <v>0</v>
      </c>
      <c r="Z26" s="2856" t="s">
        <v>3496</v>
      </c>
      <c r="AA26" s="2856" t="s">
        <v>3496</v>
      </c>
      <c r="AB26" s="2856" t="s">
        <v>3496</v>
      </c>
      <c r="AC26" s="2856" t="s">
        <v>3512</v>
      </c>
      <c r="AD26" s="2856" t="s">
        <v>3496</v>
      </c>
    </row>
    <row r="27" spans="1:30">
      <c r="A27" s="2856" t="s">
        <v>3666</v>
      </c>
      <c r="B27" s="2856" t="s">
        <v>3394</v>
      </c>
      <c r="C27" s="2856" t="s">
        <v>3504</v>
      </c>
      <c r="D27" s="2856" t="s">
        <v>3541</v>
      </c>
      <c r="E27" s="2856" t="s">
        <v>3667</v>
      </c>
      <c r="F27" s="2856">
        <v>16122.82</v>
      </c>
      <c r="G27" s="2856">
        <v>45143.91</v>
      </c>
      <c r="H27" s="2856" t="s">
        <v>3492</v>
      </c>
      <c r="I27" s="2856" t="s">
        <v>3507</v>
      </c>
      <c r="J27" s="2856" t="s">
        <v>3668</v>
      </c>
      <c r="K27" s="2856" t="s">
        <v>3631</v>
      </c>
      <c r="L27" s="2856" t="s">
        <v>3496</v>
      </c>
      <c r="M27" s="2856" t="s">
        <v>3497</v>
      </c>
      <c r="N27" s="2856" t="s">
        <v>3496</v>
      </c>
      <c r="O27" s="2856" t="s">
        <v>3496</v>
      </c>
      <c r="P27" s="2856" t="s">
        <v>3669</v>
      </c>
      <c r="Q27" s="2856" t="s">
        <v>3499</v>
      </c>
      <c r="R27" s="2856" t="s">
        <v>3646</v>
      </c>
      <c r="S27" s="2856" t="s">
        <v>3670</v>
      </c>
      <c r="T27" s="2856">
        <v>76000</v>
      </c>
      <c r="U27" s="2856">
        <v>47138.15</v>
      </c>
      <c r="V27" s="2856">
        <v>3142.54</v>
      </c>
      <c r="W27" s="2856">
        <v>16835</v>
      </c>
      <c r="X27" s="2856" t="s">
        <v>3496</v>
      </c>
      <c r="Y27" s="2856">
        <v>0</v>
      </c>
      <c r="Z27" s="2856" t="s">
        <v>3496</v>
      </c>
      <c r="AA27" s="2856" t="s">
        <v>3496</v>
      </c>
      <c r="AB27" s="2856" t="s">
        <v>3496</v>
      </c>
      <c r="AC27" s="2856" t="s">
        <v>3512</v>
      </c>
      <c r="AD27" s="2856" t="s">
        <v>3496</v>
      </c>
    </row>
    <row r="28" spans="1:30">
      <c r="A28" s="2856" t="s">
        <v>3671</v>
      </c>
      <c r="B28" s="2856" t="s">
        <v>3394</v>
      </c>
      <c r="C28" s="2856" t="s">
        <v>3523</v>
      </c>
      <c r="D28" s="2856" t="s">
        <v>3672</v>
      </c>
      <c r="E28" s="2856" t="s">
        <v>3673</v>
      </c>
      <c r="F28" s="2856">
        <v>17308.8</v>
      </c>
      <c r="G28" s="2856">
        <v>86544</v>
      </c>
      <c r="H28" s="2856" t="s">
        <v>3492</v>
      </c>
      <c r="I28" s="2856" t="s">
        <v>3507</v>
      </c>
      <c r="J28" s="2856" t="s">
        <v>3674</v>
      </c>
      <c r="K28" s="2856" t="s">
        <v>3675</v>
      </c>
      <c r="L28" s="2856" t="s">
        <v>3496</v>
      </c>
      <c r="M28" s="2856" t="s">
        <v>3497</v>
      </c>
      <c r="N28" s="2856" t="s">
        <v>3496</v>
      </c>
      <c r="O28" s="2856" t="s">
        <v>3496</v>
      </c>
      <c r="P28" s="2856" t="s">
        <v>3676</v>
      </c>
      <c r="Q28" s="2856" t="s">
        <v>3499</v>
      </c>
      <c r="R28" s="2856" t="s">
        <v>3646</v>
      </c>
      <c r="S28" s="2856" t="s">
        <v>3677</v>
      </c>
      <c r="T28" s="2856">
        <v>91400</v>
      </c>
      <c r="U28" s="2856">
        <v>52805.5</v>
      </c>
      <c r="V28" s="2856">
        <v>3520.37</v>
      </c>
      <c r="W28" s="2856">
        <v>10561</v>
      </c>
      <c r="X28" s="2856" t="s">
        <v>3496</v>
      </c>
      <c r="Y28" s="2856">
        <v>0</v>
      </c>
      <c r="Z28" s="2856" t="s">
        <v>3496</v>
      </c>
      <c r="AA28" s="2856" t="s">
        <v>3496</v>
      </c>
      <c r="AB28" s="2856" t="s">
        <v>3496</v>
      </c>
      <c r="AC28" s="2856" t="s">
        <v>3512</v>
      </c>
      <c r="AD28" s="2856" t="s">
        <v>3496</v>
      </c>
    </row>
    <row r="29" spans="1:30" s="3204" customFormat="1">
      <c r="A29" s="3204" t="s">
        <v>3678</v>
      </c>
      <c r="B29" s="3204" t="s">
        <v>3394</v>
      </c>
      <c r="C29" s="3204" t="s">
        <v>3523</v>
      </c>
      <c r="D29" s="3204" t="s">
        <v>3547</v>
      </c>
      <c r="E29" s="3204" t="s">
        <v>3793</v>
      </c>
      <c r="F29" s="3204">
        <v>59169.74</v>
      </c>
      <c r="G29" s="3204">
        <v>130173.43</v>
      </c>
      <c r="H29" s="3204" t="s">
        <v>3492</v>
      </c>
      <c r="I29" s="3204" t="s">
        <v>3507</v>
      </c>
      <c r="J29" s="3204" t="s">
        <v>3609</v>
      </c>
      <c r="K29" s="3204" t="s">
        <v>3659</v>
      </c>
      <c r="L29" s="3204" t="s">
        <v>3496</v>
      </c>
      <c r="M29" s="3204" t="s">
        <v>3497</v>
      </c>
      <c r="N29" s="3204" t="s">
        <v>3496</v>
      </c>
      <c r="O29" s="3204" t="s">
        <v>3496</v>
      </c>
      <c r="P29" s="3204" t="s">
        <v>3679</v>
      </c>
      <c r="Q29" s="3204" t="s">
        <v>3499</v>
      </c>
      <c r="R29" s="3204" t="s">
        <v>3646</v>
      </c>
      <c r="S29" s="3204" t="s">
        <v>3680</v>
      </c>
      <c r="T29" s="3204">
        <v>131600</v>
      </c>
      <c r="U29" s="3204">
        <v>22241.09</v>
      </c>
      <c r="V29" s="3204">
        <v>1482.74</v>
      </c>
      <c r="W29" s="3204">
        <v>10110</v>
      </c>
      <c r="X29" s="3204" t="s">
        <v>3496</v>
      </c>
      <c r="Y29" s="3204">
        <v>0</v>
      </c>
      <c r="Z29" s="3204" t="s">
        <v>3496</v>
      </c>
      <c r="AA29" s="3204" t="s">
        <v>3496</v>
      </c>
      <c r="AB29" s="3204" t="s">
        <v>3496</v>
      </c>
      <c r="AC29" s="3204" t="s">
        <v>3531</v>
      </c>
      <c r="AD29" s="3204" t="s">
        <v>3496</v>
      </c>
    </row>
    <row r="30" spans="1:30">
      <c r="A30" s="2856" t="s">
        <v>3681</v>
      </c>
      <c r="B30" s="2856" t="s">
        <v>3394</v>
      </c>
      <c r="C30" s="2856" t="s">
        <v>3523</v>
      </c>
      <c r="D30" s="2856" t="s">
        <v>3524</v>
      </c>
      <c r="E30" s="2856" t="s">
        <v>3682</v>
      </c>
      <c r="F30" s="2856">
        <v>12066.9</v>
      </c>
      <c r="G30" s="2856">
        <v>18100.349999999999</v>
      </c>
      <c r="H30" s="2856" t="s">
        <v>3492</v>
      </c>
      <c r="I30" s="2856" t="s">
        <v>3629</v>
      </c>
      <c r="J30" s="2856" t="s">
        <v>3683</v>
      </c>
      <c r="K30" s="2856" t="s">
        <v>3495</v>
      </c>
      <c r="L30" s="2856" t="s">
        <v>3496</v>
      </c>
      <c r="M30" s="2856" t="s">
        <v>3497</v>
      </c>
      <c r="N30" s="2856" t="s">
        <v>3496</v>
      </c>
      <c r="O30" s="2856" t="s">
        <v>3496</v>
      </c>
      <c r="P30" s="2856" t="s">
        <v>3684</v>
      </c>
      <c r="Q30" s="2856" t="s">
        <v>3499</v>
      </c>
      <c r="R30" s="2856" t="s">
        <v>3646</v>
      </c>
      <c r="S30" s="2856" t="s">
        <v>3680</v>
      </c>
      <c r="T30" s="2856">
        <v>9400</v>
      </c>
      <c r="U30" s="2856">
        <v>7789.9</v>
      </c>
      <c r="V30" s="2856">
        <v>519.33000000000004</v>
      </c>
      <c r="W30" s="2856">
        <v>5193</v>
      </c>
      <c r="X30" s="2856" t="s">
        <v>3496</v>
      </c>
      <c r="Y30" s="2856">
        <v>0</v>
      </c>
      <c r="Z30" s="2856" t="s">
        <v>3496</v>
      </c>
      <c r="AA30" s="2856" t="s">
        <v>3496</v>
      </c>
      <c r="AB30" s="2856" t="s">
        <v>3496</v>
      </c>
      <c r="AC30" s="2856" t="s">
        <v>3531</v>
      </c>
      <c r="AD30" s="2856" t="s">
        <v>3496</v>
      </c>
    </row>
    <row r="31" spans="1:30">
      <c r="A31" s="2856" t="s">
        <v>3685</v>
      </c>
      <c r="B31" s="2856" t="s">
        <v>3394</v>
      </c>
      <c r="C31" s="2856" t="s">
        <v>3523</v>
      </c>
      <c r="D31" s="2856" t="s">
        <v>3686</v>
      </c>
      <c r="E31" s="2856" t="s">
        <v>3687</v>
      </c>
      <c r="F31" s="2856">
        <v>15178.6</v>
      </c>
      <c r="G31" s="2856">
        <v>45535.8</v>
      </c>
      <c r="H31" s="2856" t="s">
        <v>3492</v>
      </c>
      <c r="I31" s="2856" t="s">
        <v>3507</v>
      </c>
      <c r="J31" s="2856" t="s">
        <v>3658</v>
      </c>
      <c r="K31" s="2856" t="s">
        <v>3688</v>
      </c>
      <c r="L31" s="2856" t="s">
        <v>3496</v>
      </c>
      <c r="M31" s="2856" t="s">
        <v>3497</v>
      </c>
      <c r="N31" s="2856" t="s">
        <v>3496</v>
      </c>
      <c r="O31" s="2856" t="s">
        <v>3496</v>
      </c>
      <c r="P31" s="2856" t="s">
        <v>3689</v>
      </c>
      <c r="Q31" s="2856" t="s">
        <v>3499</v>
      </c>
      <c r="R31" s="2856" t="s">
        <v>3646</v>
      </c>
      <c r="S31" s="2856" t="s">
        <v>3690</v>
      </c>
      <c r="T31" s="2856">
        <v>58400</v>
      </c>
      <c r="U31" s="2856">
        <v>38475.22</v>
      </c>
      <c r="V31" s="2856">
        <v>2565.0100000000002</v>
      </c>
      <c r="W31" s="2856">
        <v>12825</v>
      </c>
      <c r="X31" s="2856" t="s">
        <v>3496</v>
      </c>
      <c r="Y31" s="2856">
        <v>0</v>
      </c>
      <c r="Z31" s="2856" t="s">
        <v>3496</v>
      </c>
      <c r="AA31" s="2856" t="s">
        <v>3496</v>
      </c>
      <c r="AB31" s="2856" t="s">
        <v>3496</v>
      </c>
      <c r="AC31" s="2856" t="s">
        <v>3572</v>
      </c>
      <c r="AD31" s="2856" t="s">
        <v>3496</v>
      </c>
    </row>
    <row r="32" spans="1:30">
      <c r="A32" s="2856" t="s">
        <v>3691</v>
      </c>
      <c r="B32" s="2856" t="s">
        <v>3394</v>
      </c>
      <c r="C32" s="2856" t="s">
        <v>3504</v>
      </c>
      <c r="D32" s="2856" t="s">
        <v>3505</v>
      </c>
      <c r="E32" s="2856" t="s">
        <v>3692</v>
      </c>
      <c r="F32" s="2856">
        <v>29991.73</v>
      </c>
      <c r="G32" s="2856">
        <v>119966.93</v>
      </c>
      <c r="H32" s="2856" t="s">
        <v>3492</v>
      </c>
      <c r="I32" s="2856" t="s">
        <v>3507</v>
      </c>
      <c r="J32" s="2856" t="s">
        <v>3555</v>
      </c>
      <c r="K32" s="2856" t="s">
        <v>3693</v>
      </c>
      <c r="L32" s="2856" t="s">
        <v>3496</v>
      </c>
      <c r="M32" s="2856" t="s">
        <v>3497</v>
      </c>
      <c r="N32" s="2856" t="s">
        <v>3496</v>
      </c>
      <c r="O32" s="2856" t="s">
        <v>3496</v>
      </c>
      <c r="P32" s="2856" t="s">
        <v>3694</v>
      </c>
      <c r="Q32" s="2856" t="s">
        <v>3499</v>
      </c>
      <c r="R32" s="2856" t="s">
        <v>3646</v>
      </c>
      <c r="S32" s="2856" t="s">
        <v>3695</v>
      </c>
      <c r="T32" s="2856">
        <v>165300</v>
      </c>
      <c r="U32" s="2856">
        <v>55115.19</v>
      </c>
      <c r="V32" s="2856">
        <v>3674.35</v>
      </c>
      <c r="W32" s="2856">
        <v>13779</v>
      </c>
      <c r="X32" s="2856" t="s">
        <v>3496</v>
      </c>
      <c r="Y32" s="2856">
        <v>0</v>
      </c>
      <c r="Z32" s="2856" t="s">
        <v>3496</v>
      </c>
      <c r="AA32" s="2856" t="s">
        <v>3496</v>
      </c>
      <c r="AB32" s="2856" t="s">
        <v>3496</v>
      </c>
      <c r="AC32" s="2856" t="s">
        <v>3512</v>
      </c>
      <c r="AD32" s="2856" t="s">
        <v>3496</v>
      </c>
    </row>
    <row r="33" spans="1:30">
      <c r="A33" s="2856" t="s">
        <v>3696</v>
      </c>
      <c r="B33" s="2856" t="s">
        <v>3394</v>
      </c>
      <c r="C33" s="2856" t="s">
        <v>3523</v>
      </c>
      <c r="D33" s="2856" t="s">
        <v>3697</v>
      </c>
      <c r="E33" s="2856" t="s">
        <v>3698</v>
      </c>
      <c r="F33" s="2856">
        <v>15197.52</v>
      </c>
      <c r="G33" s="2856">
        <v>30395.05</v>
      </c>
      <c r="H33" s="2856" t="s">
        <v>3492</v>
      </c>
      <c r="I33" s="2856" t="s">
        <v>3699</v>
      </c>
      <c r="J33" s="2856" t="s">
        <v>3658</v>
      </c>
      <c r="K33" s="2856" t="s">
        <v>3637</v>
      </c>
      <c r="L33" s="2856" t="s">
        <v>3496</v>
      </c>
      <c r="M33" s="2856" t="s">
        <v>3497</v>
      </c>
      <c r="N33" s="2856" t="s">
        <v>3700</v>
      </c>
      <c r="O33" s="2856" t="s">
        <v>3496</v>
      </c>
      <c r="P33" s="2856" t="s">
        <v>3701</v>
      </c>
      <c r="Q33" s="2856" t="s">
        <v>3499</v>
      </c>
      <c r="R33" s="2856" t="s">
        <v>3646</v>
      </c>
      <c r="S33" s="2856" t="s">
        <v>3702</v>
      </c>
      <c r="T33" s="2856">
        <v>42600</v>
      </c>
      <c r="U33" s="2856">
        <v>28030.880000000001</v>
      </c>
      <c r="V33" s="2856">
        <v>1868.73</v>
      </c>
      <c r="W33" s="2856">
        <v>14015</v>
      </c>
      <c r="X33" s="2856" t="s">
        <v>3496</v>
      </c>
      <c r="Y33" s="2856">
        <v>0</v>
      </c>
      <c r="Z33" s="2856" t="s">
        <v>3496</v>
      </c>
      <c r="AA33" s="2856" t="s">
        <v>3496</v>
      </c>
      <c r="AB33" s="2856" t="s">
        <v>3496</v>
      </c>
      <c r="AC33" s="2856" t="s">
        <v>3512</v>
      </c>
      <c r="AD33" s="2856" t="s">
        <v>3496</v>
      </c>
    </row>
    <row r="34" spans="1:30">
      <c r="A34" s="2856" t="s">
        <v>3703</v>
      </c>
      <c r="B34" s="2856" t="s">
        <v>3394</v>
      </c>
      <c r="C34" s="2856" t="s">
        <v>3514</v>
      </c>
      <c r="D34" s="2856" t="s">
        <v>3586</v>
      </c>
      <c r="E34" s="2856" t="s">
        <v>3704</v>
      </c>
      <c r="F34" s="2856">
        <v>38252.550000000003</v>
      </c>
      <c r="G34" s="2856">
        <v>84155.61</v>
      </c>
      <c r="H34" s="2856" t="s">
        <v>3492</v>
      </c>
      <c r="I34" s="2856" t="s">
        <v>3507</v>
      </c>
      <c r="J34" s="2856" t="s">
        <v>3555</v>
      </c>
      <c r="K34" s="2856" t="s">
        <v>3543</v>
      </c>
      <c r="L34" s="2856" t="s">
        <v>3496</v>
      </c>
      <c r="M34" s="2856" t="s">
        <v>3497</v>
      </c>
      <c r="N34" s="2856" t="s">
        <v>3496</v>
      </c>
      <c r="O34" s="2856" t="s">
        <v>3496</v>
      </c>
      <c r="P34" s="2856" t="s">
        <v>3705</v>
      </c>
      <c r="Q34" s="2856" t="s">
        <v>3499</v>
      </c>
      <c r="R34" s="2856" t="s">
        <v>3646</v>
      </c>
      <c r="S34" s="2856" t="s">
        <v>3706</v>
      </c>
      <c r="T34" s="2856">
        <v>175000</v>
      </c>
      <c r="U34" s="2856">
        <v>45748.58</v>
      </c>
      <c r="V34" s="2856">
        <v>3049.91</v>
      </c>
      <c r="W34" s="2856">
        <v>20795</v>
      </c>
      <c r="X34" s="2856" t="s">
        <v>3496</v>
      </c>
      <c r="Y34" s="2856">
        <v>0</v>
      </c>
      <c r="Z34" s="2856" t="s">
        <v>3496</v>
      </c>
      <c r="AA34" s="2856" t="s">
        <v>3496</v>
      </c>
      <c r="AB34" s="2856" t="s">
        <v>3496</v>
      </c>
      <c r="AC34" s="2856" t="s">
        <v>3512</v>
      </c>
      <c r="AD34" s="2856" t="s">
        <v>3496</v>
      </c>
    </row>
    <row r="35" spans="1:30">
      <c r="A35" s="2856" t="s">
        <v>3707</v>
      </c>
      <c r="B35" s="2856" t="s">
        <v>3394</v>
      </c>
      <c r="C35" s="2856" t="s">
        <v>3514</v>
      </c>
      <c r="D35" s="2856" t="s">
        <v>3586</v>
      </c>
      <c r="E35" s="2856" t="s">
        <v>3708</v>
      </c>
      <c r="F35" s="2856">
        <v>30025.18</v>
      </c>
      <c r="G35" s="2856">
        <v>66055.39</v>
      </c>
      <c r="H35" s="2856" t="s">
        <v>3492</v>
      </c>
      <c r="I35" s="2856" t="s">
        <v>3507</v>
      </c>
      <c r="J35" s="2856" t="s">
        <v>3555</v>
      </c>
      <c r="K35" s="2856" t="s">
        <v>3543</v>
      </c>
      <c r="L35" s="2856" t="s">
        <v>3496</v>
      </c>
      <c r="M35" s="2856" t="s">
        <v>3497</v>
      </c>
      <c r="N35" s="2856" t="s">
        <v>3496</v>
      </c>
      <c r="O35" s="2856" t="s">
        <v>3496</v>
      </c>
      <c r="P35" s="2856" t="s">
        <v>3705</v>
      </c>
      <c r="Q35" s="2856" t="s">
        <v>3499</v>
      </c>
      <c r="R35" s="2856" t="s">
        <v>3646</v>
      </c>
      <c r="S35" s="2856" t="s">
        <v>3709</v>
      </c>
      <c r="T35" s="2856">
        <v>137000</v>
      </c>
      <c r="U35" s="2856">
        <v>45628.37</v>
      </c>
      <c r="V35" s="2856">
        <v>3041.89</v>
      </c>
      <c r="W35" s="2856">
        <v>20740</v>
      </c>
      <c r="X35" s="2856" t="s">
        <v>3496</v>
      </c>
      <c r="Y35" s="2856">
        <v>0</v>
      </c>
      <c r="Z35" s="2856" t="s">
        <v>3496</v>
      </c>
      <c r="AA35" s="2856" t="s">
        <v>3496</v>
      </c>
      <c r="AB35" s="2856" t="s">
        <v>3496</v>
      </c>
      <c r="AC35" s="2856" t="s">
        <v>3512</v>
      </c>
      <c r="AD35" s="2856" t="s">
        <v>3496</v>
      </c>
    </row>
    <row r="36" spans="1:30">
      <c r="A36" s="2856" t="s">
        <v>3710</v>
      </c>
      <c r="B36" s="2856" t="s">
        <v>3394</v>
      </c>
      <c r="C36" s="2856" t="s">
        <v>3504</v>
      </c>
      <c r="D36" s="2856" t="s">
        <v>3541</v>
      </c>
      <c r="E36" s="2856" t="s">
        <v>3711</v>
      </c>
      <c r="F36" s="2856">
        <v>204418.11</v>
      </c>
      <c r="G36" s="2856">
        <v>302000</v>
      </c>
      <c r="H36" s="2856" t="s">
        <v>3492</v>
      </c>
      <c r="I36" s="2856" t="s">
        <v>3507</v>
      </c>
      <c r="J36" s="2856" t="s">
        <v>3555</v>
      </c>
      <c r="K36" s="2856" t="s">
        <v>3495</v>
      </c>
      <c r="L36" s="2856" t="s">
        <v>3496</v>
      </c>
      <c r="M36" s="2856" t="s">
        <v>3497</v>
      </c>
      <c r="N36" s="2856" t="s">
        <v>3496</v>
      </c>
      <c r="O36" s="2856" t="s">
        <v>3496</v>
      </c>
      <c r="P36" s="2856" t="s">
        <v>3705</v>
      </c>
      <c r="Q36" s="2856" t="s">
        <v>3499</v>
      </c>
      <c r="R36" s="2856" t="s">
        <v>3646</v>
      </c>
      <c r="S36" s="2856" t="s">
        <v>3712</v>
      </c>
      <c r="T36" s="2856">
        <v>506700</v>
      </c>
      <c r="U36" s="2856">
        <v>24787.43</v>
      </c>
      <c r="V36" s="2856">
        <v>1652.5</v>
      </c>
      <c r="W36" s="2856">
        <v>16778</v>
      </c>
      <c r="X36" s="2856" t="s">
        <v>3496</v>
      </c>
      <c r="Y36" s="2856">
        <v>0</v>
      </c>
      <c r="Z36" s="2856" t="s">
        <v>3496</v>
      </c>
      <c r="AA36" s="2856" t="s">
        <v>3496</v>
      </c>
      <c r="AB36" s="2856" t="s">
        <v>3496</v>
      </c>
      <c r="AC36" s="2856" t="s">
        <v>3512</v>
      </c>
      <c r="AD36" s="2856" t="s">
        <v>3496</v>
      </c>
    </row>
    <row r="37" spans="1:30">
      <c r="A37" s="2856" t="s">
        <v>3713</v>
      </c>
      <c r="B37" s="2856" t="s">
        <v>3394</v>
      </c>
      <c r="C37" s="2856" t="s">
        <v>3514</v>
      </c>
      <c r="D37" s="2856" t="s">
        <v>3586</v>
      </c>
      <c r="E37" s="2856" t="s">
        <v>3714</v>
      </c>
      <c r="F37" s="2856">
        <v>25121.77</v>
      </c>
      <c r="G37" s="2856">
        <v>55267.89</v>
      </c>
      <c r="H37" s="2856" t="s">
        <v>3492</v>
      </c>
      <c r="I37" s="2856" t="s">
        <v>3507</v>
      </c>
      <c r="J37" s="2856" t="s">
        <v>3555</v>
      </c>
      <c r="K37" s="2856" t="s">
        <v>3543</v>
      </c>
      <c r="L37" s="2856" t="s">
        <v>3496</v>
      </c>
      <c r="M37" s="2856" t="s">
        <v>3497</v>
      </c>
      <c r="N37" s="2856" t="s">
        <v>3496</v>
      </c>
      <c r="O37" s="2856" t="s">
        <v>3496</v>
      </c>
      <c r="P37" s="2856" t="s">
        <v>3705</v>
      </c>
      <c r="Q37" s="2856" t="s">
        <v>3499</v>
      </c>
      <c r="R37" s="2856" t="s">
        <v>3646</v>
      </c>
      <c r="S37" s="2856" t="s">
        <v>3715</v>
      </c>
      <c r="T37" s="2856">
        <v>115000</v>
      </c>
      <c r="U37" s="2856">
        <v>45777.02</v>
      </c>
      <c r="V37" s="2856">
        <v>3051.8</v>
      </c>
      <c r="W37" s="2856">
        <v>20808</v>
      </c>
      <c r="X37" s="2856" t="s">
        <v>3496</v>
      </c>
      <c r="Y37" s="2856">
        <v>0</v>
      </c>
      <c r="Z37" s="2856" t="s">
        <v>3496</v>
      </c>
      <c r="AA37" s="2856" t="s">
        <v>3496</v>
      </c>
      <c r="AB37" s="2856" t="s">
        <v>3496</v>
      </c>
      <c r="AC37" s="2856" t="s">
        <v>3512</v>
      </c>
      <c r="AD37" s="2856" t="s">
        <v>3496</v>
      </c>
    </row>
    <row r="38" spans="1:30">
      <c r="A38" s="2856" t="s">
        <v>3716</v>
      </c>
      <c r="B38" s="2856" t="s">
        <v>3394</v>
      </c>
      <c r="C38" s="2856" t="s">
        <v>3504</v>
      </c>
      <c r="D38" s="2856" t="s">
        <v>3717</v>
      </c>
      <c r="E38" s="2856" t="s">
        <v>3718</v>
      </c>
      <c r="F38" s="2856">
        <v>17147.95</v>
      </c>
      <c r="G38" s="2856">
        <v>53158.65</v>
      </c>
      <c r="H38" s="2856" t="s">
        <v>3492</v>
      </c>
      <c r="I38" s="2856" t="s">
        <v>3719</v>
      </c>
      <c r="J38" s="2856" t="s">
        <v>3720</v>
      </c>
      <c r="K38" s="2856" t="s">
        <v>3721</v>
      </c>
      <c r="L38" s="2856" t="s">
        <v>3496</v>
      </c>
      <c r="M38" s="2856" t="s">
        <v>3497</v>
      </c>
      <c r="N38" s="2856" t="s">
        <v>3496</v>
      </c>
      <c r="O38" s="2856" t="s">
        <v>3496</v>
      </c>
      <c r="P38" s="2856" t="s">
        <v>3722</v>
      </c>
      <c r="Q38" s="2856" t="s">
        <v>3499</v>
      </c>
      <c r="R38" s="2856" t="s">
        <v>3646</v>
      </c>
      <c r="S38" s="2856" t="s">
        <v>3571</v>
      </c>
      <c r="T38" s="2856">
        <v>69200</v>
      </c>
      <c r="U38" s="2856">
        <v>40354.68</v>
      </c>
      <c r="V38" s="2856">
        <v>2690.31</v>
      </c>
      <c r="W38" s="2856">
        <v>13018</v>
      </c>
      <c r="X38" s="2856" t="s">
        <v>3496</v>
      </c>
      <c r="Y38" s="2856">
        <v>0</v>
      </c>
      <c r="Z38" s="2856" t="s">
        <v>3496</v>
      </c>
      <c r="AA38" s="2856" t="s">
        <v>3496</v>
      </c>
      <c r="AB38" s="2856" t="s">
        <v>3496</v>
      </c>
      <c r="AC38" s="2856" t="s">
        <v>3512</v>
      </c>
      <c r="AD38" s="2856" t="s">
        <v>3496</v>
      </c>
    </row>
    <row r="39" spans="1:30">
      <c r="A39" s="2856" t="s">
        <v>3723</v>
      </c>
      <c r="B39" s="2856" t="s">
        <v>3394</v>
      </c>
      <c r="C39" s="2856" t="s">
        <v>3504</v>
      </c>
      <c r="D39" s="2856" t="s">
        <v>3541</v>
      </c>
      <c r="E39" s="2856" t="s">
        <v>3724</v>
      </c>
      <c r="F39" s="2856">
        <v>22058.78</v>
      </c>
      <c r="G39" s="2856">
        <v>47390</v>
      </c>
      <c r="H39" s="2856" t="s">
        <v>3492</v>
      </c>
      <c r="I39" s="2856" t="s">
        <v>3507</v>
      </c>
      <c r="J39" s="2856" t="s">
        <v>3720</v>
      </c>
      <c r="K39" s="2856" t="s">
        <v>3725</v>
      </c>
      <c r="L39" s="2856" t="s">
        <v>3496</v>
      </c>
      <c r="M39" s="2856" t="s">
        <v>3497</v>
      </c>
      <c r="N39" s="2856" t="s">
        <v>3496</v>
      </c>
      <c r="O39" s="2856" t="s">
        <v>3496</v>
      </c>
      <c r="P39" s="2856" t="s">
        <v>3726</v>
      </c>
      <c r="Q39" s="2856" t="s">
        <v>3499</v>
      </c>
      <c r="R39" s="2856" t="s">
        <v>3646</v>
      </c>
      <c r="S39" s="2856" t="s">
        <v>3727</v>
      </c>
      <c r="T39" s="2856">
        <v>32700</v>
      </c>
      <c r="U39" s="2856">
        <v>14824.02</v>
      </c>
      <c r="V39" s="2856">
        <v>988.27</v>
      </c>
      <c r="W39" s="2856">
        <v>6900</v>
      </c>
      <c r="X39" s="2856" t="s">
        <v>3496</v>
      </c>
      <c r="Y39" s="2856">
        <v>0</v>
      </c>
      <c r="Z39" s="2856" t="s">
        <v>3496</v>
      </c>
      <c r="AA39" s="2856" t="s">
        <v>3496</v>
      </c>
      <c r="AB39" s="2856" t="s">
        <v>3496</v>
      </c>
      <c r="AC39" s="2856" t="s">
        <v>3512</v>
      </c>
      <c r="AD39" s="2856" t="s">
        <v>3496</v>
      </c>
    </row>
    <row r="40" spans="1:30">
      <c r="A40" s="2856" t="s">
        <v>3728</v>
      </c>
      <c r="B40" s="2856" t="s">
        <v>3394</v>
      </c>
      <c r="C40" s="2856" t="s">
        <v>3619</v>
      </c>
      <c r="D40" s="2856" t="s">
        <v>3729</v>
      </c>
      <c r="E40" s="2856" t="s">
        <v>3730</v>
      </c>
      <c r="F40" s="2856">
        <v>25224.15</v>
      </c>
      <c r="G40" s="2856">
        <v>75672.45</v>
      </c>
      <c r="H40" s="2856" t="s">
        <v>3492</v>
      </c>
      <c r="I40" s="2856" t="s">
        <v>3507</v>
      </c>
      <c r="J40" s="2856" t="s">
        <v>3658</v>
      </c>
      <c r="K40" s="2856" t="s">
        <v>3731</v>
      </c>
      <c r="L40" s="2856" t="s">
        <v>3496</v>
      </c>
      <c r="M40" s="2856" t="s">
        <v>3497</v>
      </c>
      <c r="N40" s="2856" t="s">
        <v>3496</v>
      </c>
      <c r="O40" s="2856" t="s">
        <v>3496</v>
      </c>
      <c r="P40" s="2856" t="s">
        <v>3732</v>
      </c>
      <c r="Q40" s="2856" t="s">
        <v>3499</v>
      </c>
      <c r="R40" s="2856" t="s">
        <v>3646</v>
      </c>
      <c r="S40" s="2856" t="s">
        <v>3733</v>
      </c>
      <c r="T40" s="2856">
        <v>60800</v>
      </c>
      <c r="U40" s="2856">
        <v>24103.88</v>
      </c>
      <c r="V40" s="2856">
        <v>1606.93</v>
      </c>
      <c r="W40" s="2856">
        <v>8035</v>
      </c>
      <c r="X40" s="2856" t="s">
        <v>3496</v>
      </c>
      <c r="Y40" s="2856">
        <v>0</v>
      </c>
      <c r="Z40" s="2856" t="s">
        <v>3496</v>
      </c>
      <c r="AA40" s="2856" t="s">
        <v>3496</v>
      </c>
      <c r="AB40" s="2856" t="s">
        <v>3496</v>
      </c>
      <c r="AC40" s="2856" t="s">
        <v>3502</v>
      </c>
      <c r="AD40" s="2856" t="s">
        <v>3496</v>
      </c>
    </row>
    <row r="41" spans="1:30">
      <c r="A41" s="2856" t="s">
        <v>3734</v>
      </c>
      <c r="B41" s="2856" t="s">
        <v>3394</v>
      </c>
      <c r="C41" s="2856" t="s">
        <v>3514</v>
      </c>
      <c r="D41" s="2856" t="s">
        <v>3735</v>
      </c>
      <c r="E41" s="2856" t="s">
        <v>3736</v>
      </c>
      <c r="F41" s="2856">
        <v>51788.13</v>
      </c>
      <c r="G41" s="2856">
        <v>184800</v>
      </c>
      <c r="H41" s="2856" t="s">
        <v>3492</v>
      </c>
      <c r="I41" s="2856" t="s">
        <v>3629</v>
      </c>
      <c r="J41" s="2856" t="s">
        <v>3658</v>
      </c>
      <c r="K41" s="2856" t="s">
        <v>3737</v>
      </c>
      <c r="L41" s="2856" t="s">
        <v>3496</v>
      </c>
      <c r="M41" s="2856" t="s">
        <v>3497</v>
      </c>
      <c r="N41" s="2856" t="s">
        <v>3496</v>
      </c>
      <c r="O41" s="2856" t="s">
        <v>3496</v>
      </c>
      <c r="P41" s="2856" t="s">
        <v>3738</v>
      </c>
      <c r="Q41" s="2856" t="s">
        <v>3499</v>
      </c>
      <c r="R41" s="2856" t="s">
        <v>3646</v>
      </c>
      <c r="S41" s="2856" t="s">
        <v>3739</v>
      </c>
      <c r="T41" s="2856">
        <v>579500</v>
      </c>
      <c r="U41" s="2856">
        <v>111898.23</v>
      </c>
      <c r="V41" s="2856">
        <v>7459.88</v>
      </c>
      <c r="W41" s="2856">
        <v>31358</v>
      </c>
      <c r="X41" s="2856" t="s">
        <v>3496</v>
      </c>
      <c r="Y41" s="2856">
        <v>1.58</v>
      </c>
      <c r="Z41" s="2856" t="s">
        <v>3496</v>
      </c>
      <c r="AA41" s="2856" t="s">
        <v>3496</v>
      </c>
      <c r="AB41" s="2856" t="s">
        <v>3496</v>
      </c>
      <c r="AC41" s="2856" t="s">
        <v>3521</v>
      </c>
      <c r="AD41" s="2856" t="s">
        <v>3496</v>
      </c>
    </row>
    <row r="42" spans="1:30">
      <c r="A42" s="2856" t="s">
        <v>3740</v>
      </c>
      <c r="B42" s="2856" t="s">
        <v>3394</v>
      </c>
      <c r="C42" s="2856" t="s">
        <v>3523</v>
      </c>
      <c r="D42" s="2856" t="s">
        <v>3672</v>
      </c>
      <c r="E42" s="2856" t="s">
        <v>3741</v>
      </c>
      <c r="F42" s="2856">
        <v>265269.8</v>
      </c>
      <c r="G42" s="2856">
        <v>665975.69999999995</v>
      </c>
      <c r="H42" s="2856" t="s">
        <v>3492</v>
      </c>
      <c r="I42" s="2856" t="s">
        <v>3507</v>
      </c>
      <c r="J42" s="2856" t="s">
        <v>3658</v>
      </c>
      <c r="K42" s="2856" t="s">
        <v>3742</v>
      </c>
      <c r="L42" s="2856" t="s">
        <v>3496</v>
      </c>
      <c r="M42" s="2856" t="s">
        <v>3497</v>
      </c>
      <c r="N42" s="2856" t="s">
        <v>3496</v>
      </c>
      <c r="O42" s="2856" t="s">
        <v>3496</v>
      </c>
      <c r="P42" s="2856" t="s">
        <v>3743</v>
      </c>
      <c r="Q42" s="2856" t="s">
        <v>3499</v>
      </c>
      <c r="R42" s="2856" t="s">
        <v>3646</v>
      </c>
      <c r="S42" s="2856" t="s">
        <v>3744</v>
      </c>
      <c r="T42" s="2856">
        <v>699300</v>
      </c>
      <c r="U42" s="2856">
        <v>26361.84</v>
      </c>
      <c r="V42" s="2856">
        <v>1757.46</v>
      </c>
      <c r="W42" s="2856">
        <v>10500</v>
      </c>
      <c r="X42" s="2856" t="s">
        <v>3496</v>
      </c>
      <c r="Y42" s="2856">
        <v>0</v>
      </c>
      <c r="Z42" s="2856" t="s">
        <v>3496</v>
      </c>
      <c r="AA42" s="2856" t="s">
        <v>3496</v>
      </c>
      <c r="AB42" s="2856" t="s">
        <v>3496</v>
      </c>
      <c r="AC42" s="2856" t="s">
        <v>3512</v>
      </c>
      <c r="AD42" s="2856" t="s">
        <v>3496</v>
      </c>
    </row>
    <row r="43" spans="1:30">
      <c r="A43" s="2856" t="s">
        <v>3745</v>
      </c>
      <c r="B43" s="2856" t="s">
        <v>3394</v>
      </c>
      <c r="C43" s="2856" t="s">
        <v>3746</v>
      </c>
      <c r="D43" s="2856" t="s">
        <v>3747</v>
      </c>
      <c r="E43" s="2856" t="s">
        <v>3748</v>
      </c>
      <c r="F43" s="2856">
        <v>12501.51</v>
      </c>
      <c r="G43" s="2856">
        <v>37505</v>
      </c>
      <c r="H43" s="2856" t="s">
        <v>3492</v>
      </c>
      <c r="I43" s="2856" t="s">
        <v>3507</v>
      </c>
      <c r="J43" s="2856" t="s">
        <v>3658</v>
      </c>
      <c r="K43" s="2856" t="s">
        <v>3731</v>
      </c>
      <c r="L43" s="2856" t="s">
        <v>3496</v>
      </c>
      <c r="M43" s="2856" t="s">
        <v>3497</v>
      </c>
      <c r="N43" s="2856" t="s">
        <v>3496</v>
      </c>
      <c r="O43" s="2856" t="s">
        <v>3496</v>
      </c>
      <c r="P43" s="2856" t="s">
        <v>3749</v>
      </c>
      <c r="Q43" s="2856" t="s">
        <v>3499</v>
      </c>
      <c r="R43" s="2856" t="s">
        <v>3646</v>
      </c>
      <c r="S43" s="2856" t="s">
        <v>3750</v>
      </c>
      <c r="T43" s="2856">
        <v>56000</v>
      </c>
      <c r="U43" s="2856">
        <v>44794.59</v>
      </c>
      <c r="V43" s="2856">
        <v>2986.31</v>
      </c>
      <c r="W43" s="2856">
        <v>14931</v>
      </c>
      <c r="X43" s="2856" t="s">
        <v>3496</v>
      </c>
      <c r="Y43" s="2856">
        <v>0</v>
      </c>
      <c r="Z43" s="2856" t="s">
        <v>3496</v>
      </c>
      <c r="AA43" s="2856" t="s">
        <v>3496</v>
      </c>
      <c r="AB43" s="2856" t="s">
        <v>3496</v>
      </c>
      <c r="AC43" s="2856" t="s">
        <v>3502</v>
      </c>
      <c r="AD43" s="2856" t="s">
        <v>3496</v>
      </c>
    </row>
    <row r="44" spans="1:30">
      <c r="A44" s="2856" t="s">
        <v>3751</v>
      </c>
      <c r="B44" s="2856" t="s">
        <v>3394</v>
      </c>
      <c r="C44" s="2856" t="s">
        <v>3514</v>
      </c>
      <c r="D44" s="2856" t="s">
        <v>3594</v>
      </c>
      <c r="E44" s="2856" t="s">
        <v>3752</v>
      </c>
      <c r="F44" s="2856">
        <v>70601.070000000007</v>
      </c>
      <c r="G44" s="2856">
        <v>285523</v>
      </c>
      <c r="H44" s="2856" t="s">
        <v>3492</v>
      </c>
      <c r="I44" s="2856" t="s">
        <v>3596</v>
      </c>
      <c r="J44" s="2856" t="s">
        <v>3658</v>
      </c>
      <c r="K44" s="2856" t="s">
        <v>3753</v>
      </c>
      <c r="L44" s="2856" t="s">
        <v>3496</v>
      </c>
      <c r="M44" s="2856" t="s">
        <v>3754</v>
      </c>
      <c r="N44" s="2856" t="s">
        <v>3496</v>
      </c>
      <c r="O44" s="2856" t="s">
        <v>3496</v>
      </c>
      <c r="P44" s="2856" t="s">
        <v>3755</v>
      </c>
      <c r="Q44" s="2856" t="s">
        <v>3499</v>
      </c>
      <c r="R44" s="2856" t="s">
        <v>3646</v>
      </c>
      <c r="S44" s="2856" t="s">
        <v>3756</v>
      </c>
      <c r="T44" s="2856">
        <v>660900</v>
      </c>
      <c r="U44" s="2856">
        <v>93610.48</v>
      </c>
      <c r="V44" s="2856">
        <v>6240.7</v>
      </c>
      <c r="W44" s="2856">
        <v>23147</v>
      </c>
      <c r="X44" s="2856" t="s">
        <v>3496</v>
      </c>
      <c r="Y44" s="2856">
        <v>0</v>
      </c>
      <c r="Z44" s="2856" t="s">
        <v>3496</v>
      </c>
      <c r="AA44" s="2856" t="s">
        <v>3496</v>
      </c>
      <c r="AB44" s="2856" t="s">
        <v>3496</v>
      </c>
      <c r="AC44" s="2856" t="s">
        <v>3601</v>
      </c>
      <c r="AD44" s="2856" t="s">
        <v>3496</v>
      </c>
    </row>
    <row r="45" spans="1:30">
      <c r="A45" s="2856" t="s">
        <v>3757</v>
      </c>
      <c r="B45" s="2856" t="s">
        <v>3394</v>
      </c>
      <c r="C45" s="2856" t="s">
        <v>3504</v>
      </c>
      <c r="D45" s="2856" t="s">
        <v>3717</v>
      </c>
      <c r="E45" s="2856" t="s">
        <v>3758</v>
      </c>
      <c r="F45" s="2856">
        <v>28003.32</v>
      </c>
      <c r="G45" s="2856">
        <v>70008</v>
      </c>
      <c r="H45" s="2856" t="s">
        <v>3492</v>
      </c>
      <c r="I45" s="2856" t="s">
        <v>3507</v>
      </c>
      <c r="J45" s="2856" t="s">
        <v>3609</v>
      </c>
      <c r="K45" s="2856" t="s">
        <v>3556</v>
      </c>
      <c r="L45" s="2856" t="s">
        <v>3496</v>
      </c>
      <c r="M45" s="2856" t="s">
        <v>3497</v>
      </c>
      <c r="N45" s="2856" t="s">
        <v>3496</v>
      </c>
      <c r="O45" s="2856" t="s">
        <v>3496</v>
      </c>
      <c r="P45" s="2856" t="s">
        <v>3759</v>
      </c>
      <c r="Q45" s="2856" t="s">
        <v>3499</v>
      </c>
      <c r="R45" s="2856" t="s">
        <v>3646</v>
      </c>
      <c r="S45" s="2856" t="s">
        <v>3760</v>
      </c>
      <c r="T45" s="2856">
        <v>97800</v>
      </c>
      <c r="U45" s="2856">
        <v>34924.43</v>
      </c>
      <c r="V45" s="2856">
        <v>2328.3000000000002</v>
      </c>
      <c r="W45" s="2856">
        <v>13970</v>
      </c>
      <c r="X45" s="2856" t="s">
        <v>3496</v>
      </c>
      <c r="Y45" s="2856">
        <v>1.03</v>
      </c>
      <c r="Z45" s="2856" t="s">
        <v>3496</v>
      </c>
      <c r="AA45" s="2856" t="s">
        <v>3496</v>
      </c>
      <c r="AB45" s="2856" t="s">
        <v>3496</v>
      </c>
      <c r="AC45" s="2856" t="s">
        <v>3572</v>
      </c>
      <c r="AD45" s="2856" t="s">
        <v>3496</v>
      </c>
    </row>
    <row r="46" spans="1:30">
      <c r="A46" s="2856" t="s">
        <v>3761</v>
      </c>
      <c r="B46" s="2856" t="s">
        <v>3394</v>
      </c>
      <c r="C46" s="2856" t="s">
        <v>3523</v>
      </c>
      <c r="D46" s="2856" t="s">
        <v>3762</v>
      </c>
      <c r="E46" s="2856" t="s">
        <v>3763</v>
      </c>
      <c r="F46" s="2856">
        <v>42276.47</v>
      </c>
      <c r="G46" s="2856">
        <v>84552.93</v>
      </c>
      <c r="H46" s="2856" t="s">
        <v>3492</v>
      </c>
      <c r="I46" s="2856" t="s">
        <v>3629</v>
      </c>
      <c r="J46" s="2856" t="s">
        <v>3764</v>
      </c>
      <c r="K46" s="2856" t="s">
        <v>3765</v>
      </c>
      <c r="L46" s="2856" t="s">
        <v>3496</v>
      </c>
      <c r="M46" s="2856" t="s">
        <v>3497</v>
      </c>
      <c r="N46" s="2856" t="s">
        <v>3496</v>
      </c>
      <c r="O46" s="2856" t="s">
        <v>3496</v>
      </c>
      <c r="P46" s="2856" t="s">
        <v>3766</v>
      </c>
      <c r="Q46" s="2856" t="s">
        <v>3499</v>
      </c>
      <c r="R46" s="2856" t="s">
        <v>3646</v>
      </c>
      <c r="S46" s="2856" t="s">
        <v>3767</v>
      </c>
      <c r="T46" s="2856">
        <v>96500</v>
      </c>
      <c r="U46" s="2856">
        <v>22825.93</v>
      </c>
      <c r="V46" s="2856">
        <v>1521.73</v>
      </c>
      <c r="W46" s="2856">
        <v>11413</v>
      </c>
      <c r="X46" s="2856" t="s">
        <v>3496</v>
      </c>
      <c r="Y46" s="2856">
        <v>1.58</v>
      </c>
      <c r="Z46" s="2856" t="s">
        <v>3496</v>
      </c>
      <c r="AA46" s="2856" t="s">
        <v>3496</v>
      </c>
      <c r="AB46" s="2856" t="s">
        <v>3496</v>
      </c>
      <c r="AC46" s="2856" t="s">
        <v>3502</v>
      </c>
      <c r="AD46" s="2856" t="s">
        <v>3496</v>
      </c>
    </row>
    <row r="52" spans="1:30" ht="13.5">
      <c r="A52" s="3205" t="s">
        <v>3794</v>
      </c>
    </row>
    <row r="54" spans="1:30">
      <c r="T54" s="2856" t="s">
        <v>3811</v>
      </c>
    </row>
    <row r="55" spans="1:30">
      <c r="T55" s="3487" t="s">
        <v>3810</v>
      </c>
      <c r="U55" s="3487" t="s">
        <v>3814</v>
      </c>
      <c r="V55" s="3487" t="s">
        <v>3812</v>
      </c>
      <c r="W55" s="3487" t="s">
        <v>3813</v>
      </c>
      <c r="X55" s="3487"/>
      <c r="Y55" s="3487"/>
      <c r="Z55" s="3487"/>
      <c r="AA55" s="3487"/>
      <c r="AB55" s="3487"/>
      <c r="AC55" s="3487"/>
      <c r="AD55" s="3487" t="s">
        <v>3823</v>
      </c>
    </row>
    <row r="56" spans="1:30">
      <c r="T56" s="3487"/>
      <c r="U56" s="3487"/>
      <c r="V56" s="3487"/>
      <c r="W56" s="2856" t="s">
        <v>3820</v>
      </c>
      <c r="Y56" s="2856" t="s">
        <v>3821</v>
      </c>
      <c r="AC56" s="2856" t="s">
        <v>3822</v>
      </c>
      <c r="AD56" s="3487"/>
    </row>
    <row r="57" spans="1:30">
      <c r="T57" s="2856">
        <v>6057</v>
      </c>
      <c r="U57" s="2856" t="s">
        <v>3816</v>
      </c>
      <c r="V57" s="2856">
        <v>7662.49</v>
      </c>
      <c r="W57" s="2856">
        <v>18284.8</v>
      </c>
      <c r="Y57" s="2856">
        <v>9822.5</v>
      </c>
      <c r="AC57" s="2856">
        <f>W57+Y57</f>
        <v>28107.3</v>
      </c>
      <c r="AD57" s="2856">
        <f>ROUND(W57/V57,2)</f>
        <v>2.39</v>
      </c>
    </row>
    <row r="58" spans="1:30">
      <c r="T58" s="2856">
        <v>6058</v>
      </c>
      <c r="U58" s="2856" t="s">
        <v>3817</v>
      </c>
      <c r="V58" s="2856">
        <v>3500</v>
      </c>
      <c r="W58" s="2856">
        <v>2100</v>
      </c>
      <c r="Y58" s="2856">
        <v>0</v>
      </c>
      <c r="AC58" s="2856">
        <f t="shared" ref="AC58:AC63" si="0">W58+Y58</f>
        <v>2100</v>
      </c>
      <c r="AD58" s="2856">
        <f t="shared" ref="AD58:AD64" si="1">ROUND(W58/V58,2)</f>
        <v>0.6</v>
      </c>
    </row>
    <row r="59" spans="1:30">
      <c r="T59" s="2856">
        <v>6059</v>
      </c>
      <c r="U59" s="2856" t="s">
        <v>3818</v>
      </c>
      <c r="V59" s="2856">
        <v>44947.040000000001</v>
      </c>
      <c r="W59" s="2856">
        <v>73244.23</v>
      </c>
      <c r="Y59" s="2856">
        <v>33304.46</v>
      </c>
      <c r="AC59" s="2856">
        <f t="shared" si="0"/>
        <v>106548.69</v>
      </c>
      <c r="AD59" s="2856">
        <f t="shared" si="1"/>
        <v>1.63</v>
      </c>
    </row>
    <row r="60" spans="1:30">
      <c r="T60" s="2856">
        <v>6064</v>
      </c>
      <c r="U60" s="2856" t="s">
        <v>3818</v>
      </c>
      <c r="V60" s="2856">
        <v>20848.45</v>
      </c>
      <c r="W60" s="2856">
        <v>33357.519999999997</v>
      </c>
      <c r="Y60" s="2856">
        <v>21309.61</v>
      </c>
      <c r="AC60" s="2856">
        <f t="shared" si="0"/>
        <v>54667.13</v>
      </c>
      <c r="AD60" s="2856">
        <f t="shared" si="1"/>
        <v>1.6</v>
      </c>
    </row>
    <row r="61" spans="1:30">
      <c r="T61" s="2856">
        <v>6065</v>
      </c>
      <c r="U61" s="2856" t="s">
        <v>3818</v>
      </c>
      <c r="V61" s="2856">
        <v>25686.87</v>
      </c>
      <c r="W61" s="2856">
        <v>39770.019999999997</v>
      </c>
      <c r="Y61" s="2856">
        <v>26075.07</v>
      </c>
      <c r="AC61" s="2856">
        <f t="shared" si="0"/>
        <v>65845.09</v>
      </c>
      <c r="AD61" s="2856">
        <f t="shared" si="1"/>
        <v>1.55</v>
      </c>
    </row>
    <row r="62" spans="1:30">
      <c r="T62" s="2856">
        <v>6067</v>
      </c>
      <c r="U62" s="2856" t="s">
        <v>3815</v>
      </c>
      <c r="V62" s="2856">
        <v>6200</v>
      </c>
      <c r="W62" s="2856">
        <v>4960</v>
      </c>
      <c r="Y62" s="2856">
        <v>3593.96</v>
      </c>
      <c r="AC62" s="2856">
        <f t="shared" si="0"/>
        <v>8553.9599999999991</v>
      </c>
      <c r="AD62" s="2856">
        <f t="shared" si="1"/>
        <v>0.8</v>
      </c>
    </row>
    <row r="63" spans="1:30">
      <c r="T63" s="2856">
        <v>6070</v>
      </c>
      <c r="U63" s="2856" t="s">
        <v>3819</v>
      </c>
      <c r="V63" s="2856">
        <v>13398.85</v>
      </c>
      <c r="W63" s="2856">
        <v>33497.129999999997</v>
      </c>
      <c r="Y63" s="2856">
        <v>10987.24</v>
      </c>
      <c r="AC63" s="2856">
        <f t="shared" si="0"/>
        <v>44484.369999999995</v>
      </c>
      <c r="AD63" s="2856">
        <f t="shared" si="1"/>
        <v>2.5</v>
      </c>
    </row>
    <row r="64" spans="1:30">
      <c r="U64" s="2856" t="s">
        <v>3824</v>
      </c>
      <c r="V64" s="2856">
        <f>SUM(V57:V63)</f>
        <v>122243.7</v>
      </c>
      <c r="W64" s="2856">
        <f t="shared" ref="W64:Y64" si="2">SUM(W57:W63)</f>
        <v>205213.69999999998</v>
      </c>
      <c r="X64" s="2856">
        <f t="shared" si="2"/>
        <v>0</v>
      </c>
      <c r="Y64" s="2856">
        <f t="shared" si="2"/>
        <v>105092.84000000001</v>
      </c>
      <c r="Z64" s="2856">
        <f t="shared" ref="Z64" si="3">SUM(Z57:Z63)</f>
        <v>0</v>
      </c>
      <c r="AA64" s="2856">
        <f t="shared" ref="AA64" si="4">SUM(AA57:AA63)</f>
        <v>0</v>
      </c>
      <c r="AB64" s="2856">
        <f t="shared" ref="AB64" si="5">SUM(AB57:AB63)</f>
        <v>0</v>
      </c>
      <c r="AC64" s="2856">
        <f t="shared" ref="AC64" si="6">SUM(AC57:AC63)</f>
        <v>310306.53999999998</v>
      </c>
      <c r="AD64" s="2856">
        <f t="shared" si="1"/>
        <v>1.68</v>
      </c>
    </row>
    <row r="66" spans="21:33">
      <c r="V66" s="2856" t="s">
        <v>3812</v>
      </c>
      <c r="W66" s="2856" t="s">
        <v>3820</v>
      </c>
      <c r="Y66" s="2856" t="s">
        <v>3821</v>
      </c>
      <c r="AC66" s="2856" t="s">
        <v>3822</v>
      </c>
      <c r="AD66" s="2856" t="s">
        <v>3828</v>
      </c>
      <c r="AE66" s="2856" t="s">
        <v>3973</v>
      </c>
      <c r="AF66" s="2856" t="s">
        <v>3971</v>
      </c>
      <c r="AG66" s="2856" t="s">
        <v>3972</v>
      </c>
    </row>
    <row r="67" spans="21:33">
      <c r="U67" s="2856" t="s">
        <v>3825</v>
      </c>
      <c r="V67" s="2856">
        <f>V59+V60+V61</f>
        <v>91482.36</v>
      </c>
      <c r="W67" s="2856">
        <f>W59+W60+W61</f>
        <v>146371.76999999999</v>
      </c>
      <c r="X67" s="2856">
        <f t="shared" ref="X67:AC67" si="7">X59+X60+X61</f>
        <v>0</v>
      </c>
      <c r="Y67" s="2856">
        <f t="shared" si="7"/>
        <v>80689.14</v>
      </c>
      <c r="Z67" s="2856">
        <f t="shared" si="7"/>
        <v>0</v>
      </c>
      <c r="AA67" s="2856">
        <f t="shared" si="7"/>
        <v>0</v>
      </c>
      <c r="AB67" s="2856">
        <f t="shared" si="7"/>
        <v>0</v>
      </c>
      <c r="AC67" s="2856">
        <f t="shared" si="7"/>
        <v>227060.91</v>
      </c>
      <c r="AD67" s="2856">
        <f>AG67/AG70*AD70</f>
        <v>2496979196.8907905</v>
      </c>
      <c r="AE67" s="2856">
        <f>AD67/W67</f>
        <v>17059.158312363037</v>
      </c>
      <c r="AF67" s="2856">
        <v>30000</v>
      </c>
      <c r="AG67" s="2856">
        <f>W67*AF67</f>
        <v>4391153100</v>
      </c>
    </row>
    <row r="68" spans="21:33">
      <c r="U68" s="2856" t="s">
        <v>3826</v>
      </c>
      <c r="V68" s="2856">
        <f>V57+V63</f>
        <v>21061.34</v>
      </c>
      <c r="W68" s="2856">
        <f>W57+W63</f>
        <v>51781.929999999993</v>
      </c>
      <c r="X68" s="2856">
        <f t="shared" ref="X68:AC68" si="8">X57+X63</f>
        <v>0</v>
      </c>
      <c r="Y68" s="2856">
        <f t="shared" si="8"/>
        <v>20809.739999999998</v>
      </c>
      <c r="Z68" s="2856">
        <f t="shared" si="8"/>
        <v>0</v>
      </c>
      <c r="AA68" s="2856">
        <f t="shared" si="8"/>
        <v>0</v>
      </c>
      <c r="AB68" s="2856">
        <f t="shared" si="8"/>
        <v>0</v>
      </c>
      <c r="AC68" s="2856">
        <f t="shared" si="8"/>
        <v>72591.67</v>
      </c>
      <c r="AD68" s="2856">
        <f>AG68/AG70*AD70</f>
        <v>588904094.39313388</v>
      </c>
      <c r="AE68" s="2856">
        <f t="shared" ref="AE68:AE70" si="9">AD68/W68</f>
        <v>11372.772208242024</v>
      </c>
      <c r="AF68" s="2856">
        <v>20000</v>
      </c>
      <c r="AG68" s="2856">
        <f>W68*AF68</f>
        <v>1035638599.9999999</v>
      </c>
    </row>
    <row r="69" spans="21:33">
      <c r="U69" s="2856" t="s">
        <v>3827</v>
      </c>
      <c r="V69" s="2856">
        <f>V58+V62</f>
        <v>9700</v>
      </c>
      <c r="W69" s="2856">
        <f>W58+W62</f>
        <v>7060</v>
      </c>
      <c r="X69" s="2856">
        <f t="shared" ref="X69:AC69" si="10">X58+X62</f>
        <v>0</v>
      </c>
      <c r="Y69" s="2856">
        <f t="shared" si="10"/>
        <v>3593.96</v>
      </c>
      <c r="Z69" s="2856">
        <f t="shared" si="10"/>
        <v>0</v>
      </c>
      <c r="AA69" s="2856">
        <f t="shared" si="10"/>
        <v>0</v>
      </c>
      <c r="AB69" s="2856">
        <f t="shared" si="10"/>
        <v>0</v>
      </c>
      <c r="AC69" s="2856">
        <f t="shared" si="10"/>
        <v>10653.96</v>
      </c>
      <c r="AD69" s="2856">
        <f>AG69/AG70*AD70</f>
        <v>32116708.716075476</v>
      </c>
      <c r="AE69" s="2856">
        <f t="shared" si="9"/>
        <v>4549.1088832968098</v>
      </c>
      <c r="AF69" s="2856">
        <v>8000</v>
      </c>
      <c r="AG69" s="2856">
        <f>W69*AF69</f>
        <v>56480000</v>
      </c>
    </row>
    <row r="70" spans="21:33">
      <c r="U70" s="2856" t="s">
        <v>3824</v>
      </c>
      <c r="V70" s="2856">
        <f>SUM(V67:V69)</f>
        <v>122243.7</v>
      </c>
      <c r="W70" s="2856">
        <f>SUM(W67:W69)</f>
        <v>205213.69999999998</v>
      </c>
      <c r="X70" s="2856">
        <f t="shared" ref="X70:AC70" si="11">SUM(X67:X69)</f>
        <v>0</v>
      </c>
      <c r="Y70" s="2856">
        <f t="shared" si="11"/>
        <v>105092.84000000001</v>
      </c>
      <c r="Z70" s="2856">
        <f t="shared" si="11"/>
        <v>0</v>
      </c>
      <c r="AA70" s="2856">
        <f t="shared" si="11"/>
        <v>0</v>
      </c>
      <c r="AB70" s="2856">
        <f t="shared" si="11"/>
        <v>0</v>
      </c>
      <c r="AC70" s="2856">
        <f t="shared" si="11"/>
        <v>310306.54000000004</v>
      </c>
      <c r="AD70" s="2856">
        <v>3118000000</v>
      </c>
      <c r="AE70" s="2856">
        <f t="shared" si="9"/>
        <v>15193.917365166168</v>
      </c>
      <c r="AG70" s="2856">
        <f>SUM(AG67:AG69)</f>
        <v>5483271700</v>
      </c>
    </row>
    <row r="72" spans="21:33">
      <c r="U72" s="2856" t="s">
        <v>3829</v>
      </c>
      <c r="V72" s="2856">
        <f>V67+V68</f>
        <v>112543.7</v>
      </c>
      <c r="W72" s="2856">
        <f>W67+W68</f>
        <v>198153.69999999998</v>
      </c>
      <c r="X72" s="2856">
        <f t="shared" ref="X72:AD72" si="12">X67+X68</f>
        <v>0</v>
      </c>
      <c r="Y72" s="2856">
        <f t="shared" si="12"/>
        <v>101498.88</v>
      </c>
      <c r="Z72" s="2856">
        <f t="shared" si="12"/>
        <v>0</v>
      </c>
      <c r="AA72" s="2856">
        <f t="shared" si="12"/>
        <v>0</v>
      </c>
      <c r="AB72" s="2856">
        <f t="shared" si="12"/>
        <v>0</v>
      </c>
      <c r="AC72" s="2856">
        <f t="shared" si="12"/>
        <v>299652.58</v>
      </c>
      <c r="AD72" s="2856">
        <f t="shared" si="12"/>
        <v>3085883291.2839241</v>
      </c>
      <c r="AE72" s="2856">
        <f>AD72/W72</f>
        <v>15573.180270082892</v>
      </c>
    </row>
  </sheetData>
  <autoFilter ref="A1:AD46"/>
  <mergeCells count="5">
    <mergeCell ref="T55:T56"/>
    <mergeCell ref="U55:U56"/>
    <mergeCell ref="V55:V56"/>
    <mergeCell ref="W55:AC55"/>
    <mergeCell ref="AD55:AD56"/>
  </mergeCells>
  <phoneticPr fontId="134" type="noConversion"/>
  <hyperlinks>
    <hyperlink ref="A52" r:id="rId1"/>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C8" sqref="C8"/>
    </sheetView>
  </sheetViews>
  <sheetFormatPr defaultColWidth="6.625" defaultRowHeight="12.75"/>
  <cols>
    <col min="1" max="1" width="9.75" style="686" customWidth="1"/>
    <col min="2" max="2" width="25.75" style="733" customWidth="1"/>
    <col min="3" max="3" width="10.375" style="772" customWidth="1"/>
    <col min="4" max="4" width="9.875" style="733" customWidth="1"/>
    <col min="5" max="5" width="9.5" style="686"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1586</v>
      </c>
      <c r="B1" s="120"/>
      <c r="C1" s="1108"/>
      <c r="D1" s="1107"/>
      <c r="E1" s="2565"/>
      <c r="F1" s="2565"/>
      <c r="G1" s="2446"/>
      <c r="H1" s="2565"/>
      <c r="I1" s="2565"/>
      <c r="J1" s="2565"/>
      <c r="K1" s="2566">
        <f>MATCH(C1,'数据-取费表'!A6:A16,0)+5</f>
        <v>7</v>
      </c>
    </row>
    <row r="2" spans="1:33" ht="18" customHeight="1">
      <c r="A2" s="192" t="s">
        <v>1454</v>
      </c>
      <c r="B2" s="195">
        <f ca="1">C32</f>
        <v>26985</v>
      </c>
      <c r="C2" s="267" t="s">
        <v>1587</v>
      </c>
      <c r="D2" s="267"/>
      <c r="E2" s="2565"/>
      <c r="F2" s="2565"/>
      <c r="G2" s="2565"/>
      <c r="H2" s="2565"/>
      <c r="I2" s="2565"/>
      <c r="J2" s="2565"/>
      <c r="K2" s="2565"/>
    </row>
    <row r="3" spans="1:33" ht="18" customHeight="1" thickBot="1">
      <c r="A3" s="194" t="s">
        <v>1456</v>
      </c>
      <c r="B3" s="195">
        <f ca="1">ROUND(B2*10000/IF(C1="",'数据-汇总表'!E3,INDIRECT("'数据-取费表'!K"&amp;$K$1)),0)</f>
        <v>11245</v>
      </c>
      <c r="C3" s="267" t="s">
        <v>1588</v>
      </c>
      <c r="D3" s="267"/>
      <c r="E3" s="2565"/>
      <c r="F3" s="2565"/>
      <c r="G3" s="2565"/>
      <c r="H3" s="2565"/>
      <c r="I3" s="2565"/>
      <c r="J3" s="2565"/>
      <c r="K3" s="2565"/>
    </row>
    <row r="4" spans="1:33" s="737" customFormat="1" ht="16.5" customHeight="1">
      <c r="A4" s="734" t="s">
        <v>1589</v>
      </c>
      <c r="B4" s="735"/>
      <c r="C4" s="773">
        <f ca="1">SUM(C8:K8)</f>
        <v>32944</v>
      </c>
      <c r="D4" s="735"/>
      <c r="E4" s="735"/>
      <c r="F4" s="735"/>
      <c r="G4" s="735"/>
      <c r="H4" s="735"/>
      <c r="I4" s="735"/>
      <c r="J4" s="735"/>
      <c r="K4" s="736"/>
    </row>
    <row r="5" spans="1:33" s="741" customFormat="1" ht="25.5">
      <c r="A5" s="738" t="s">
        <v>1590</v>
      </c>
      <c r="B5" s="739" t="s">
        <v>1591</v>
      </c>
      <c r="C5" s="1716" t="s">
        <v>3969</v>
      </c>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1592</v>
      </c>
      <c r="C6" s="743">
        <f ca="1">收益法!B3</f>
        <v>15481</v>
      </c>
      <c r="D6" s="743"/>
      <c r="E6" s="743"/>
      <c r="F6" s="743"/>
      <c r="G6" s="743"/>
      <c r="H6" s="743"/>
      <c r="I6" s="743"/>
      <c r="J6" s="743"/>
      <c r="K6" s="744"/>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2" t="s">
        <v>1593</v>
      </c>
      <c r="B7" s="122" t="s">
        <v>1594</v>
      </c>
      <c r="C7" s="268">
        <f>SUMIF('数据-汇总表'!$C19:$C33,假设开发法!C5,'数据-汇总表'!$E19:$E33)</f>
        <v>21279.739999999998</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1595</v>
      </c>
      <c r="B8" s="155" t="s">
        <v>1596</v>
      </c>
      <c r="C8" s="774">
        <f ca="1">收益法!B2</f>
        <v>32944</v>
      </c>
      <c r="D8" s="774"/>
      <c r="E8" s="774"/>
      <c r="F8" s="775"/>
      <c r="G8" s="775"/>
      <c r="H8" s="775"/>
      <c r="I8" s="775"/>
      <c r="J8" s="775"/>
      <c r="K8" s="776"/>
      <c r="L8" s="683"/>
      <c r="M8" s="683"/>
      <c r="N8" s="683"/>
      <c r="O8" s="683"/>
      <c r="P8" s="683"/>
      <c r="Q8" s="683"/>
      <c r="R8" s="683"/>
      <c r="S8" s="683"/>
      <c r="T8" s="683"/>
      <c r="U8" s="683"/>
      <c r="V8" s="683"/>
      <c r="W8" s="683"/>
      <c r="X8" s="683"/>
      <c r="Y8" s="683"/>
      <c r="Z8" s="683"/>
      <c r="AA8" s="683"/>
      <c r="AB8" s="683"/>
      <c r="AC8" s="683"/>
      <c r="AD8" s="683"/>
      <c r="AE8" s="683"/>
      <c r="AF8" s="683"/>
      <c r="AG8" s="683"/>
    </row>
    <row r="9" spans="1:33" s="737" customFormat="1" ht="16.5" customHeight="1">
      <c r="A9" s="734" t="s">
        <v>1597</v>
      </c>
      <c r="B9" s="735"/>
      <c r="C9" s="735"/>
      <c r="D9" s="735"/>
      <c r="E9" s="735"/>
      <c r="F9" s="735"/>
      <c r="G9" s="735"/>
      <c r="H9" s="735"/>
      <c r="I9" s="735"/>
      <c r="J9" s="735"/>
      <c r="K9" s="736"/>
    </row>
    <row r="10" spans="1:33" s="749" customFormat="1" ht="13.5" customHeight="1">
      <c r="A10" s="738" t="s">
        <v>1598</v>
      </c>
      <c r="B10" s="5" t="s">
        <v>1599</v>
      </c>
      <c r="C10" s="745" t="s">
        <v>1600</v>
      </c>
      <c r="D10" s="746" t="s">
        <v>1601</v>
      </c>
      <c r="E10" s="746" t="s">
        <v>1602</v>
      </c>
      <c r="F10" s="746" t="s">
        <v>1603</v>
      </c>
      <c r="G10" s="5"/>
      <c r="H10" s="747"/>
      <c r="I10" s="747"/>
      <c r="J10" s="747"/>
      <c r="K10" s="748"/>
    </row>
    <row r="11" spans="1:33" s="753" customFormat="1" ht="13.5" customHeight="1">
      <c r="A11" s="750" t="s">
        <v>635</v>
      </c>
      <c r="B11" s="751" t="s">
        <v>1604</v>
      </c>
      <c r="C11" s="270">
        <f ca="1">IF(C1="",'数据-取费表'!P16,INDIRECT("'数据-取费表'!p"&amp;$K$1)+INDIRECT("'数据-取费表'!ar"&amp;$K$1))</f>
        <v>1800</v>
      </c>
      <c r="D11" s="752"/>
      <c r="E11" s="137"/>
      <c r="F11" s="762">
        <f ca="1">1-IF('数据-取费表'!B24=0,1,IF(C1="",'数据-取费表'!N16,INDIRECT("'数据-取费表'!n"&amp;$K$1)))</f>
        <v>0.15000000000000002</v>
      </c>
      <c r="G11" s="5"/>
      <c r="H11" s="747"/>
      <c r="I11" s="747"/>
      <c r="J11" s="747"/>
      <c r="K11" s="748"/>
    </row>
    <row r="12" spans="1:33" s="753" customFormat="1" ht="13.5" customHeight="1">
      <c r="A12" s="750" t="s">
        <v>636</v>
      </c>
      <c r="B12" s="751" t="s">
        <v>1605</v>
      </c>
      <c r="C12" s="21">
        <f ca="1">ROUND(C11*F12,0)</f>
        <v>90</v>
      </c>
      <c r="D12" s="752"/>
      <c r="E12" s="137"/>
      <c r="F12" s="762">
        <f>'数据-取费表'!B33</f>
        <v>0.05</v>
      </c>
      <c r="G12" s="5" t="s">
        <v>1606</v>
      </c>
      <c r="H12" s="747"/>
      <c r="I12" s="747"/>
      <c r="J12" s="747"/>
      <c r="K12" s="748"/>
    </row>
    <row r="13" spans="1:33" s="753" customFormat="1" ht="13.5" customHeight="1">
      <c r="A13" s="750" t="s">
        <v>637</v>
      </c>
      <c r="B13" s="751" t="s">
        <v>1607</v>
      </c>
      <c r="C13" s="21">
        <f ca="1">ROUND(IF(C1="",SUMIF('数据-取费表'!C:C,"住宅",'数据-取费表'!P:P)*F13,IF(INDIRECT("'数据-取费表'!c"&amp;$K$1)="住宅",INDIRECT("'数据-取费表'!P"&amp;$K$1)*F13,0)),0)</f>
        <v>0</v>
      </c>
      <c r="D13" s="794"/>
      <c r="E13" s="137"/>
      <c r="F13" s="762">
        <f>'数据-取费表'!B34</f>
        <v>0</v>
      </c>
      <c r="G13" s="5" t="s">
        <v>1608</v>
      </c>
      <c r="H13" s="747"/>
      <c r="I13" s="747"/>
      <c r="J13" s="747"/>
      <c r="K13" s="748"/>
    </row>
    <row r="14" spans="1:33" s="755" customFormat="1" ht="13.5" customHeight="1">
      <c r="A14" s="750" t="s">
        <v>638</v>
      </c>
      <c r="B14" s="751" t="s">
        <v>1609</v>
      </c>
      <c r="C14" s="21">
        <f ca="1">ROUND(D14*E14*F11/10000,0)</f>
        <v>72</v>
      </c>
      <c r="D14" s="794">
        <f ca="1">IF(C1="",'数据-汇总表'!E3,INDIRECT("'数据-取费表'!K"&amp;$K$1)+INDIRECT("'数据-取费表'!S"&amp;$K$1))</f>
        <v>23997.3</v>
      </c>
      <c r="E14" s="21">
        <f>'数据-取费表'!B35</f>
        <v>200</v>
      </c>
      <c r="F14" s="754"/>
      <c r="G14" s="5" t="s">
        <v>1610</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1611</v>
      </c>
      <c r="C15" s="761">
        <f ca="1">ROUND(C11*F15,0)</f>
        <v>54</v>
      </c>
      <c r="D15" s="756"/>
      <c r="E15" s="761"/>
      <c r="F15" s="762">
        <f>'数据-取费表'!B36</f>
        <v>0.03</v>
      </c>
      <c r="G15" s="122" t="s">
        <v>1612</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1613</v>
      </c>
      <c r="C16" s="761">
        <f ca="1">SUM(C11:C15)</f>
        <v>2016</v>
      </c>
      <c r="D16" s="756"/>
      <c r="E16" s="761"/>
      <c r="F16" s="762"/>
      <c r="G16" s="122"/>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1614</v>
      </c>
      <c r="C17" s="21">
        <f ca="1">ROUND(D17*E17/10000,0)</f>
        <v>0</v>
      </c>
      <c r="D17" s="794">
        <f ca="1">D14</f>
        <v>23997.3</v>
      </c>
      <c r="E17" s="21">
        <f>'数据-取费表'!B32</f>
        <v>0</v>
      </c>
      <c r="F17" s="756"/>
      <c r="G17" s="122" t="s">
        <v>1615</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1616</v>
      </c>
      <c r="C18" s="21">
        <f ca="1">C19+C20-IF(C1="",'数据-取费表'!B29,IF(G18="已全部缴纳",C19+C20,H18))</f>
        <v>0</v>
      </c>
      <c r="D18" s="794"/>
      <c r="E18" s="21"/>
      <c r="F18" s="754"/>
      <c r="G18" s="1718" t="s">
        <v>3846</v>
      </c>
      <c r="H18" s="1104"/>
      <c r="I18" s="1719" t="s">
        <v>1617</v>
      </c>
      <c r="J18" s="757"/>
      <c r="K18" s="758"/>
    </row>
    <row r="19" spans="1:33" s="753" customFormat="1" ht="13.5" customHeight="1">
      <c r="A19" s="750" t="s">
        <v>360</v>
      </c>
      <c r="B19" s="751" t="s">
        <v>1618</v>
      </c>
      <c r="C19" s="21">
        <f ca="1">ROUND(D19*E19/10000,0)</f>
        <v>0</v>
      </c>
      <c r="D19" s="794">
        <f ca="1">IF(C1="",'数据-汇总表'!E5,IF(INDIRECT("'数据-取费表'!c"&amp;$K$1)="住宅",INDIRECT("'数据-取费表'!k"&amp;$K$1),0))</f>
        <v>0</v>
      </c>
      <c r="E19" s="21">
        <f>'数据-取费表'!B27</f>
        <v>160</v>
      </c>
      <c r="F19" s="754"/>
      <c r="G19" s="12"/>
      <c r="H19" s="1106"/>
      <c r="I19" s="759"/>
      <c r="J19" s="759"/>
      <c r="K19" s="760"/>
    </row>
    <row r="20" spans="1:33" s="753" customFormat="1" ht="13.5" customHeight="1">
      <c r="A20" s="750" t="s">
        <v>361</v>
      </c>
      <c r="B20" s="751" t="s">
        <v>1619</v>
      </c>
      <c r="C20" s="21">
        <f ca="1">ROUND(D20*E20/10000,0)</f>
        <v>480</v>
      </c>
      <c r="D20" s="794">
        <f ca="1">IF(C1="",'数据-汇总表'!E6,IF(INDIRECT("'数据-取费表'!c"&amp;$K$1)="住宅",INDIRECT("'数据-取费表'!s"&amp;$K$1),INDIRECT("'数据-取费表'!k"&amp;$K$1)+INDIRECT("'数据-取费表'!s"&amp;$K$1)))</f>
        <v>23997.3</v>
      </c>
      <c r="E20" s="21">
        <f>'数据-取费表'!B28</f>
        <v>200</v>
      </c>
      <c r="F20" s="754"/>
      <c r="G20" s="12"/>
      <c r="H20" s="759"/>
      <c r="I20" s="759"/>
      <c r="J20" s="759"/>
      <c r="K20" s="760"/>
    </row>
    <row r="21" spans="1:33" s="753" customFormat="1" ht="13.5" customHeight="1">
      <c r="A21" s="742" t="s">
        <v>357</v>
      </c>
      <c r="B21" s="763" t="s">
        <v>1620</v>
      </c>
      <c r="C21" s="764">
        <f ca="1">C16+C17+C18</f>
        <v>2016</v>
      </c>
      <c r="D21" s="765"/>
      <c r="E21" s="272"/>
      <c r="F21" s="272"/>
      <c r="G21" s="122" t="s">
        <v>1621</v>
      </c>
      <c r="H21" s="757"/>
      <c r="I21" s="757"/>
      <c r="J21" s="757"/>
      <c r="K21" s="758"/>
    </row>
    <row r="22" spans="1:33" s="753" customFormat="1" ht="13.5" customHeight="1">
      <c r="A22" s="742" t="s">
        <v>1593</v>
      </c>
      <c r="B22" s="763" t="s">
        <v>1622</v>
      </c>
      <c r="C22" s="764">
        <f ca="1">ROUND(C21*F22,0)</f>
        <v>60</v>
      </c>
      <c r="D22" s="272"/>
      <c r="E22" s="272"/>
      <c r="F22" s="766">
        <f>'数据-取费表'!B37</f>
        <v>0.03</v>
      </c>
      <c r="G22" s="5" t="s">
        <v>1623</v>
      </c>
      <c r="H22" s="747"/>
      <c r="I22" s="747"/>
      <c r="J22" s="747"/>
      <c r="K22" s="748"/>
    </row>
    <row r="23" spans="1:33" s="753" customFormat="1" ht="13.5" customHeight="1">
      <c r="A23" s="742" t="s">
        <v>1595</v>
      </c>
      <c r="B23" s="763" t="s">
        <v>1624</v>
      </c>
      <c r="C23" s="764">
        <f ca="1">ROUND(C4*F23*F11,0)</f>
        <v>148</v>
      </c>
      <c r="D23" s="272"/>
      <c r="E23" s="272"/>
      <c r="F23" s="766">
        <f>'数据-取费表'!B38</f>
        <v>0.03</v>
      </c>
      <c r="G23" s="5" t="s">
        <v>1625</v>
      </c>
      <c r="H23" s="747"/>
      <c r="I23" s="747"/>
      <c r="J23" s="747"/>
      <c r="K23" s="748"/>
    </row>
    <row r="24" spans="1:33" s="753" customFormat="1" ht="13.5" customHeight="1">
      <c r="A24" s="742" t="s">
        <v>1626</v>
      </c>
      <c r="B24" s="763" t="s">
        <v>1627</v>
      </c>
      <c r="C24" s="271">
        <f>ROUND(F24/(1+'数据-取费表'!C42),4)</f>
        <v>2.9000000000000001E-2</v>
      </c>
      <c r="D24" s="272" t="s">
        <v>12</v>
      </c>
      <c r="E24" s="272"/>
      <c r="F24" s="766">
        <f>IF(项目基本情况!B8="出让",0,'数据-取费表'!B48+'数据-取费表'!B49)</f>
        <v>3.0499999999999999E-2</v>
      </c>
      <c r="G24" s="5" t="s">
        <v>1628</v>
      </c>
      <c r="H24" s="768"/>
      <c r="I24" s="768"/>
      <c r="J24" s="768"/>
      <c r="K24" s="55"/>
    </row>
    <row r="25" spans="1:33" s="753" customFormat="1" ht="13.5" customHeight="1">
      <c r="A25" s="742" t="s">
        <v>1629</v>
      </c>
      <c r="B25" s="765" t="s">
        <v>1630</v>
      </c>
      <c r="C25" s="1041">
        <f ca="1">C27</f>
        <v>10</v>
      </c>
      <c r="D25" s="271">
        <f ca="1">C26</f>
        <v>9.4999999999999998E-3</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1631</v>
      </c>
      <c r="C26" s="1042">
        <f ca="1">ROUND(IF('数据-取费表'!B22&lt;=1,(1+C24)*F25*'数据-取费表'!B24,(1+C24)*(POWER((1+F25),'数据-取费表'!B24)-1)),4)</f>
        <v>9.4999999999999998E-3</v>
      </c>
      <c r="D26" s="275"/>
      <c r="E26" s="276"/>
      <c r="F26" s="277"/>
      <c r="G26" s="1720"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1632</v>
      </c>
      <c r="C27" s="1043">
        <f ca="1">ROUND(IF('数据-取费表'!B22&lt;=1,(C21+C22+C23)*F25*'数据-取费表'!B24/2,(C21+C22+C23)*(POWER((1+F25),'数据-取费表'!B24/2)-1)),0)</f>
        <v>10</v>
      </c>
      <c r="D27" s="275"/>
      <c r="E27" s="276"/>
      <c r="F27" s="277"/>
      <c r="G27" s="1720" t="str">
        <f>IF('数据-取费表'!B22&lt;=1,"（1）-（3）项×年利率×建设期÷2","（1）-（3）项×((1+年利率)^(建设期÷2)-1)")</f>
        <v>（1）-（3）项×((1+年利率)^(建设期÷2)-1)</v>
      </c>
      <c r="H27" s="757"/>
      <c r="I27" s="757"/>
      <c r="J27" s="757"/>
      <c r="K27" s="758"/>
    </row>
    <row r="28" spans="1:33" s="280" customFormat="1" ht="13.5" customHeight="1">
      <c r="A28" s="742" t="s">
        <v>1633</v>
      </c>
      <c r="B28" s="1721" t="s">
        <v>1634</v>
      </c>
      <c r="C28" s="278">
        <f ca="1">C30</f>
        <v>334</v>
      </c>
      <c r="D28" s="271">
        <f ca="1">C29</f>
        <v>2.3199999999999998E-2</v>
      </c>
      <c r="E28" s="273" t="s">
        <v>12</v>
      </c>
      <c r="F28" s="279">
        <f ca="1">IF(C1="",'数据-取费表'!Q16,INDIRECT("'数据-取费表'!q"&amp;$K$1))</f>
        <v>0.15</v>
      </c>
      <c r="G28" s="767"/>
      <c r="H28" s="768"/>
      <c r="I28" s="768"/>
      <c r="J28" s="768"/>
      <c r="K28" s="55"/>
    </row>
    <row r="29" spans="1:33" s="282" customFormat="1" ht="13.5" customHeight="1">
      <c r="A29" s="750" t="s">
        <v>358</v>
      </c>
      <c r="B29" s="771" t="s">
        <v>1635</v>
      </c>
      <c r="C29" s="275">
        <f ca="1">ROUND((1+C24)*F28*'数据-取费表'!B24/'数据-取费表'!B20,4)</f>
        <v>2.3199999999999998E-2</v>
      </c>
      <c r="D29" s="275"/>
      <c r="E29" s="276"/>
      <c r="F29" s="281"/>
      <c r="G29" s="122" t="s">
        <v>1636</v>
      </c>
      <c r="H29" s="757"/>
      <c r="I29" s="757"/>
      <c r="J29" s="757"/>
      <c r="K29" s="758"/>
    </row>
    <row r="30" spans="1:33" s="282" customFormat="1" ht="13.5" customHeight="1">
      <c r="A30" s="750" t="s">
        <v>359</v>
      </c>
      <c r="B30" s="771" t="s">
        <v>1637</v>
      </c>
      <c r="C30" s="283">
        <f ca="1">ROUND((C21+C22+C23)*F28,0)</f>
        <v>334</v>
      </c>
      <c r="D30" s="275"/>
      <c r="E30" s="276"/>
      <c r="F30" s="281"/>
      <c r="G30" s="122"/>
      <c r="H30" s="757"/>
      <c r="I30" s="757"/>
      <c r="J30" s="757"/>
      <c r="K30" s="758"/>
    </row>
    <row r="31" spans="1:33" s="753" customFormat="1" ht="13.5" customHeight="1" thickBot="1">
      <c r="A31" s="1722" t="s">
        <v>1638</v>
      </c>
      <c r="B31" s="781" t="s">
        <v>1639</v>
      </c>
      <c r="C31" s="782">
        <f ca="1">ROUND(C4*F31/(1+'数据-取费表'!C42),0)</f>
        <v>1726</v>
      </c>
      <c r="D31" s="783"/>
      <c r="E31" s="784"/>
      <c r="F31" s="785">
        <f>'数据-取费表'!B41</f>
        <v>5.5000000000000007E-2</v>
      </c>
      <c r="G31" s="786" t="s">
        <v>1640</v>
      </c>
      <c r="H31" s="787"/>
      <c r="I31" s="787"/>
      <c r="J31" s="787"/>
      <c r="K31" s="788"/>
    </row>
    <row r="32" spans="1:33" s="749" customFormat="1" ht="13.5" customHeight="1" thickBot="1">
      <c r="A32" s="448" t="s">
        <v>1641</v>
      </c>
      <c r="B32" s="777"/>
      <c r="C32" s="778">
        <f ca="1">ROUND((C4-C21-C22-C23-C25-C28-C31)/(1+C24+D25+D28),0)</f>
        <v>26985</v>
      </c>
      <c r="D32" s="777"/>
      <c r="E32" s="777"/>
      <c r="F32" s="777"/>
      <c r="G32" s="779" t="s">
        <v>1642</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871</v>
      </c>
      <c r="B1" s="662"/>
      <c r="C1" s="1285"/>
      <c r="D1" s="1269" t="s">
        <v>43</v>
      </c>
      <c r="E1" s="1270" t="s">
        <v>672</v>
      </c>
      <c r="F1" s="997">
        <f ca="1">J53</f>
        <v>0</v>
      </c>
      <c r="G1" s="1284">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872</v>
      </c>
      <c r="B2" s="3120" t="e">
        <f ca="1">ROUND(D2/10000,4)</f>
        <v>#DIV/0!</v>
      </c>
      <c r="C2" s="1287" t="s">
        <v>873</v>
      </c>
      <c r="D2" s="1373" t="e">
        <f ca="1">C40+J29+L46</f>
        <v>#DIV/0!</v>
      </c>
      <c r="E2" s="1293" t="s">
        <v>874</v>
      </c>
      <c r="F2" s="1294"/>
      <c r="G2" s="2476"/>
      <c r="H2" s="2466"/>
      <c r="I2" s="2466"/>
      <c r="J2" s="2466"/>
      <c r="K2" s="2467"/>
      <c r="L2" s="2466"/>
      <c r="M2" s="2466"/>
    </row>
    <row r="3" spans="1:37" ht="18" customHeight="1" thickBot="1">
      <c r="A3" s="1295" t="s">
        <v>875</v>
      </c>
      <c r="B3" s="1296">
        <f ca="1">IF(ISERROR(D2/F43),0,ROUND(D2/F43,0))</f>
        <v>0</v>
      </c>
      <c r="C3" s="1287" t="s">
        <v>876</v>
      </c>
      <c r="D3" s="1287"/>
      <c r="E3" s="1293"/>
      <c r="F3" s="1294"/>
      <c r="G3" s="2476"/>
      <c r="H3" s="648" t="s">
        <v>870</v>
      </c>
      <c r="I3" s="1288"/>
      <c r="J3" s="1288"/>
      <c r="K3" s="1289"/>
      <c r="L3" s="1288"/>
      <c r="M3" s="1288"/>
    </row>
    <row r="4" spans="1:37" ht="18" customHeight="1">
      <c r="A4" s="286" t="s">
        <v>877</v>
      </c>
      <c r="B4" s="287" t="s">
        <v>878</v>
      </c>
      <c r="C4" s="287" t="s">
        <v>879</v>
      </c>
      <c r="D4" s="287" t="s">
        <v>880</v>
      </c>
      <c r="E4" s="288" t="s">
        <v>881</v>
      </c>
      <c r="F4" s="289"/>
      <c r="G4" s="1290"/>
      <c r="H4" s="286" t="s">
        <v>877</v>
      </c>
      <c r="I4" s="287" t="s">
        <v>878</v>
      </c>
      <c r="J4" s="287" t="s">
        <v>879</v>
      </c>
      <c r="K4" s="287" t="s">
        <v>880</v>
      </c>
      <c r="L4" s="288" t="s">
        <v>881</v>
      </c>
      <c r="M4" s="289"/>
    </row>
    <row r="5" spans="1:37" ht="18" customHeight="1">
      <c r="A5" s="290">
        <v>1</v>
      </c>
      <c r="B5" s="291" t="s">
        <v>882</v>
      </c>
      <c r="C5" s="1005">
        <f ca="1">C6+C10+C12</f>
        <v>0</v>
      </c>
      <c r="D5" s="1271" t="s">
        <v>883</v>
      </c>
      <c r="E5" s="1006"/>
      <c r="F5" s="1007"/>
      <c r="G5" s="1290"/>
      <c r="H5" s="290">
        <v>1</v>
      </c>
      <c r="I5" s="291" t="s">
        <v>882</v>
      </c>
      <c r="J5" s="1005">
        <f ca="1">J6+J10+J12</f>
        <v>0</v>
      </c>
      <c r="K5" s="1271" t="s">
        <v>883</v>
      </c>
      <c r="L5" s="1006"/>
      <c r="M5" s="1007"/>
    </row>
    <row r="6" spans="1:37" ht="18" customHeight="1">
      <c r="A6" s="1004" t="s">
        <v>398</v>
      </c>
      <c r="B6" s="3488" t="s">
        <v>688</v>
      </c>
      <c r="C6" s="1009">
        <f ca="1">ROUND(F6*F8*F7*(1-F9),0)</f>
        <v>0</v>
      </c>
      <c r="D6" s="146" t="s">
        <v>2096</v>
      </c>
      <c r="E6" s="293" t="s">
        <v>690</v>
      </c>
      <c r="F6" s="294">
        <f ca="1">INDIRECT("'数据-取费表'!u"&amp;$G$1)</f>
        <v>0</v>
      </c>
      <c r="G6" s="1290"/>
      <c r="H6" s="1004" t="s">
        <v>398</v>
      </c>
      <c r="I6" s="3488" t="s">
        <v>688</v>
      </c>
      <c r="J6" s="292">
        <f ca="1">ROUND(M6*M8*M7*(1-M9),0)</f>
        <v>0</v>
      </c>
      <c r="K6" s="1282" t="s">
        <v>2097</v>
      </c>
      <c r="L6" s="293" t="s">
        <v>690</v>
      </c>
      <c r="M6" s="294">
        <f ca="1">INDIRECT("'数据-取费表'!z"&amp;$G$1)</f>
        <v>0</v>
      </c>
    </row>
    <row r="7" spans="1:37" ht="18" customHeight="1">
      <c r="A7" s="1008"/>
      <c r="B7" s="3489"/>
      <c r="C7" s="1010"/>
      <c r="D7" s="298"/>
      <c r="E7" s="1011" t="s">
        <v>691</v>
      </c>
      <c r="F7" s="294">
        <f ca="1">IF(INDIRECT("'数据-取费表'!ah"&amp;$G$1)="",INDIRECT("'数据-取费表'!k"&amp;$G$1),INDIRECT("'数据-取费表'!ah"&amp;$G$1))</f>
        <v>0</v>
      </c>
      <c r="G7" s="1290"/>
      <c r="H7" s="295"/>
      <c r="I7" s="3489"/>
      <c r="J7" s="297"/>
      <c r="K7" s="298"/>
      <c r="L7" s="293" t="s">
        <v>691</v>
      </c>
      <c r="M7" s="294">
        <f ca="1">F7</f>
        <v>0</v>
      </c>
    </row>
    <row r="8" spans="1:37" ht="18" customHeight="1">
      <c r="A8" s="295"/>
      <c r="B8" s="3489"/>
      <c r="C8" s="297"/>
      <c r="D8" s="298"/>
      <c r="E8" s="293" t="s">
        <v>692</v>
      </c>
      <c r="F8" s="294">
        <f ca="1">INDIRECT("'数据-取费表'!ai"&amp;$G$1)</f>
        <v>0</v>
      </c>
      <c r="G8" s="1290"/>
      <c r="H8" s="295"/>
      <c r="I8" s="3489"/>
      <c r="J8" s="297"/>
      <c r="K8" s="298"/>
      <c r="L8" s="293" t="s">
        <v>692</v>
      </c>
      <c r="M8" s="294">
        <f ca="1">INDIRECT("'数据-取费表'!ai"&amp;$G$1)</f>
        <v>0</v>
      </c>
    </row>
    <row r="9" spans="1:37" ht="18" customHeight="1">
      <c r="A9" s="295"/>
      <c r="B9" s="3490"/>
      <c r="C9" s="297"/>
      <c r="D9" s="298"/>
      <c r="E9" s="293" t="s">
        <v>693</v>
      </c>
      <c r="F9" s="303">
        <f ca="1">INDIRECT("'数据-取费表'!w"&amp;$G$1)</f>
        <v>0</v>
      </c>
      <c r="G9" s="1290"/>
      <c r="H9" s="295"/>
      <c r="I9" s="3490"/>
      <c r="J9" s="297"/>
      <c r="K9" s="298"/>
      <c r="L9" s="304" t="s">
        <v>693</v>
      </c>
      <c r="M9" s="305">
        <f ca="1">INDIRECT("'数据-取费表'!ab"&amp;$G$1)</f>
        <v>0</v>
      </c>
    </row>
    <row r="10" spans="1:37" ht="18" customHeight="1">
      <c r="A10" s="1004" t="s">
        <v>402</v>
      </c>
      <c r="B10" s="1272" t="s">
        <v>694</v>
      </c>
      <c r="C10" s="307">
        <f ca="1">ROUND(IF(F10="押一",C6/12*F11,IF(F10="押二",C6/12*2*F11,IF(F10="押三",C6/12*3*F11,C11*F11))),0)</f>
        <v>0</v>
      </c>
      <c r="D10" s="149" t="s">
        <v>2106</v>
      </c>
      <c r="E10" s="304" t="s">
        <v>695</v>
      </c>
      <c r="F10" s="1051"/>
      <c r="G10" s="1290"/>
      <c r="H10" s="1004" t="s">
        <v>402</v>
      </c>
      <c r="I10" s="1272" t="s">
        <v>694</v>
      </c>
      <c r="J10" s="292">
        <f ca="1">ROUND(IF(M10="押一",J6/12*M11,IF(M10="押二",J6/12*2*M11,IF(M10="押三",J6/12*3*M11,J11*M11))),0)</f>
        <v>0</v>
      </c>
      <c r="K10" s="1283" t="s">
        <v>2108</v>
      </c>
      <c r="L10" s="304" t="s">
        <v>695</v>
      </c>
      <c r="M10" s="1051"/>
    </row>
    <row r="11" spans="1:37" ht="18" customHeight="1">
      <c r="A11" s="299"/>
      <c r="B11" s="1273" t="s">
        <v>884</v>
      </c>
      <c r="C11" s="903"/>
      <c r="D11" s="298"/>
      <c r="E11" s="304" t="s">
        <v>696</v>
      </c>
      <c r="F11" s="305">
        <f ca="1">'数据-取费表'!B39</f>
        <v>1.4999999999999999E-2</v>
      </c>
      <c r="G11" s="1290"/>
      <c r="H11" s="1012"/>
      <c r="I11" s="1273" t="s">
        <v>885</v>
      </c>
      <c r="J11" s="903"/>
      <c r="K11" s="645"/>
      <c r="L11" s="304" t="s">
        <v>696</v>
      </c>
      <c r="M11" s="807">
        <f ca="1">'数据-取费表'!B39</f>
        <v>1.4999999999999999E-2</v>
      </c>
    </row>
    <row r="12" spans="1:37" ht="18" customHeight="1" thickBot="1">
      <c r="A12" s="1018" t="s">
        <v>437</v>
      </c>
      <c r="B12" s="1275" t="s">
        <v>697</v>
      </c>
      <c r="C12" s="1019"/>
      <c r="D12" s="1020"/>
      <c r="E12" s="1025"/>
      <c r="F12" s="1021"/>
      <c r="G12" s="1290"/>
      <c r="H12" s="1018" t="s">
        <v>437</v>
      </c>
      <c r="I12" s="1275" t="s">
        <v>697</v>
      </c>
      <c r="J12" s="1019"/>
      <c r="K12" s="1033"/>
      <c r="L12" s="1025"/>
      <c r="M12" s="1034"/>
    </row>
    <row r="13" spans="1:37" ht="18" customHeight="1" thickTop="1">
      <c r="A13" s="1014">
        <v>2</v>
      </c>
      <c r="B13" s="1015" t="s">
        <v>698</v>
      </c>
      <c r="C13" s="301">
        <f ca="1">ROUND(C29*F13,0)</f>
        <v>0</v>
      </c>
      <c r="D13" s="1016" t="s">
        <v>699</v>
      </c>
      <c r="E13" s="1016" t="s">
        <v>700</v>
      </c>
      <c r="F13" s="1017">
        <f ca="1">INDIRECT("'数据-取费表'!y"&amp;$G$1)</f>
        <v>0</v>
      </c>
      <c r="G13" s="1290"/>
      <c r="H13" s="1014">
        <v>2</v>
      </c>
      <c r="I13" s="1015" t="s">
        <v>698</v>
      </c>
      <c r="J13" s="1003">
        <f ca="1">ROUND(J14*J15,0)</f>
        <v>0</v>
      </c>
      <c r="K13" s="1022" t="s">
        <v>699</v>
      </c>
      <c r="L13" s="1297"/>
      <c r="M13" s="1298"/>
    </row>
    <row r="14" spans="1:37" ht="18" customHeight="1">
      <c r="A14" s="926" t="s">
        <v>397</v>
      </c>
      <c r="B14" s="293" t="s">
        <v>701</v>
      </c>
      <c r="C14" s="309">
        <f ca="1">ROUND(INDIRECT("'数据-取费表'!l"&amp;$G$1)*F43+'数据-取费表'!L14*INDIRECT("'数据-取费表'!S"&amp;$G$1),0)</f>
        <v>0</v>
      </c>
      <c r="D14" s="1255" t="s">
        <v>702</v>
      </c>
      <c r="E14" s="1253"/>
      <c r="F14" s="310"/>
      <c r="G14" s="1290"/>
      <c r="H14" s="926" t="s">
        <v>398</v>
      </c>
      <c r="I14" s="293" t="s">
        <v>703</v>
      </c>
      <c r="J14" s="21">
        <f ca="1">C29</f>
        <v>0</v>
      </c>
      <c r="K14" s="12"/>
      <c r="L14" s="757"/>
      <c r="M14" s="758"/>
    </row>
    <row r="15" spans="1:37" s="1302" customFormat="1" ht="18" customHeight="1" thickBot="1">
      <c r="A15" s="926" t="s">
        <v>399</v>
      </c>
      <c r="B15" s="293" t="s">
        <v>704</v>
      </c>
      <c r="C15" s="21">
        <f ca="1">ROUND(C14*F15,0)</f>
        <v>0</v>
      </c>
      <c r="D15" s="311" t="s">
        <v>705</v>
      </c>
      <c r="E15" s="311" t="s">
        <v>706</v>
      </c>
      <c r="F15" s="312">
        <f>'数据-取费表'!B33</f>
        <v>0.05</v>
      </c>
      <c r="G15" s="1301"/>
      <c r="H15" s="1024" t="s">
        <v>402</v>
      </c>
      <c r="I15" s="1025" t="s">
        <v>700</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674</v>
      </c>
      <c r="B16" s="293" t="s">
        <v>707</v>
      </c>
      <c r="C16" s="21">
        <f ca="1">ROUND(INDIRECT("'数据-取费表'!l"&amp;$G$1)*F43*F16,0)</f>
        <v>0</v>
      </c>
      <c r="D16" s="293" t="s">
        <v>705</v>
      </c>
      <c r="E16" s="293" t="s">
        <v>706</v>
      </c>
      <c r="F16" s="313">
        <f ca="1">IF(INDIRECT("'数据-取费表'!c"&amp;$G$1)="住宅",'数据-取费表'!B34,0)</f>
        <v>0</v>
      </c>
      <c r="G16" s="1290"/>
      <c r="H16" s="1014" t="s">
        <v>393</v>
      </c>
      <c r="I16" s="1015" t="s">
        <v>708</v>
      </c>
      <c r="J16" s="301">
        <f ca="1">ROUND(J17+J22+J23+J24,0)</f>
        <v>0</v>
      </c>
      <c r="K16" s="1022" t="s">
        <v>709</v>
      </c>
      <c r="L16" s="1023"/>
      <c r="M16" s="1007"/>
    </row>
    <row r="17" spans="1:37" s="1302" customFormat="1" ht="18" customHeight="1">
      <c r="A17" s="926" t="s">
        <v>675</v>
      </c>
      <c r="B17" s="293" t="s">
        <v>710</v>
      </c>
      <c r="C17" s="21">
        <f ca="1">ROUND(F17*(F43+INDIRECT("'数据-取费表'!S"&amp;$G$1)),0)</f>
        <v>0</v>
      </c>
      <c r="D17" s="293" t="s">
        <v>711</v>
      </c>
      <c r="E17" s="293" t="s">
        <v>712</v>
      </c>
      <c r="F17" s="23">
        <f>'数据-取费表'!B35</f>
        <v>200</v>
      </c>
      <c r="G17" s="1301"/>
      <c r="H17" s="926" t="s">
        <v>398</v>
      </c>
      <c r="I17" s="293" t="s">
        <v>713</v>
      </c>
      <c r="J17" s="2138">
        <f ca="1">ROUND(IF(AND(项目基本情况!B11="自然人",项目基本情况!B10="北京市"),J6*M17/(1+'数据-取费表'!C42),J18+J19+J20),0)</f>
        <v>0</v>
      </c>
      <c r="K17" s="1255" t="s">
        <v>714</v>
      </c>
      <c r="L17" s="1254" t="s">
        <v>715</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676</v>
      </c>
      <c r="B18" s="293" t="s">
        <v>716</v>
      </c>
      <c r="C18" s="21">
        <f ca="1">ROUND(C14*F18,0)</f>
        <v>0</v>
      </c>
      <c r="D18" s="293" t="s">
        <v>705</v>
      </c>
      <c r="E18" s="293" t="s">
        <v>706</v>
      </c>
      <c r="F18" s="313">
        <f>'数据-取费表'!B36</f>
        <v>0.03</v>
      </c>
      <c r="G18" s="1301"/>
      <c r="H18" s="926" t="s">
        <v>397</v>
      </c>
      <c r="I18" s="293" t="s">
        <v>717</v>
      </c>
      <c r="J18" s="21">
        <f ca="1">ROUND(J6*M18/(1+'数据-取费表'!C42),0)</f>
        <v>0</v>
      </c>
      <c r="K18" s="1254" t="s">
        <v>718</v>
      </c>
      <c r="L18" s="293" t="s">
        <v>706</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3" t="s">
        <v>719</v>
      </c>
      <c r="C19" s="21">
        <f ca="1">SUM(C14:C18)</f>
        <v>0</v>
      </c>
      <c r="D19" s="122" t="s">
        <v>720</v>
      </c>
      <c r="E19" s="1267"/>
      <c r="F19" s="23"/>
      <c r="G19" s="1290"/>
      <c r="H19" s="926" t="s">
        <v>399</v>
      </c>
      <c r="I19" s="293" t="s">
        <v>721</v>
      </c>
      <c r="J19" s="21">
        <f ca="1">IF(K19="按租金收入计税",ROUND(J6*M19/(1+'数据-取费表'!C42),0),ROUND(C29*M19*0.7,0))</f>
        <v>0</v>
      </c>
      <c r="K19" s="1276" t="s">
        <v>3323</v>
      </c>
      <c r="L19" s="293" t="s">
        <v>706</v>
      </c>
      <c r="M19" s="313">
        <f>IF(K19="按租金收入计税",'数据-取费表'!B51,'数据-取费表'!B50)</f>
        <v>0.12</v>
      </c>
    </row>
    <row r="20" spans="1:37" s="1302" customFormat="1" ht="18" customHeight="1">
      <c r="A20" s="926" t="s">
        <v>402</v>
      </c>
      <c r="B20" s="293" t="s">
        <v>722</v>
      </c>
      <c r="C20" s="21">
        <f ca="1">ROUND(C19*F20,0)</f>
        <v>0</v>
      </c>
      <c r="D20" s="314" t="s">
        <v>723</v>
      </c>
      <c r="E20" s="293" t="s">
        <v>706</v>
      </c>
      <c r="F20" s="313">
        <f>'数据-取费表'!B37</f>
        <v>0.03</v>
      </c>
      <c r="G20" s="1301"/>
      <c r="H20" s="926" t="s">
        <v>674</v>
      </c>
      <c r="I20" s="146" t="s">
        <v>724</v>
      </c>
      <c r="J20" s="22">
        <f ca="1">ROUND(M20*M21,0)</f>
        <v>0</v>
      </c>
      <c r="K20" s="315" t="s">
        <v>725</v>
      </c>
      <c r="L20" s="293" t="s">
        <v>726</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3" t="s">
        <v>727</v>
      </c>
      <c r="C21" s="21" t="s">
        <v>0</v>
      </c>
      <c r="D21" s="314" t="s">
        <v>728</v>
      </c>
      <c r="E21" s="293" t="s">
        <v>729</v>
      </c>
      <c r="F21" s="313">
        <f>'数据-取费表'!B38</f>
        <v>0.03</v>
      </c>
      <c r="G21" s="1301"/>
      <c r="H21" s="317"/>
      <c r="I21" s="302"/>
      <c r="J21" s="26"/>
      <c r="K21" s="318"/>
      <c r="L21" s="293" t="s">
        <v>730</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677</v>
      </c>
      <c r="B22" s="293" t="s">
        <v>731</v>
      </c>
      <c r="C22" s="21"/>
      <c r="D22" s="122" t="str">
        <f>IF(F23&lt;=1,"单利计息。","复利计息。")&amp;"建造成本、管理费用、销售费用产生的利息。"</f>
        <v>复利计息。建造成本、管理费用、销售费用产生的利息。</v>
      </c>
      <c r="E22" s="1267"/>
      <c r="F22" s="23"/>
      <c r="G22" s="1290"/>
      <c r="H22" s="926" t="s">
        <v>402</v>
      </c>
      <c r="I22" s="293" t="s">
        <v>732</v>
      </c>
      <c r="J22" s="21">
        <f ca="1">ROUND(J14*M22,0)</f>
        <v>0</v>
      </c>
      <c r="K22" s="1254" t="s">
        <v>733</v>
      </c>
      <c r="L22" s="293" t="s">
        <v>706</v>
      </c>
      <c r="M22" s="319">
        <f ca="1">INDIRECT("'数据-取费表'!Ak"&amp;$G$1)</f>
        <v>0</v>
      </c>
    </row>
    <row r="23" spans="1:37" s="1302" customFormat="1" ht="18" customHeight="1">
      <c r="A23" s="926" t="s">
        <v>397</v>
      </c>
      <c r="B23" s="293" t="s">
        <v>734</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735</v>
      </c>
      <c r="F23" s="316">
        <f>'数据-取费表'!B20</f>
        <v>2</v>
      </c>
      <c r="G23" s="1301"/>
      <c r="H23" s="926" t="s">
        <v>437</v>
      </c>
      <c r="I23" s="293" t="s">
        <v>736</v>
      </c>
      <c r="J23" s="21">
        <f ca="1">ROUND(J13*M23,0)</f>
        <v>0</v>
      </c>
      <c r="K23" s="1254" t="s">
        <v>737</v>
      </c>
      <c r="L23" s="293" t="s">
        <v>738</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739</v>
      </c>
      <c r="B24" s="293" t="s">
        <v>740</v>
      </c>
      <c r="C24" s="21">
        <f ca="1">ROUND(IF('数据-取费表'!B22&lt;=1,F21*F24*F23/2,F21*(POWER((1+F24),F23/2)-1)),4)</f>
        <v>8.9999999999999998E-4</v>
      </c>
      <c r="D24" s="137" t="str">
        <f>IF(F23&lt;=1,"销售费用×利率×(建设周期÷2)","销售费用×((1+利率)^(建设周期÷2)-1)")</f>
        <v>销售费用×((1+利率)^(建设周期÷2)-1)</v>
      </c>
      <c r="E24" s="293" t="s">
        <v>741</v>
      </c>
      <c r="F24" s="321">
        <f ca="1">'数据-取费表'!B40</f>
        <v>3.1E-2</v>
      </c>
      <c r="G24" s="1301"/>
      <c r="H24" s="1024" t="s">
        <v>678</v>
      </c>
      <c r="I24" s="1025" t="s">
        <v>722</v>
      </c>
      <c r="J24" s="1026">
        <f ca="1">ROUND(J5*M24,0)</f>
        <v>0</v>
      </c>
      <c r="K24" s="1027" t="s">
        <v>742</v>
      </c>
      <c r="L24" s="1025" t="s">
        <v>738</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743</v>
      </c>
      <c r="B25" s="293" t="s">
        <v>744</v>
      </c>
      <c r="C25" s="21"/>
      <c r="D25" s="122" t="s">
        <v>745</v>
      </c>
      <c r="E25" s="1267"/>
      <c r="F25" s="23"/>
      <c r="G25" s="1290"/>
      <c r="H25" s="1014" t="s">
        <v>394</v>
      </c>
      <c r="I25" s="1029" t="s">
        <v>746</v>
      </c>
      <c r="J25" s="301">
        <f ca="1">J5-J16</f>
        <v>0</v>
      </c>
      <c r="K25" s="1030" t="s">
        <v>747</v>
      </c>
      <c r="L25" s="1031"/>
      <c r="M25" s="1032"/>
    </row>
    <row r="26" spans="1:37" ht="18" customHeight="1">
      <c r="A26" s="926" t="s">
        <v>397</v>
      </c>
      <c r="B26" s="293" t="s">
        <v>748</v>
      </c>
      <c r="C26" s="21">
        <f ca="1">ROUND((C19+C20)*F26,0)</f>
        <v>0</v>
      </c>
      <c r="D26" s="314" t="s">
        <v>749</v>
      </c>
      <c r="E26" s="304" t="s">
        <v>750</v>
      </c>
      <c r="F26" s="303">
        <f ca="1">INDIRECT("'数据-取费表'!q"&amp;$G$1)</f>
        <v>0</v>
      </c>
      <c r="G26" s="1290"/>
      <c r="H26" s="290" t="s">
        <v>395</v>
      </c>
      <c r="I26" s="291" t="s">
        <v>751</v>
      </c>
      <c r="J26" s="292">
        <f ca="1">IF(J5&lt;&gt;0,ROUND(J25*(1-((1+M28)/(1+M26))^M27)/(M26-M28),0),0)</f>
        <v>0</v>
      </c>
      <c r="K26" s="315" t="s">
        <v>752</v>
      </c>
      <c r="L26" s="293" t="s">
        <v>753</v>
      </c>
      <c r="M26" s="303">
        <f ca="1">INDIRECT("'数据-取费表'!I"&amp;$G$1)</f>
        <v>0</v>
      </c>
    </row>
    <row r="27" spans="1:37" ht="18" customHeight="1">
      <c r="A27" s="926" t="s">
        <v>399</v>
      </c>
      <c r="B27" s="293" t="s">
        <v>754</v>
      </c>
      <c r="C27" s="21">
        <f ca="1">ROUND(F21*F26,4)</f>
        <v>0</v>
      </c>
      <c r="D27" s="314" t="s">
        <v>755</v>
      </c>
      <c r="E27" s="311"/>
      <c r="F27" s="312"/>
      <c r="G27" s="1290"/>
      <c r="H27" s="295"/>
      <c r="I27" s="296"/>
      <c r="J27" s="297"/>
      <c r="K27" s="322" t="s">
        <v>756</v>
      </c>
      <c r="L27" s="293" t="s">
        <v>757</v>
      </c>
      <c r="M27" s="323">
        <f ca="1">INDIRECT("'数据-取费表'!ag"&amp;$G$1)</f>
        <v>0</v>
      </c>
    </row>
    <row r="28" spans="1:37" s="1302" customFormat="1" ht="18" customHeight="1">
      <c r="A28" s="926" t="s">
        <v>400</v>
      </c>
      <c r="B28" s="293" t="s">
        <v>758</v>
      </c>
      <c r="C28" s="21">
        <f>ROUND(F28/(1+'数据-取费表'!C42),4)</f>
        <v>5.2400000000000002E-2</v>
      </c>
      <c r="D28" s="314" t="s">
        <v>759</v>
      </c>
      <c r="E28" s="293" t="s">
        <v>706</v>
      </c>
      <c r="F28" s="313">
        <f>'数据-取费表'!B41</f>
        <v>5.5000000000000007E-2</v>
      </c>
      <c r="G28" s="1301"/>
      <c r="H28" s="299"/>
      <c r="I28" s="300"/>
      <c r="J28" s="301"/>
      <c r="K28" s="318"/>
      <c r="L28" s="293" t="s">
        <v>760</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761</v>
      </c>
      <c r="C29" s="1026">
        <f ca="1">ROUND((C19+C20+C23+C26)/(1-F21-C24-C27-C28),0)</f>
        <v>0</v>
      </c>
      <c r="D29" s="1027"/>
      <c r="E29" s="1025"/>
      <c r="F29" s="1028"/>
      <c r="G29" s="1301"/>
      <c r="H29" s="324" t="s">
        <v>396</v>
      </c>
      <c r="I29" s="325" t="s">
        <v>762</v>
      </c>
      <c r="J29" s="326">
        <f ca="1">ROUND(J26/(1+F40)^F41,0)</f>
        <v>0</v>
      </c>
      <c r="K29" s="327" t="s">
        <v>763</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708</v>
      </c>
      <c r="C30" s="301">
        <f ca="1">ROUND(C31+C36+C37+C38,0)</f>
        <v>0</v>
      </c>
      <c r="D30" s="1022" t="s">
        <v>709</v>
      </c>
      <c r="E30" s="1023"/>
      <c r="F30" s="1007"/>
      <c r="G30" s="1290"/>
      <c r="H30" s="2468"/>
      <c r="I30" s="1303"/>
      <c r="J30" s="1304"/>
      <c r="K30" s="120"/>
      <c r="L30" s="2469"/>
      <c r="M30" s="2470"/>
    </row>
    <row r="31" spans="1:37" ht="18" customHeight="1">
      <c r="A31" s="926" t="s">
        <v>398</v>
      </c>
      <c r="B31" s="293" t="s">
        <v>713</v>
      </c>
      <c r="C31" s="2138">
        <f ca="1">ROUND(IF(AND(项目基本情况!B11="自然人",项目基本情况!B10="北京市"),C6*F31/(1+'数据-取费表'!C42),C32+C33+C34),0)</f>
        <v>0</v>
      </c>
      <c r="D31" s="1255" t="s">
        <v>714</v>
      </c>
      <c r="E31" s="1254" t="s">
        <v>764</v>
      </c>
      <c r="F31" s="2137" t="str">
        <f>IF(项目基本情况!B11="企业","——",IF(M47="住宅",IF(F6*F7*F8/12/(1+'数据-取费表'!F30)&gt;100000,4%,2.5%),IF(F6*F7*F8/12/(1+'数据-取费表'!F30)&gt;100000,12%,7%)))</f>
        <v>——</v>
      </c>
      <c r="G31" s="1290"/>
      <c r="H31" s="2567" t="s">
        <v>2296</v>
      </c>
      <c r="I31" s="1303"/>
      <c r="J31" s="1304"/>
      <c r="K31" s="120"/>
      <c r="L31" s="2469"/>
      <c r="M31" s="2470"/>
    </row>
    <row r="32" spans="1:37" ht="18" customHeight="1">
      <c r="A32" s="926" t="s">
        <v>397</v>
      </c>
      <c r="B32" s="293" t="s">
        <v>717</v>
      </c>
      <c r="C32" s="21">
        <f ca="1">IF(项目基本情况!B11="自然人","——",ROUND(C6*F32/(1+'数据-取费表'!C42),0))</f>
        <v>0</v>
      </c>
      <c r="D32" s="1254" t="s">
        <v>718</v>
      </c>
      <c r="E32" s="293" t="s">
        <v>706</v>
      </c>
      <c r="F32" s="321">
        <f>'数据-取费表'!B41</f>
        <v>5.5000000000000007E-2</v>
      </c>
      <c r="G32" s="1290"/>
      <c r="H32" s="2468"/>
      <c r="I32" s="1303"/>
      <c r="J32" s="1304"/>
      <c r="K32" s="120"/>
      <c r="L32" s="2469"/>
      <c r="M32" s="2470"/>
    </row>
    <row r="33" spans="1:18" ht="18" customHeight="1">
      <c r="A33" s="926" t="s">
        <v>399</v>
      </c>
      <c r="B33" s="293" t="s">
        <v>721</v>
      </c>
      <c r="C33" s="21">
        <f ca="1">IF(项目基本情况!B11="自然人","——",IF(D33="按租金收入计税",ROUND(C6*F33/(1+'数据-取费表'!C42),0),IF(D33="按房产原值计税",ROUND(C29*F33*0.7,0),INDIRECT("'数据-取费表'!Aj"&amp;$G$1))))</f>
        <v>0</v>
      </c>
      <c r="D33" s="1276" t="s">
        <v>3323</v>
      </c>
      <c r="E33" s="293" t="s">
        <v>706</v>
      </c>
      <c r="F33" s="313">
        <f>IF(D33="按票据","——",IF(D33="按租金收入计税",'数据-取费表'!B51,'数据-取费表'!B50))</f>
        <v>0.12</v>
      </c>
      <c r="G33" s="1290"/>
      <c r="H33" s="2471"/>
      <c r="I33" s="1303"/>
      <c r="J33" s="1304"/>
      <c r="K33" s="2472"/>
      <c r="L33" s="2471"/>
      <c r="M33" s="2471"/>
    </row>
    <row r="34" spans="1:18" ht="18" customHeight="1">
      <c r="A34" s="1004" t="s">
        <v>674</v>
      </c>
      <c r="B34" s="146" t="s">
        <v>724</v>
      </c>
      <c r="C34" s="22">
        <f ca="1">IF(项目基本情况!B11="自然人","——",ROUND(F34*F35,0))</f>
        <v>0</v>
      </c>
      <c r="D34" s="315" t="s">
        <v>725</v>
      </c>
      <c r="E34" s="293" t="s">
        <v>726</v>
      </c>
      <c r="F34" s="316">
        <f>'数据-取费表'!B52</f>
        <v>1.5</v>
      </c>
      <c r="G34" s="1290"/>
      <c r="H34" s="2468"/>
      <c r="I34" s="1303"/>
      <c r="J34" s="1304"/>
      <c r="K34" s="2473"/>
      <c r="L34" s="2474"/>
      <c r="M34" s="2474"/>
    </row>
    <row r="35" spans="1:18" ht="18" customHeight="1">
      <c r="A35" s="1038"/>
      <c r="B35" s="1036"/>
      <c r="C35" s="26"/>
      <c r="D35" s="318"/>
      <c r="E35" s="293" t="s">
        <v>730</v>
      </c>
      <c r="F35" s="294">
        <f ca="1">INDIRECT("'数据-取费表'!r"&amp;$G$1)</f>
        <v>0</v>
      </c>
      <c r="G35" s="1290"/>
      <c r="H35" s="2468"/>
      <c r="I35" s="1303"/>
      <c r="J35" s="1304"/>
      <c r="K35" s="2472"/>
      <c r="L35" s="2471"/>
      <c r="M35" s="2471"/>
    </row>
    <row r="36" spans="1:18" ht="18" customHeight="1">
      <c r="A36" s="1037" t="s">
        <v>402</v>
      </c>
      <c r="B36" s="293" t="s">
        <v>732</v>
      </c>
      <c r="C36" s="21">
        <f ca="1">ROUND(C29*F36,0)</f>
        <v>0</v>
      </c>
      <c r="D36" s="1254" t="s">
        <v>765</v>
      </c>
      <c r="E36" s="293" t="s">
        <v>706</v>
      </c>
      <c r="F36" s="319">
        <f ca="1">INDIRECT("'数据-取费表'!Ak"&amp;$G$1)</f>
        <v>0</v>
      </c>
      <c r="G36" s="1290"/>
      <c r="H36" s="2471"/>
      <c r="I36" s="1303"/>
      <c r="J36" s="1304"/>
      <c r="K36" s="2328"/>
      <c r="L36" s="2471"/>
      <c r="M36" s="2471"/>
    </row>
    <row r="37" spans="1:18" ht="18" customHeight="1">
      <c r="A37" s="926" t="s">
        <v>437</v>
      </c>
      <c r="B37" s="293" t="s">
        <v>736</v>
      </c>
      <c r="C37" s="21">
        <f ca="1">ROUND(C13*F37,0)</f>
        <v>0</v>
      </c>
      <c r="D37" s="1254" t="s">
        <v>737</v>
      </c>
      <c r="E37" s="293" t="s">
        <v>738</v>
      </c>
      <c r="F37" s="320">
        <f ca="1">INDIRECT("'数据-取费表'!Al"&amp;$G$1)</f>
        <v>0</v>
      </c>
      <c r="G37" s="1290"/>
      <c r="H37" s="2471"/>
      <c r="I37" s="1303"/>
      <c r="J37" s="1304"/>
      <c r="K37" s="2328"/>
      <c r="L37" s="2471"/>
      <c r="M37" s="2471"/>
    </row>
    <row r="38" spans="1:18" ht="18" customHeight="1" thickBot="1">
      <c r="A38" s="1024" t="s">
        <v>678</v>
      </c>
      <c r="B38" s="1025" t="s">
        <v>722</v>
      </c>
      <c r="C38" s="1026">
        <f ca="1">ROUND(C5*F38,0)</f>
        <v>0</v>
      </c>
      <c r="D38" s="1027" t="s">
        <v>742</v>
      </c>
      <c r="E38" s="1025" t="s">
        <v>738</v>
      </c>
      <c r="F38" s="1021">
        <f ca="1">INDIRECT("'数据-取费表'!Am"&amp;$G$1)</f>
        <v>0</v>
      </c>
      <c r="G38" s="1290"/>
      <c r="H38" s="2471"/>
      <c r="I38" s="1303"/>
      <c r="J38" s="1304"/>
      <c r="K38" s="2469"/>
      <c r="L38" s="2471"/>
      <c r="M38" s="2471"/>
    </row>
    <row r="39" spans="1:18" ht="24.6" customHeight="1" thickTop="1">
      <c r="A39" s="1014" t="s">
        <v>394</v>
      </c>
      <c r="B39" s="1029" t="s">
        <v>766</v>
      </c>
      <c r="C39" s="301">
        <f ca="1">C5-C30</f>
        <v>0</v>
      </c>
      <c r="D39" s="1030" t="s">
        <v>767</v>
      </c>
      <c r="E39" s="1031"/>
      <c r="F39" s="1032"/>
      <c r="G39" s="1290"/>
      <c r="H39" s="2471"/>
      <c r="I39" s="1303"/>
      <c r="J39" s="1304"/>
      <c r="K39" s="2469"/>
      <c r="L39" s="2471"/>
      <c r="M39" s="2471"/>
    </row>
    <row r="40" spans="1:18" ht="18" customHeight="1">
      <c r="A40" s="290" t="s">
        <v>395</v>
      </c>
      <c r="B40" s="291" t="s">
        <v>768</v>
      </c>
      <c r="C40" s="292" t="e">
        <f ca="1">ROUND(C39*(1-((1+F42)/(1+F40))^F41)/(F40-F42),0)</f>
        <v>#DIV/0!</v>
      </c>
      <c r="D40" s="315" t="s">
        <v>752</v>
      </c>
      <c r="E40" s="293" t="s">
        <v>753</v>
      </c>
      <c r="F40" s="303">
        <f ca="1">INDIRECT("'数据-取费表'!I"&amp;$G$1)</f>
        <v>0</v>
      </c>
      <c r="G40" s="1290"/>
      <c r="H40" s="1364"/>
      <c r="I40" s="1303"/>
      <c r="J40" s="1304"/>
      <c r="K40" s="2469"/>
      <c r="L40" s="1364"/>
      <c r="M40" s="1364"/>
    </row>
    <row r="41" spans="1:18" ht="18" customHeight="1">
      <c r="A41" s="295"/>
      <c r="B41" s="296"/>
      <c r="C41" s="297"/>
      <c r="D41" s="322" t="s">
        <v>769</v>
      </c>
      <c r="E41" s="293" t="s">
        <v>757</v>
      </c>
      <c r="F41" s="323">
        <f ca="1">IF(INDIRECT("'数据-取费表'!af"&amp;$G$1)=0,INDIRECT("'数据-取费表'!ae"&amp;$G$1),INDIRECT("'数据-取费表'!af"&amp;$G$1))</f>
        <v>0</v>
      </c>
      <c r="G41" s="1290"/>
      <c r="H41" s="120"/>
      <c r="I41" s="1303"/>
      <c r="J41" s="1304"/>
      <c r="K41" s="2328"/>
      <c r="L41" s="120"/>
      <c r="M41" s="120"/>
    </row>
    <row r="42" spans="1:18" ht="18" customHeight="1">
      <c r="A42" s="299"/>
      <c r="B42" s="300"/>
      <c r="C42" s="301"/>
      <c r="D42" s="318"/>
      <c r="E42" s="293" t="s">
        <v>760</v>
      </c>
      <c r="F42" s="303">
        <f ca="1">INDIRECT("'数据-取费表'!v"&amp;$G$1)</f>
        <v>0</v>
      </c>
      <c r="G42" s="1290"/>
      <c r="H42" s="120"/>
      <c r="I42" s="1303"/>
      <c r="J42" s="1304"/>
      <c r="K42" s="2328"/>
      <c r="L42" s="120"/>
      <c r="M42" s="120"/>
    </row>
    <row r="43" spans="1:18" ht="18" customHeight="1" thickBot="1">
      <c r="A43" s="324" t="s">
        <v>396</v>
      </c>
      <c r="B43" s="325" t="s">
        <v>770</v>
      </c>
      <c r="C43" s="326" t="e">
        <f ca="1">ROUND(C40/F43,0)</f>
        <v>#DIV/0!</v>
      </c>
      <c r="D43" s="327" t="s">
        <v>771</v>
      </c>
      <c r="E43" s="328" t="s">
        <v>772</v>
      </c>
      <c r="F43" s="329">
        <f ca="1">INDIRECT("'数据-取费表'!k"&amp;$G$1)</f>
        <v>0</v>
      </c>
      <c r="G43" s="1290"/>
      <c r="H43" s="120"/>
      <c r="I43" s="120"/>
      <c r="J43" s="120"/>
      <c r="K43" s="2328"/>
      <c r="L43" s="120"/>
      <c r="M43" s="120"/>
    </row>
    <row r="44" spans="1:18" s="1290" customFormat="1" ht="18" customHeight="1">
      <c r="A44" s="1305"/>
      <c r="B44" s="1305"/>
      <c r="C44" s="1306"/>
      <c r="D44" s="1305"/>
      <c r="E44" s="1305"/>
      <c r="F44" s="1305"/>
      <c r="K44" s="1307"/>
    </row>
    <row r="45" spans="1:18" s="1290" customFormat="1" ht="18" customHeight="1" thickBot="1">
      <c r="A45" s="3126" t="s">
        <v>3339</v>
      </c>
      <c r="B45" s="1305"/>
      <c r="C45" s="1374" t="e">
        <f ca="1">ROUND((C68-C40)/10000,4)</f>
        <v>#DIV/0!</v>
      </c>
      <c r="D45" s="3127" t="s">
        <v>3340</v>
      </c>
      <c r="E45" s="1305"/>
      <c r="F45" s="1305"/>
      <c r="O45" s="1308" t="s">
        <v>802</v>
      </c>
      <c r="P45" s="1364"/>
      <c r="Q45" s="1364"/>
      <c r="R45" s="1364"/>
    </row>
    <row r="46" spans="1:18" s="1290" customFormat="1" ht="13.5" thickBot="1">
      <c r="A46" s="1309" t="s">
        <v>803</v>
      </c>
      <c r="C46" s="1310" t="e">
        <f ca="1">ROUND(C45,0)</f>
        <v>#DIV/0!</v>
      </c>
      <c r="D46" s="1311" t="str">
        <f>C2</f>
        <v>万元</v>
      </c>
      <c r="I46" s="1312" t="s">
        <v>804</v>
      </c>
      <c r="J46" s="1313"/>
      <c r="K46" s="1314"/>
      <c r="L46" s="1315" t="e">
        <f ca="1">IF(M47="住宅",0,IF(L48&gt;J51,L60,J60))</f>
        <v>#DIV/0!</v>
      </c>
      <c r="O46" s="1316" t="s">
        <v>805</v>
      </c>
      <c r="P46" s="1317" t="s">
        <v>806</v>
      </c>
      <c r="Q46" s="1318" t="s">
        <v>807</v>
      </c>
      <c r="R46" s="1318" t="s">
        <v>808</v>
      </c>
    </row>
    <row r="47" spans="1:18" s="1290" customFormat="1" ht="13.5" thickBot="1">
      <c r="A47" s="890" t="s">
        <v>681</v>
      </c>
      <c r="B47" s="922" t="s">
        <v>682</v>
      </c>
      <c r="C47" s="922" t="s">
        <v>683</v>
      </c>
      <c r="D47" s="922" t="s">
        <v>684</v>
      </c>
      <c r="E47" s="993" t="s">
        <v>685</v>
      </c>
      <c r="F47" s="994"/>
      <c r="G47" s="680"/>
      <c r="I47" s="1319" t="s">
        <v>809</v>
      </c>
      <c r="J47" s="1320"/>
      <c r="K47" s="1321" t="s">
        <v>810</v>
      </c>
      <c r="L47" s="1322">
        <f ca="1">INDIRECT("'数据-取费表'!d"&amp;$G$1)</f>
        <v>0</v>
      </c>
      <c r="M47" s="1286" t="str">
        <f>IF(ISNUMBER(FIND("住宅",C1)),"住宅","非住宅")</f>
        <v>非住宅</v>
      </c>
      <c r="O47" s="1323" t="s">
        <v>403</v>
      </c>
      <c r="P47" s="1324" t="s">
        <v>811</v>
      </c>
      <c r="Q47" s="1325" t="e">
        <f ca="1">C40+J29</f>
        <v>#DIV/0!</v>
      </c>
      <c r="R47" s="1325" t="s">
        <v>812</v>
      </c>
    </row>
    <row r="48" spans="1:18" s="1290" customFormat="1" ht="28.5" thickBot="1">
      <c r="A48" s="1045" t="s">
        <v>438</v>
      </c>
      <c r="B48" s="291" t="s">
        <v>686</v>
      </c>
      <c r="C48" s="1266">
        <f ca="1">C49+C53+C55</f>
        <v>0</v>
      </c>
      <c r="D48" s="1047"/>
      <c r="E48" s="1048"/>
      <c r="F48" s="906"/>
      <c r="G48" s="680"/>
      <c r="H48" s="681"/>
      <c r="I48" s="1326" t="s">
        <v>813</v>
      </c>
      <c r="J48" s="1327"/>
      <c r="K48" s="1328" t="s">
        <v>814</v>
      </c>
      <c r="L48" s="1329">
        <f ca="1">INDIRECT("'数据-取费表'!f"&amp;$G$1)</f>
        <v>0</v>
      </c>
      <c r="O48" s="1323" t="s">
        <v>404</v>
      </c>
      <c r="P48" s="1324" t="s">
        <v>815</v>
      </c>
      <c r="Q48" s="1325" t="e">
        <f ca="1">J60</f>
        <v>#DIV/0!</v>
      </c>
      <c r="R48" s="1325" t="s">
        <v>816</v>
      </c>
    </row>
    <row r="49" spans="1:18" s="1290" customFormat="1" ht="13.5" thickBot="1">
      <c r="A49" s="919" t="s">
        <v>439</v>
      </c>
      <c r="B49" s="1277" t="s">
        <v>773</v>
      </c>
      <c r="C49" s="1049">
        <f ca="1">ROUND(F49*F51*F50*(1-F52),0)</f>
        <v>0</v>
      </c>
      <c r="D49" s="990" t="s">
        <v>689</v>
      </c>
      <c r="E49" s="1278" t="s">
        <v>774</v>
      </c>
      <c r="F49" s="995"/>
      <c r="H49" s="681"/>
      <c r="I49" s="1326" t="s">
        <v>817</v>
      </c>
      <c r="J49" s="1330"/>
      <c r="K49" s="1328" t="s">
        <v>818</v>
      </c>
      <c r="L49" s="1331"/>
      <c r="O49" s="1332" t="s">
        <v>405</v>
      </c>
      <c r="P49" s="1324" t="s">
        <v>819</v>
      </c>
      <c r="Q49" s="1325">
        <f ca="1">C29</f>
        <v>0</v>
      </c>
      <c r="R49" s="1325" t="s">
        <v>812</v>
      </c>
    </row>
    <row r="50" spans="1:18" s="1290" customFormat="1" ht="13.5" thickBot="1">
      <c r="A50" s="920"/>
      <c r="B50" s="923"/>
      <c r="C50" s="924"/>
      <c r="D50" s="897"/>
      <c r="E50" s="991" t="s">
        <v>691</v>
      </c>
      <c r="F50" s="992">
        <f ca="1">F7</f>
        <v>0</v>
      </c>
      <c r="H50" s="681"/>
      <c r="I50" s="1326" t="s">
        <v>820</v>
      </c>
      <c r="J50" s="1333">
        <f>SUMPRODUCT((I63:I65=J47)*(J62:L62=J48)*(J63:L65))</f>
        <v>0</v>
      </c>
      <c r="K50" s="1328" t="s">
        <v>821</v>
      </c>
      <c r="L50" s="1331"/>
      <c r="M50" s="1334"/>
      <c r="O50" s="1332" t="s">
        <v>406</v>
      </c>
      <c r="P50" s="1324" t="s">
        <v>822</v>
      </c>
      <c r="Q50" s="1335" t="e">
        <f ca="1">J58</f>
        <v>#DIV/0!</v>
      </c>
      <c r="R50" s="1325"/>
    </row>
    <row r="51" spans="1:18" s="1290" customFormat="1" ht="13.5" thickBot="1">
      <c r="A51" s="921"/>
      <c r="B51" s="923"/>
      <c r="C51" s="924"/>
      <c r="D51" s="897"/>
      <c r="E51" s="925" t="s">
        <v>692</v>
      </c>
      <c r="F51" s="294">
        <f ca="1">F8</f>
        <v>0</v>
      </c>
      <c r="I51" s="1336" t="s">
        <v>823</v>
      </c>
      <c r="J51" s="1329">
        <f>IF(J49="",J50,J49+J50-YEAR('数据-取费表'!B2))</f>
        <v>0</v>
      </c>
      <c r="K51" s="1337" t="s">
        <v>824</v>
      </c>
      <c r="L51" s="1338">
        <f ca="1">ROUND(-PV(INDIRECT("'数据-取费表'!h"&amp;$G$1),J51,(C39-C13*C76),0),0)</f>
        <v>0</v>
      </c>
      <c r="M51" s="1339"/>
      <c r="O51" s="1332" t="s">
        <v>407</v>
      </c>
      <c r="P51" s="1324" t="s">
        <v>825</v>
      </c>
      <c r="Q51" s="1335">
        <f>J52</f>
        <v>0</v>
      </c>
      <c r="R51" s="1325"/>
    </row>
    <row r="52" spans="1:18" s="1290" customFormat="1" ht="13.5" thickBot="1">
      <c r="A52" s="921"/>
      <c r="B52" s="923"/>
      <c r="C52" s="924"/>
      <c r="D52" s="897"/>
      <c r="E52" s="925" t="s">
        <v>693</v>
      </c>
      <c r="F52" s="989"/>
      <c r="I52" s="1340" t="s">
        <v>826</v>
      </c>
      <c r="J52" s="1341"/>
      <c r="K52" s="1340" t="s">
        <v>827</v>
      </c>
      <c r="L52" s="1341"/>
      <c r="O52" s="1332" t="s">
        <v>408</v>
      </c>
      <c r="P52" s="1324" t="s">
        <v>828</v>
      </c>
      <c r="Q52" s="1325">
        <f ca="1">J53</f>
        <v>0</v>
      </c>
      <c r="R52" s="1325" t="s">
        <v>829</v>
      </c>
    </row>
    <row r="53" spans="1:18" s="1290" customFormat="1" ht="30.75" customHeight="1" thickBot="1">
      <c r="A53" s="1046" t="s">
        <v>440</v>
      </c>
      <c r="B53" s="314" t="s">
        <v>694</v>
      </c>
      <c r="C53" s="307">
        <f ca="1">ROUND(IF(F53="押一",C49/12*F11,IF(F53="押二",C49/12*2*F11,IF(F53="押三",C49/12*3*F11,C54*F11))),0)</f>
        <v>0</v>
      </c>
      <c r="D53" s="149" t="s">
        <v>2109</v>
      </c>
      <c r="E53" s="304" t="s">
        <v>695</v>
      </c>
      <c r="F53" s="1051"/>
      <c r="I53" s="1342" t="s">
        <v>830</v>
      </c>
      <c r="J53" s="2004">
        <f ca="1">IF(M47="住宅",IF(D1="——",MAX(J51,L48),MAX(J51,L48-'数据-取费表'!B24)),IF(D1="——",MIN(J51,L48),MIN(J51,L48-'数据-取费表'!B24)))</f>
        <v>0</v>
      </c>
      <c r="K53" s="3491" t="s">
        <v>831</v>
      </c>
      <c r="L53" s="3492"/>
      <c r="O53" s="1323" t="s">
        <v>409</v>
      </c>
      <c r="P53" s="1324" t="s">
        <v>832</v>
      </c>
      <c r="Q53" s="1325" t="e">
        <f ca="1">Q47+Q48</f>
        <v>#DIV/0!</v>
      </c>
      <c r="R53" s="1325" t="s">
        <v>410</v>
      </c>
    </row>
    <row r="54" spans="1:18" s="1290" customFormat="1" ht="13.5" thickBot="1">
      <c r="A54" s="919"/>
      <c r="B54" s="1375" t="s">
        <v>885</v>
      </c>
      <c r="C54" s="903"/>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833</v>
      </c>
      <c r="P54" s="1287"/>
      <c r="Q54" s="1287"/>
      <c r="R54" s="1287"/>
    </row>
    <row r="55" spans="1:18" s="1290" customFormat="1" ht="13.5" thickBot="1">
      <c r="A55" s="1018" t="s">
        <v>437</v>
      </c>
      <c r="B55" s="1275" t="s">
        <v>697</v>
      </c>
      <c r="C55" s="1019"/>
      <c r="D55" s="149"/>
      <c r="E55" s="1280"/>
      <c r="F55" s="1343"/>
      <c r="I55" s="1346" t="s">
        <v>834</v>
      </c>
      <c r="J55" s="1347" t="e">
        <f ca="1">ROUND(IF(J47="钢混",J57/J50,1-(1-2%)*(J50-J57)/J50),3)</f>
        <v>#DIV/0!</v>
      </c>
      <c r="K55" s="1348" t="s">
        <v>835</v>
      </c>
      <c r="L55" s="1349"/>
      <c r="O55" s="1316" t="s">
        <v>805</v>
      </c>
      <c r="P55" s="1317" t="s">
        <v>806</v>
      </c>
      <c r="Q55" s="1318" t="s">
        <v>807</v>
      </c>
      <c r="R55" s="1318" t="s">
        <v>808</v>
      </c>
    </row>
    <row r="56" spans="1:18" s="1290" customFormat="1" ht="36" customHeight="1" thickTop="1" thickBot="1">
      <c r="A56" s="901">
        <v>2</v>
      </c>
      <c r="B56" s="902" t="s">
        <v>698</v>
      </c>
      <c r="C56" s="223">
        <f ca="1">C13</f>
        <v>0</v>
      </c>
      <c r="D56" s="1350"/>
      <c r="E56" s="1351"/>
      <c r="F56" s="1343"/>
      <c r="I56" s="1352" t="s">
        <v>836</v>
      </c>
      <c r="J56" s="1353"/>
      <c r="K56" s="1326" t="s">
        <v>837</v>
      </c>
      <c r="L56" s="1329">
        <f ca="1">IF(L48&lt;J51,"——",L48-J51)</f>
        <v>0</v>
      </c>
      <c r="O56" s="1323" t="s">
        <v>403</v>
      </c>
      <c r="P56" s="1324" t="s">
        <v>811</v>
      </c>
      <c r="Q56" s="1325" t="e">
        <f ca="1">C40+J29</f>
        <v>#DIV/0!</v>
      </c>
      <c r="R56" s="1325" t="s">
        <v>812</v>
      </c>
    </row>
    <row r="57" spans="1:18" s="1290" customFormat="1" ht="24.75" thickBot="1">
      <c r="A57" s="1354"/>
      <c r="B57" s="894" t="s">
        <v>761</v>
      </c>
      <c r="C57" s="229">
        <f ca="1">C29</f>
        <v>0</v>
      </c>
      <c r="D57" s="1355"/>
      <c r="E57" s="1356"/>
      <c r="F57" s="1357"/>
      <c r="I57" s="1358" t="s">
        <v>838</v>
      </c>
      <c r="J57" s="1359">
        <f ca="1">IF(OR(M47="住宅",J51&lt;L48,J56="是"),"——",J51-L48)</f>
        <v>0</v>
      </c>
      <c r="K57" s="1326" t="s">
        <v>886</v>
      </c>
      <c r="L57" s="1329">
        <f ca="1">IF(L48&lt;J51,"——",IF(L55="比较法",L49,IF(L55="基准地价",L50,L51)))</f>
        <v>0</v>
      </c>
      <c r="O57" s="1323" t="s">
        <v>404</v>
      </c>
      <c r="P57" s="1324" t="s">
        <v>887</v>
      </c>
      <c r="Q57" s="1325" t="e">
        <f ca="1">L60</f>
        <v>#DIV/0!</v>
      </c>
      <c r="R57" s="1325" t="s">
        <v>888</v>
      </c>
    </row>
    <row r="58" spans="1:18" s="1290" customFormat="1" ht="24.75" thickBot="1">
      <c r="A58" s="306" t="s">
        <v>393</v>
      </c>
      <c r="B58" s="902" t="s">
        <v>708</v>
      </c>
      <c r="C58" s="307">
        <f ca="1">ROUND(C59+C64+C65+C66,0)</f>
        <v>0</v>
      </c>
      <c r="D58" s="904" t="s">
        <v>709</v>
      </c>
      <c r="E58" s="905"/>
      <c r="F58" s="906"/>
      <c r="I58" s="1358" t="s">
        <v>842</v>
      </c>
      <c r="J58" s="1360" t="e">
        <f ca="1">IF(J55&lt;0.4,0.4,J55)</f>
        <v>#DIV/0!</v>
      </c>
      <c r="K58" s="1337" t="s">
        <v>889</v>
      </c>
      <c r="L58" s="1329" t="e">
        <f ca="1">ROUND(POWER(1+L52,L47-L48)*(POWER(1+L52,L48)-1)/(POWER(1+L52,L47)-1),4)</f>
        <v>#DIV/0!</v>
      </c>
      <c r="O58" s="1332" t="s">
        <v>405</v>
      </c>
      <c r="P58" s="1324" t="s">
        <v>844</v>
      </c>
      <c r="Q58" s="1325">
        <f>IF(L55="比较法",L49,IF(L55="基准地价",L50,0))</f>
        <v>0</v>
      </c>
      <c r="R58" s="1325" t="s">
        <v>812</v>
      </c>
    </row>
    <row r="59" spans="1:18" s="1290" customFormat="1" ht="24.75" thickBot="1">
      <c r="A59" s="926" t="s">
        <v>398</v>
      </c>
      <c r="B59" s="894" t="s">
        <v>713</v>
      </c>
      <c r="C59" s="2138">
        <f ca="1">ROUND(IF(AND(项目基本情况!B11="自然人",项目基本情况!B10="北京市"),C49*F59/(1+'数据-取费表'!C42),C60+C61+C62),0)</f>
        <v>0</v>
      </c>
      <c r="D59" s="907" t="s">
        <v>714</v>
      </c>
      <c r="E59" s="908" t="s">
        <v>715</v>
      </c>
      <c r="F59" s="2137" t="str">
        <f>IF(项目基本情况!B11="企业","——",IF('数据-取费表'!B10="住宅",IF(F49*F50*F51/12/(1+'数据-取费表'!F30)&gt;100000,4%,2.5%),IF(F49*F50*F51/12/(1+'数据-取费表'!F30)&gt;100000,12%,7%)))</f>
        <v>——</v>
      </c>
      <c r="I59" s="1358" t="s">
        <v>845</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846</v>
      </c>
      <c r="Q59" s="1335">
        <f>L52</f>
        <v>0</v>
      </c>
      <c r="R59" s="1325"/>
    </row>
    <row r="60" spans="1:18" s="1290" customFormat="1" ht="16.5" thickBot="1">
      <c r="A60" s="926" t="s">
        <v>397</v>
      </c>
      <c r="B60" s="894" t="s">
        <v>717</v>
      </c>
      <c r="C60" s="21">
        <f ca="1">IF(项目基本情况!B11="自然人","——",ROUND(C48*F60/(1+'数据-取费表'!C42),0))</f>
        <v>0</v>
      </c>
      <c r="D60" s="908" t="s">
        <v>718</v>
      </c>
      <c r="E60" s="894" t="s">
        <v>706</v>
      </c>
      <c r="F60" s="321">
        <f t="shared" ref="F60:F66" si="0">F32</f>
        <v>5.5000000000000007E-2</v>
      </c>
      <c r="I60" s="1361" t="s">
        <v>847</v>
      </c>
      <c r="J60" s="1362" t="e">
        <f ca="1">IF(OR(M47="住宅",J51&lt;L48,J56="是"),"0",ROUND(J59/(1+J52)^J53,0))</f>
        <v>#DIV/0!</v>
      </c>
      <c r="K60" s="1363" t="s">
        <v>848</v>
      </c>
      <c r="L60" s="1362" t="e">
        <f ca="1">IF(OR(M47="住宅",L48&lt;J51),0,ROUND(L57*(L58/L59-1),0))</f>
        <v>#DIV/0!</v>
      </c>
      <c r="O60" s="1332" t="s">
        <v>407</v>
      </c>
      <c r="P60" s="1324" t="s">
        <v>849</v>
      </c>
      <c r="Q60" s="1325" t="e">
        <f ca="1">L58</f>
        <v>#DIV/0!</v>
      </c>
      <c r="R60" s="1325" t="s">
        <v>850</v>
      </c>
    </row>
    <row r="61" spans="1:18" s="1290" customFormat="1" ht="13.5" thickBot="1">
      <c r="A61" s="926" t="s">
        <v>775</v>
      </c>
      <c r="B61" s="894" t="s">
        <v>776</v>
      </c>
      <c r="C61" s="21">
        <f ca="1">IF(项目基本情况!B11="自然人","——",IF(D61="按租金收入计税",ROUND(C49*F61/(1+'数据-取费表'!C42),0),IF(D61="按房产原值计税",ROUND(C57*F61*0.7,0),INDIRECT("'数据-取费表'!Aj"&amp;$G$1))))</f>
        <v>0</v>
      </c>
      <c r="D61" s="1276" t="s">
        <v>3323</v>
      </c>
      <c r="E61" s="894" t="s">
        <v>777</v>
      </c>
      <c r="F61" s="313">
        <f t="shared" si="0"/>
        <v>0.12</v>
      </c>
      <c r="I61" s="1364"/>
      <c r="J61" s="1364"/>
      <c r="K61" s="1364"/>
      <c r="L61" s="1364"/>
      <c r="O61" s="1332" t="s">
        <v>408</v>
      </c>
      <c r="P61" s="1324" t="str">
        <f>K59</f>
        <v>建筑物剩余耐用年限下的土地年期修正系数Kn</v>
      </c>
      <c r="Q61" s="1325" t="e">
        <f ca="1">L59</f>
        <v>#DIV/0!</v>
      </c>
      <c r="R61" s="1325" t="s">
        <v>851</v>
      </c>
    </row>
    <row r="62" spans="1:18" s="1290" customFormat="1" ht="13.5" thickBot="1">
      <c r="A62" s="926" t="s">
        <v>778</v>
      </c>
      <c r="B62" s="893" t="s">
        <v>779</v>
      </c>
      <c r="C62" s="22">
        <f ca="1">IF(项目基本情况!B11="自然人","——",ROUND(F62*F63,0))</f>
        <v>0</v>
      </c>
      <c r="D62" s="909" t="s">
        <v>780</v>
      </c>
      <c r="E62" s="894" t="s">
        <v>781</v>
      </c>
      <c r="F62" s="316">
        <f t="shared" si="0"/>
        <v>1.5</v>
      </c>
      <c r="I62" s="1365" t="s">
        <v>852</v>
      </c>
      <c r="J62" s="609" t="s">
        <v>853</v>
      </c>
      <c r="K62" s="609" t="s">
        <v>854</v>
      </c>
      <c r="L62" s="609" t="s">
        <v>855</v>
      </c>
      <c r="M62" s="1366" t="s">
        <v>856</v>
      </c>
      <c r="O62" s="1323" t="s">
        <v>409</v>
      </c>
      <c r="P62" s="1324" t="s">
        <v>857</v>
      </c>
      <c r="Q62" s="1325" t="e">
        <f ca="1">Q56+Q57</f>
        <v>#DIV/0!</v>
      </c>
      <c r="R62" s="1325" t="s">
        <v>410</v>
      </c>
    </row>
    <row r="63" spans="1:18" s="1290" customFormat="1" ht="13.5" thickBot="1">
      <c r="A63" s="317"/>
      <c r="B63" s="900"/>
      <c r="C63" s="26"/>
      <c r="D63" s="910"/>
      <c r="E63" s="894" t="s">
        <v>782</v>
      </c>
      <c r="F63" s="294">
        <f t="shared" ca="1" si="0"/>
        <v>0</v>
      </c>
      <c r="I63" s="1365" t="s">
        <v>858</v>
      </c>
      <c r="J63" s="609">
        <v>70</v>
      </c>
      <c r="K63" s="609">
        <v>50</v>
      </c>
      <c r="L63" s="609">
        <v>80</v>
      </c>
      <c r="M63" s="1367">
        <v>0.02</v>
      </c>
      <c r="O63" s="1308" t="s">
        <v>859</v>
      </c>
      <c r="P63" s="1287"/>
      <c r="Q63" s="1287"/>
      <c r="R63" s="1287"/>
    </row>
    <row r="64" spans="1:18" s="1290" customFormat="1" ht="13.5" thickBot="1">
      <c r="A64" s="926" t="s">
        <v>783</v>
      </c>
      <c r="B64" s="894" t="s">
        <v>784</v>
      </c>
      <c r="C64" s="21">
        <f ca="1">ROUND(C57*F64,0)</f>
        <v>0</v>
      </c>
      <c r="D64" s="908" t="s">
        <v>785</v>
      </c>
      <c r="E64" s="894" t="s">
        <v>777</v>
      </c>
      <c r="F64" s="319">
        <f t="shared" ca="1" si="0"/>
        <v>0</v>
      </c>
      <c r="I64" s="1365" t="s">
        <v>860</v>
      </c>
      <c r="J64" s="609">
        <v>50</v>
      </c>
      <c r="K64" s="609">
        <v>35</v>
      </c>
      <c r="L64" s="609">
        <v>60</v>
      </c>
      <c r="M64" s="1366">
        <v>0</v>
      </c>
      <c r="O64" s="1316" t="s">
        <v>805</v>
      </c>
      <c r="P64" s="1317" t="s">
        <v>806</v>
      </c>
      <c r="Q64" s="1318" t="s">
        <v>807</v>
      </c>
      <c r="R64" s="1318" t="s">
        <v>808</v>
      </c>
    </row>
    <row r="65" spans="1:18" s="1290" customFormat="1" ht="13.5" thickBot="1">
      <c r="A65" s="926" t="s">
        <v>786</v>
      </c>
      <c r="B65" s="894" t="s">
        <v>736</v>
      </c>
      <c r="C65" s="21">
        <f ca="1">ROUND(C56*F65,0)</f>
        <v>0</v>
      </c>
      <c r="D65" s="908" t="s">
        <v>737</v>
      </c>
      <c r="E65" s="894" t="s">
        <v>738</v>
      </c>
      <c r="F65" s="320">
        <f t="shared" ca="1" si="0"/>
        <v>0</v>
      </c>
      <c r="I65" s="1365" t="s">
        <v>861</v>
      </c>
      <c r="J65" s="609">
        <v>40</v>
      </c>
      <c r="K65" s="609">
        <v>30</v>
      </c>
      <c r="L65" s="609">
        <v>50</v>
      </c>
      <c r="M65" s="1367">
        <v>0.02</v>
      </c>
      <c r="O65" s="1323" t="s">
        <v>403</v>
      </c>
      <c r="P65" s="1324" t="s">
        <v>862</v>
      </c>
      <c r="Q65" s="1325" t="e">
        <f ca="1">C40+J29</f>
        <v>#DIV/0!</v>
      </c>
      <c r="R65" s="1325" t="s">
        <v>812</v>
      </c>
    </row>
    <row r="66" spans="1:18" s="1290" customFormat="1" ht="16.5" thickBot="1">
      <c r="A66" s="926" t="s">
        <v>787</v>
      </c>
      <c r="B66" s="894" t="s">
        <v>722</v>
      </c>
      <c r="C66" s="21">
        <f ca="1">ROUND(C48*F66,0)</f>
        <v>0</v>
      </c>
      <c r="D66" s="908" t="s">
        <v>788</v>
      </c>
      <c r="E66" s="894" t="s">
        <v>706</v>
      </c>
      <c r="F66" s="303">
        <f t="shared" ca="1" si="0"/>
        <v>0</v>
      </c>
      <c r="O66" s="1323" t="s">
        <v>404</v>
      </c>
      <c r="P66" s="1324" t="s">
        <v>840</v>
      </c>
      <c r="Q66" s="1325" t="e">
        <f ca="1">L60</f>
        <v>#DIV/0!</v>
      </c>
      <c r="R66" s="1325" t="s">
        <v>863</v>
      </c>
    </row>
    <row r="67" spans="1:18" s="1290" customFormat="1" ht="16.5" thickBot="1">
      <c r="A67" s="901" t="s">
        <v>394</v>
      </c>
      <c r="B67" s="911" t="s">
        <v>746</v>
      </c>
      <c r="C67" s="307">
        <f ca="1">C48-C58</f>
        <v>0</v>
      </c>
      <c r="D67" s="907" t="s">
        <v>747</v>
      </c>
      <c r="E67" s="912"/>
      <c r="F67" s="913"/>
      <c r="O67" s="1332" t="s">
        <v>405</v>
      </c>
      <c r="P67" s="1324" t="s">
        <v>844</v>
      </c>
      <c r="Q67" s="1368">
        <f ca="1">L51</f>
        <v>0</v>
      </c>
      <c r="R67" s="1325" t="s">
        <v>864</v>
      </c>
    </row>
    <row r="68" spans="1:18" s="1290" customFormat="1" ht="16.5" thickBot="1">
      <c r="A68" s="891" t="s">
        <v>395</v>
      </c>
      <c r="B68" s="892" t="s">
        <v>768</v>
      </c>
      <c r="C68" s="292" t="e">
        <f ca="1">ROUND(C67*(1-((1+F70)/(1+F68))^F69)/(F68-F70),0)</f>
        <v>#DIV/0!</v>
      </c>
      <c r="D68" s="909" t="s">
        <v>752</v>
      </c>
      <c r="E68" s="894" t="s">
        <v>753</v>
      </c>
      <c r="F68" s="303">
        <f ca="1">F40</f>
        <v>0</v>
      </c>
      <c r="O68" s="1332" t="s">
        <v>406</v>
      </c>
      <c r="P68" s="1369" t="s">
        <v>865</v>
      </c>
      <c r="Q68" s="1325">
        <f ca="1">ROUND(Q69-Q70*Q71,0)</f>
        <v>0</v>
      </c>
      <c r="R68" s="1325" t="s">
        <v>414</v>
      </c>
    </row>
    <row r="69" spans="1:18" s="1290" customFormat="1" ht="13.5" thickBot="1">
      <c r="A69" s="895"/>
      <c r="B69" s="896"/>
      <c r="C69" s="297"/>
      <c r="D69" s="914" t="s">
        <v>756</v>
      </c>
      <c r="E69" s="894" t="s">
        <v>757</v>
      </c>
      <c r="F69" s="323">
        <f ca="1">F41</f>
        <v>0</v>
      </c>
      <c r="O69" s="1332" t="s">
        <v>411</v>
      </c>
      <c r="P69" s="1369" t="s">
        <v>866</v>
      </c>
      <c r="Q69" s="1325">
        <f ca="1">C39</f>
        <v>0</v>
      </c>
      <c r="R69" s="1325" t="s">
        <v>812</v>
      </c>
    </row>
    <row r="70" spans="1:18" s="1290" customFormat="1" ht="13.5" thickBot="1">
      <c r="A70" s="898"/>
      <c r="B70" s="899"/>
      <c r="C70" s="301"/>
      <c r="D70" s="910"/>
      <c r="E70" s="894" t="s">
        <v>760</v>
      </c>
      <c r="F70" s="989"/>
      <c r="O70" s="1332" t="s">
        <v>412</v>
      </c>
      <c r="P70" s="1369" t="s">
        <v>867</v>
      </c>
      <c r="Q70" s="1325">
        <f ca="1">C13</f>
        <v>0</v>
      </c>
      <c r="R70" s="1325" t="s">
        <v>812</v>
      </c>
    </row>
    <row r="71" spans="1:18" s="1290" customFormat="1" ht="13.5" thickBot="1">
      <c r="A71" s="915" t="s">
        <v>396</v>
      </c>
      <c r="B71" s="916" t="s">
        <v>770</v>
      </c>
      <c r="C71" s="326" t="e">
        <f ca="1">ROUND(C68/F71,0)</f>
        <v>#DIV/0!</v>
      </c>
      <c r="D71" s="917" t="s">
        <v>771</v>
      </c>
      <c r="E71" s="918" t="s">
        <v>772</v>
      </c>
      <c r="F71" s="329">
        <f ca="1">F43</f>
        <v>0</v>
      </c>
      <c r="O71" s="1332" t="s">
        <v>413</v>
      </c>
      <c r="P71" s="1369" t="s">
        <v>868</v>
      </c>
      <c r="Q71" s="1335">
        <f ca="1">C76</f>
        <v>0</v>
      </c>
      <c r="R71" s="1325"/>
    </row>
    <row r="72" spans="1:18" s="1290" customFormat="1" ht="13.5" thickBot="1">
      <c r="B72" s="684"/>
      <c r="C72" s="684"/>
      <c r="O72" s="1332" t="s">
        <v>407</v>
      </c>
      <c r="P72" s="1324" t="s">
        <v>846</v>
      </c>
      <c r="Q72" s="1335">
        <f>L52</f>
        <v>0</v>
      </c>
      <c r="R72" s="1325"/>
    </row>
    <row r="73" spans="1:18" ht="16.5" thickBot="1">
      <c r="A73" s="1290"/>
      <c r="B73" s="684"/>
      <c r="C73" s="684"/>
      <c r="D73" s="1290"/>
      <c r="E73" s="1290"/>
      <c r="F73" s="1290"/>
      <c r="O73" s="1332" t="s">
        <v>408</v>
      </c>
      <c r="P73" s="1324" t="s">
        <v>849</v>
      </c>
      <c r="Q73" s="1325" t="e">
        <f ca="1">L58</f>
        <v>#DIV/0!</v>
      </c>
      <c r="R73" s="1325" t="s">
        <v>850</v>
      </c>
    </row>
    <row r="74" spans="1:18" ht="13.5" thickBot="1">
      <c r="A74" s="1290"/>
      <c r="B74" s="264" t="s">
        <v>869</v>
      </c>
      <c r="C74" s="1371"/>
      <c r="D74" s="1290"/>
      <c r="E74" s="1290"/>
      <c r="F74" s="1290"/>
      <c r="O74" s="1332" t="s">
        <v>415</v>
      </c>
      <c r="P74" s="1324" t="str">
        <f>K59</f>
        <v>建筑物剩余耐用年限下的土地年期修正系数Kn</v>
      </c>
      <c r="Q74" s="1325" t="e">
        <f ca="1">L59</f>
        <v>#DIV/0!</v>
      </c>
      <c r="R74" s="1325" t="s">
        <v>851</v>
      </c>
    </row>
    <row r="75" spans="1:18" ht="13.5" thickBot="1">
      <c r="A75" s="1290"/>
      <c r="B75" s="330" t="s">
        <v>789</v>
      </c>
      <c r="C75" s="331">
        <f ca="1">ROUND(C13*C76,0)</f>
        <v>0</v>
      </c>
      <c r="D75" s="1290"/>
      <c r="E75" s="1290"/>
      <c r="F75" s="1290"/>
      <c r="K75" s="1307"/>
      <c r="L75" s="1290"/>
      <c r="O75" s="1323" t="s">
        <v>409</v>
      </c>
      <c r="P75" s="1324" t="s">
        <v>832</v>
      </c>
      <c r="Q75" s="1325" t="e">
        <f ca="1">Q65+Q66</f>
        <v>#DIV/0!</v>
      </c>
      <c r="R75" s="1325" t="s">
        <v>410</v>
      </c>
    </row>
    <row r="76" spans="1:18">
      <c r="B76" s="332" t="s">
        <v>790</v>
      </c>
      <c r="C76" s="333">
        <f ca="1">INDIRECT("'数据-取费表'!j"&amp;$G$1)</f>
        <v>0</v>
      </c>
      <c r="I76" s="1290"/>
      <c r="J76" s="1290"/>
      <c r="K76" s="1307"/>
      <c r="L76" s="1290"/>
    </row>
    <row r="77" spans="1:18">
      <c r="B77" s="334" t="s">
        <v>791</v>
      </c>
      <c r="C77" s="335"/>
      <c r="I77" s="1290"/>
      <c r="J77" s="1290"/>
      <c r="K77" s="1307"/>
      <c r="L77" s="1290"/>
    </row>
    <row r="78" spans="1:18">
      <c r="B78" s="261" t="s">
        <v>792</v>
      </c>
      <c r="C78" s="336"/>
    </row>
    <row r="79" spans="1:18">
      <c r="B79" s="330" t="s">
        <v>793</v>
      </c>
      <c r="C79" s="265" t="e">
        <f ca="1">1-C80</f>
        <v>#DIV/0!</v>
      </c>
    </row>
    <row r="80" spans="1:18">
      <c r="B80" s="330" t="s">
        <v>794</v>
      </c>
      <c r="C80" s="265" t="e">
        <f ca="1">ROUND(C75/C39,3)</f>
        <v>#DIV/0!</v>
      </c>
    </row>
    <row r="81" spans="2:3">
      <c r="B81" s="261" t="s">
        <v>795</v>
      </c>
      <c r="C81" s="229"/>
    </row>
    <row r="82" spans="2:3">
      <c r="B82" s="264" t="s">
        <v>796</v>
      </c>
      <c r="C82" s="266" t="e">
        <f ca="1">1-C83</f>
        <v>#DIV/0!</v>
      </c>
    </row>
    <row r="83" spans="2:3">
      <c r="B83" s="264" t="s">
        <v>797</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0"/>
  <sheetViews>
    <sheetView zoomScaleNormal="100" workbookViewId="0">
      <selection activeCell="H38" sqref="H38"/>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2423</v>
      </c>
      <c r="B1" s="2581"/>
      <c r="C1" s="2593"/>
      <c r="D1" s="2593"/>
      <c r="E1" s="2582"/>
      <c r="F1" s="2583"/>
      <c r="G1" s="2584"/>
      <c r="J1" s="2587" t="s">
        <v>2304</v>
      </c>
      <c r="K1" s="2588"/>
      <c r="L1" s="2588"/>
      <c r="M1" s="2588"/>
      <c r="N1" s="2588"/>
      <c r="O1" s="2588"/>
      <c r="P1" s="2588"/>
      <c r="Q1" s="2588"/>
      <c r="R1" s="2589"/>
      <c r="S1" s="2590"/>
      <c r="T1" s="2590"/>
      <c r="U1" s="2590"/>
    </row>
    <row r="2" spans="1:22" s="2602" customFormat="1" ht="13.15" customHeight="1">
      <c r="A2" s="1291" t="s">
        <v>2305</v>
      </c>
      <c r="B2" s="2592">
        <f ca="1">IF(D2="——",C40,C40+E2)</f>
        <v>35149.242428058205</v>
      </c>
      <c r="C2" s="2593" t="s">
        <v>2306</v>
      </c>
      <c r="D2" s="3135" t="s">
        <v>43</v>
      </c>
      <c r="E2" s="3136"/>
      <c r="F2" s="2595"/>
      <c r="G2" s="2596"/>
      <c r="H2" s="2597"/>
      <c r="I2" s="2598"/>
      <c r="J2" s="3499" t="s">
        <v>2307</v>
      </c>
      <c r="K2" s="3500"/>
      <c r="L2" s="2599" t="s">
        <v>2308</v>
      </c>
      <c r="M2" s="2599" t="s">
        <v>2309</v>
      </c>
      <c r="N2" s="2599" t="s">
        <v>2310</v>
      </c>
      <c r="O2" s="2599" t="s">
        <v>2311</v>
      </c>
      <c r="P2" s="2599" t="s">
        <v>2312</v>
      </c>
      <c r="Q2" s="2600" t="s">
        <v>2313</v>
      </c>
      <c r="R2" s="2601" t="s">
        <v>2314</v>
      </c>
      <c r="S2" s="2590"/>
      <c r="T2" s="2590"/>
      <c r="U2" s="2590"/>
      <c r="V2" s="2598"/>
    </row>
    <row r="3" spans="1:22" s="2602" customFormat="1" ht="13.15" customHeight="1">
      <c r="A3" s="2603" t="s">
        <v>2315</v>
      </c>
      <c r="B3" s="2604">
        <f ca="1">ROUND(B2*10000/B4,0)</f>
        <v>14647</v>
      </c>
      <c r="C3" s="2593" t="s">
        <v>2316</v>
      </c>
      <c r="D3" s="2593"/>
      <c r="E3" s="2594"/>
      <c r="F3" s="2595"/>
      <c r="G3" s="2596"/>
      <c r="H3" s="2597"/>
      <c r="I3" s="2598"/>
      <c r="J3" s="3501" t="s">
        <v>2317</v>
      </c>
      <c r="K3" s="3502"/>
      <c r="L3" s="2605"/>
      <c r="M3" s="2605"/>
      <c r="N3" s="2605"/>
      <c r="O3" s="2605"/>
      <c r="P3" s="2605"/>
      <c r="Q3" s="2606"/>
      <c r="R3" s="2607">
        <f>SUM(L3:Q3)</f>
        <v>0</v>
      </c>
      <c r="S3" s="2590"/>
      <c r="T3" s="2590"/>
      <c r="U3" s="2590"/>
      <c r="V3" s="2598"/>
    </row>
    <row r="4" spans="1:22" s="2602" customFormat="1" ht="13.15" customHeight="1">
      <c r="A4" s="2608" t="s">
        <v>2318</v>
      </c>
      <c r="B4" s="2609">
        <f>'数据-汇总表'!E3</f>
        <v>23997.3</v>
      </c>
      <c r="C4" s="2593"/>
      <c r="D4" s="2593"/>
      <c r="E4" s="2594"/>
      <c r="F4" s="2595"/>
      <c r="G4" s="2596"/>
      <c r="H4" s="2597"/>
      <c r="I4" s="2598"/>
      <c r="J4" s="3501" t="s">
        <v>2319</v>
      </c>
      <c r="K4" s="3502"/>
      <c r="L4" s="2610"/>
      <c r="M4" s="2610"/>
      <c r="N4" s="2610"/>
      <c r="O4" s="2610"/>
      <c r="P4" s="2610"/>
      <c r="Q4" s="2611"/>
      <c r="R4" s="2612">
        <f>SUM(L4:Q4)</f>
        <v>0</v>
      </c>
      <c r="S4" s="2590"/>
      <c r="T4" s="2590"/>
      <c r="U4" s="2590"/>
      <c r="V4" s="2598"/>
    </row>
    <row r="5" spans="1:22" s="2602" customFormat="1" ht="13.15" customHeight="1" thickBot="1">
      <c r="A5" s="2613" t="s">
        <v>2320</v>
      </c>
      <c r="B5" s="2614">
        <f>'数据-汇总表'!D3</f>
        <v>6542.04</v>
      </c>
      <c r="C5" s="2593"/>
      <c r="D5" s="2615"/>
      <c r="E5" s="2595"/>
      <c r="F5" s="2595"/>
      <c r="G5" s="2596"/>
      <c r="H5" s="2597"/>
      <c r="I5" s="2598"/>
      <c r="J5" s="2616" t="s">
        <v>2321</v>
      </c>
      <c r="K5" s="2617"/>
      <c r="L5" s="2617"/>
      <c r="M5" s="2618"/>
      <c r="N5" s="2618"/>
      <c r="O5" s="2618"/>
      <c r="P5" s="2618"/>
      <c r="Q5" s="2618"/>
      <c r="R5" s="2601">
        <f>SUM(R14,R19,R24,R25,R27,R28)</f>
        <v>3650</v>
      </c>
      <c r="S5" s="2590"/>
      <c r="T5" s="2590" t="s">
        <v>2322</v>
      </c>
      <c r="U5" s="2590" t="e">
        <f>ROUND(R5*10000/365/R3,1)</f>
        <v>#DIV/0!</v>
      </c>
      <c r="V5" s="2598"/>
    </row>
    <row r="6" spans="1:22" s="2602" customFormat="1" ht="13.15" customHeight="1" thickBot="1">
      <c r="A6" s="3507" t="s">
        <v>2323</v>
      </c>
      <c r="B6" s="3508"/>
      <c r="C6" s="3509"/>
      <c r="D6" s="2619">
        <f>R5</f>
        <v>3650</v>
      </c>
      <c r="E6" s="2620"/>
      <c r="F6" s="2621"/>
      <c r="G6" s="2622"/>
      <c r="H6" s="2597"/>
      <c r="I6" s="2598"/>
      <c r="J6" s="3493">
        <v>1</v>
      </c>
      <c r="K6" s="3494" t="s">
        <v>2324</v>
      </c>
      <c r="L6" s="2623" t="s">
        <v>2325</v>
      </c>
      <c r="M6" s="2624" t="s">
        <v>2326</v>
      </c>
      <c r="N6" s="2624" t="s">
        <v>2327</v>
      </c>
      <c r="O6" s="2624" t="s">
        <v>2328</v>
      </c>
      <c r="P6" s="2624" t="s">
        <v>2329</v>
      </c>
      <c r="Q6" s="2624" t="s">
        <v>2330</v>
      </c>
      <c r="R6" s="2607" t="s">
        <v>2331</v>
      </c>
      <c r="S6" s="2590"/>
      <c r="T6" s="2590" t="s">
        <v>2332</v>
      </c>
      <c r="U6" s="2590"/>
      <c r="V6" s="2598"/>
    </row>
    <row r="7" spans="1:22" s="2602" customFormat="1" ht="13.15" customHeight="1">
      <c r="A7" s="2625" t="s">
        <v>2333</v>
      </c>
      <c r="B7" s="2626"/>
      <c r="C7" s="2627"/>
      <c r="D7" s="2628">
        <f ca="1">SUM(D9,D10,D11,D17,0)</f>
        <v>1814</v>
      </c>
      <c r="E7" s="2629">
        <f ca="1">E9+E10+E11+E17</f>
        <v>0.49671232876712323</v>
      </c>
      <c r="F7" s="2630"/>
      <c r="G7" s="2631"/>
      <c r="H7" s="2597"/>
      <c r="I7" s="2598"/>
      <c r="J7" s="3493"/>
      <c r="K7" s="3495"/>
      <c r="L7" s="3198" t="s">
        <v>3457</v>
      </c>
      <c r="M7" s="2633">
        <v>250</v>
      </c>
      <c r="N7" s="2609">
        <v>250</v>
      </c>
      <c r="O7" s="2634">
        <v>1</v>
      </c>
      <c r="P7" s="2634">
        <v>0.8</v>
      </c>
      <c r="Q7" s="2635">
        <v>365</v>
      </c>
      <c r="R7" s="2636">
        <f>ROUND(M7*N7*O7*P7*Q7/10000,0)</f>
        <v>1825</v>
      </c>
      <c r="S7" s="2590"/>
      <c r="T7" s="2590" t="s">
        <v>2335</v>
      </c>
      <c r="U7" s="2590"/>
      <c r="V7" s="2598"/>
    </row>
    <row r="8" spans="1:22" s="2602" customFormat="1" ht="13.15" customHeight="1">
      <c r="A8" s="2637" t="s">
        <v>2336</v>
      </c>
      <c r="B8" s="3510" t="s">
        <v>2337</v>
      </c>
      <c r="C8" s="3511"/>
      <c r="D8" s="2638" t="s">
        <v>2338</v>
      </c>
      <c r="E8" s="2639" t="s">
        <v>2339</v>
      </c>
      <c r="F8" s="2640" t="s">
        <v>2340</v>
      </c>
      <c r="G8" s="2641"/>
      <c r="H8" s="2597"/>
      <c r="I8" s="2598"/>
      <c r="J8" s="3493"/>
      <c r="K8" s="3495"/>
      <c r="L8" s="2632" t="s">
        <v>2341</v>
      </c>
      <c r="M8" s="2633"/>
      <c r="N8" s="2609"/>
      <c r="O8" s="2634"/>
      <c r="P8" s="2634"/>
      <c r="Q8" s="2635">
        <v>365</v>
      </c>
      <c r="R8" s="2636">
        <f t="shared" ref="R8:R13" si="0">ROUND(M8*N8*O8*P8*Q8/10000,0)</f>
        <v>0</v>
      </c>
      <c r="S8" s="2590"/>
      <c r="T8" s="2590" t="s">
        <v>2342</v>
      </c>
      <c r="U8" s="2590"/>
      <c r="V8" s="2598"/>
    </row>
    <row r="9" spans="1:22" s="2602" customFormat="1" ht="13.15" customHeight="1">
      <c r="A9" s="2637">
        <v>1</v>
      </c>
      <c r="B9" s="3510" t="s">
        <v>2343</v>
      </c>
      <c r="C9" s="3511"/>
      <c r="D9" s="2638">
        <f>ROUND(D6*E9,0)</f>
        <v>548</v>
      </c>
      <c r="E9" s="2642">
        <v>0.15</v>
      </c>
      <c r="F9" s="2643" t="s">
        <v>2344</v>
      </c>
      <c r="G9" s="2622"/>
      <c r="H9" s="2597"/>
      <c r="I9" s="2598"/>
      <c r="J9" s="3493"/>
      <c r="K9" s="3495"/>
      <c r="L9" s="2632" t="s">
        <v>2345</v>
      </c>
      <c r="M9" s="2633"/>
      <c r="N9" s="2609"/>
      <c r="O9" s="2634"/>
      <c r="P9" s="2634"/>
      <c r="Q9" s="2635">
        <v>365</v>
      </c>
      <c r="R9" s="2636">
        <f t="shared" si="0"/>
        <v>0</v>
      </c>
      <c r="S9" s="2590"/>
      <c r="T9" s="2590"/>
      <c r="U9" s="2590"/>
      <c r="V9" s="2598"/>
    </row>
    <row r="10" spans="1:22" s="2602" customFormat="1" ht="13.15" customHeight="1">
      <c r="A10" s="2637">
        <v>2</v>
      </c>
      <c r="B10" s="3510" t="s">
        <v>2346</v>
      </c>
      <c r="C10" s="3511"/>
      <c r="D10" s="2638">
        <f>ROUND(D6*E10,0)</f>
        <v>730</v>
      </c>
      <c r="E10" s="2642">
        <v>0.2</v>
      </c>
      <c r="F10" s="2643" t="s">
        <v>2347</v>
      </c>
      <c r="G10" s="2622"/>
      <c r="H10" s="2597"/>
      <c r="I10" s="2598"/>
      <c r="J10" s="3493"/>
      <c r="K10" s="3495"/>
      <c r="L10" s="2632" t="s">
        <v>2334</v>
      </c>
      <c r="M10" s="2633"/>
      <c r="N10" s="2609"/>
      <c r="O10" s="2634"/>
      <c r="P10" s="2634"/>
      <c r="Q10" s="2635">
        <v>365</v>
      </c>
      <c r="R10" s="2636">
        <f t="shared" si="0"/>
        <v>0</v>
      </c>
      <c r="S10" s="2590"/>
      <c r="T10" s="2590"/>
      <c r="U10" s="2590"/>
      <c r="V10" s="2598"/>
    </row>
    <row r="11" spans="1:22" s="2602" customFormat="1" ht="13.15" customHeight="1">
      <c r="A11" s="2637">
        <v>3</v>
      </c>
      <c r="B11" s="3510" t="s">
        <v>2348</v>
      </c>
      <c r="C11" s="3511"/>
      <c r="D11" s="2638">
        <f ca="1">D12+D14+D15+D16</f>
        <v>353</v>
      </c>
      <c r="E11" s="2644">
        <f ca="1">D11/D6</f>
        <v>9.6712328767123282E-2</v>
      </c>
      <c r="F11" s="2640"/>
      <c r="G11" s="2641"/>
      <c r="H11" s="2597"/>
      <c r="I11" s="2598"/>
      <c r="J11" s="3493"/>
      <c r="K11" s="3495"/>
      <c r="L11" s="2632" t="s">
        <v>2349</v>
      </c>
      <c r="M11" s="2633"/>
      <c r="N11" s="2609"/>
      <c r="O11" s="2634"/>
      <c r="P11" s="2634"/>
      <c r="Q11" s="2635">
        <v>365</v>
      </c>
      <c r="R11" s="2636">
        <f t="shared" si="0"/>
        <v>0</v>
      </c>
      <c r="S11" s="2590"/>
      <c r="T11" s="2590"/>
      <c r="U11" s="2590"/>
      <c r="V11" s="2598"/>
    </row>
    <row r="12" spans="1:22" s="2602" customFormat="1" ht="13.15" customHeight="1">
      <c r="A12" s="2645" t="s">
        <v>2350</v>
      </c>
      <c r="B12" s="3503" t="s">
        <v>2351</v>
      </c>
      <c r="C12" s="3504"/>
      <c r="D12" s="2646">
        <f ca="1">ROUND(D13*1.2%*(1-30%),0)</f>
        <v>151</v>
      </c>
      <c r="E12" s="2647">
        <v>1.2E-2</v>
      </c>
      <c r="F12" s="2640" t="s">
        <v>2352</v>
      </c>
      <c r="G12" s="2641"/>
      <c r="H12" s="2597"/>
      <c r="I12" s="2598"/>
      <c r="J12" s="3493"/>
      <c r="K12" s="3495"/>
      <c r="L12" s="2632" t="s">
        <v>2353</v>
      </c>
      <c r="M12" s="2633"/>
      <c r="N12" s="2609"/>
      <c r="O12" s="2634"/>
      <c r="P12" s="2634"/>
      <c r="Q12" s="2635">
        <v>365</v>
      </c>
      <c r="R12" s="2636">
        <f t="shared" si="0"/>
        <v>0</v>
      </c>
      <c r="S12" s="2590"/>
      <c r="T12" s="2590"/>
      <c r="U12" s="2590"/>
      <c r="V12" s="2598"/>
    </row>
    <row r="13" spans="1:22" s="2602" customFormat="1" ht="13.15" customHeight="1">
      <c r="A13" s="2645"/>
      <c r="B13" s="2648"/>
      <c r="C13" s="2649" t="s">
        <v>2354</v>
      </c>
      <c r="D13" s="2650">
        <f ca="1">收益法!C29</f>
        <v>17920</v>
      </c>
      <c r="E13" s="2651"/>
      <c r="F13" s="2640"/>
      <c r="G13" s="2641"/>
      <c r="H13" s="2597"/>
      <c r="I13" s="2598"/>
      <c r="J13" s="3493"/>
      <c r="K13" s="3495"/>
      <c r="L13" s="2632" t="s">
        <v>2355</v>
      </c>
      <c r="M13" s="2633"/>
      <c r="N13" s="2609"/>
      <c r="O13" s="2634"/>
      <c r="P13" s="2634"/>
      <c r="Q13" s="2635">
        <v>365</v>
      </c>
      <c r="R13" s="2636">
        <f t="shared" si="0"/>
        <v>0</v>
      </c>
      <c r="S13" s="2590"/>
      <c r="T13" s="2590"/>
      <c r="U13" s="2590"/>
      <c r="V13" s="2598"/>
    </row>
    <row r="14" spans="1:22" s="2602" customFormat="1" ht="13.15" customHeight="1">
      <c r="A14" s="2645" t="s">
        <v>2356</v>
      </c>
      <c r="B14" s="3503" t="s">
        <v>2357</v>
      </c>
      <c r="C14" s="3504"/>
      <c r="D14" s="2646">
        <f>ROUND(E14*B5/10000,0)</f>
        <v>1</v>
      </c>
      <c r="E14" s="2635">
        <v>1.5</v>
      </c>
      <c r="F14" s="2640" t="s">
        <v>2358</v>
      </c>
      <c r="G14" s="2641"/>
      <c r="H14" s="2597"/>
      <c r="I14" s="2598"/>
      <c r="J14" s="3493"/>
      <c r="K14" s="3496"/>
      <c r="L14" s="2652" t="s">
        <v>2359</v>
      </c>
      <c r="M14" s="2653">
        <f>SUM(M7:M13)</f>
        <v>250</v>
      </c>
      <c r="N14" s="2653">
        <f>ROUND((N7*M7+N8*M8+N9*M9+N10*M10+N11*M11+N12*M12+N13*M13)/M14,0)</f>
        <v>250</v>
      </c>
      <c r="O14" s="2654"/>
      <c r="P14" s="2654"/>
      <c r="Q14" s="2655"/>
      <c r="R14" s="2601">
        <f>SUM(R7:R13)</f>
        <v>1825</v>
      </c>
      <c r="S14" s="2590"/>
      <c r="T14" s="2590"/>
      <c r="U14" s="2590"/>
      <c r="V14" s="2598"/>
    </row>
    <row r="15" spans="1:22" s="2602" customFormat="1" ht="13.15" customHeight="1">
      <c r="A15" s="2645" t="s">
        <v>2360</v>
      </c>
      <c r="B15" s="3503" t="s">
        <v>2361</v>
      </c>
      <c r="C15" s="3504"/>
      <c r="D15" s="2646">
        <f>ROUND(D6*E15,0)</f>
        <v>201</v>
      </c>
      <c r="E15" s="2647">
        <v>5.5E-2</v>
      </c>
      <c r="F15" s="2640" t="s">
        <v>2362</v>
      </c>
      <c r="G15" s="2622"/>
      <c r="H15" s="2597"/>
      <c r="I15" s="2598"/>
      <c r="J15" s="3493">
        <v>2</v>
      </c>
      <c r="K15" s="3494" t="s">
        <v>2363</v>
      </c>
      <c r="L15" s="2632" t="s">
        <v>2364</v>
      </c>
      <c r="M15" s="2633" t="s">
        <v>2365</v>
      </c>
      <c r="N15" s="2633" t="s">
        <v>2366</v>
      </c>
      <c r="O15" s="2634" t="s">
        <v>2367</v>
      </c>
      <c r="P15" s="2634" t="s">
        <v>2330</v>
      </c>
      <c r="Q15" s="2609" t="s">
        <v>2368</v>
      </c>
      <c r="R15" s="2656" t="s">
        <v>2331</v>
      </c>
      <c r="S15" s="2590"/>
      <c r="T15" s="2590"/>
      <c r="U15" s="2590"/>
      <c r="V15" s="2598"/>
    </row>
    <row r="16" spans="1:22" s="2602" customFormat="1" ht="13.15" customHeight="1">
      <c r="A16" s="2645" t="s">
        <v>2369</v>
      </c>
      <c r="B16" s="3503" t="s">
        <v>2370</v>
      </c>
      <c r="C16" s="3504"/>
      <c r="D16" s="2657">
        <f>D6*E16</f>
        <v>0</v>
      </c>
      <c r="E16" s="2658"/>
      <c r="F16" s="2643" t="s">
        <v>2371</v>
      </c>
      <c r="G16" s="2622"/>
      <c r="H16" s="2597"/>
      <c r="I16" s="2598"/>
      <c r="J16" s="3493"/>
      <c r="K16" s="3495"/>
      <c r="L16" s="2632" t="s">
        <v>2372</v>
      </c>
      <c r="M16" s="2633"/>
      <c r="N16" s="2633"/>
      <c r="O16" s="2634"/>
      <c r="P16" s="2635">
        <v>365</v>
      </c>
      <c r="Q16" s="2609"/>
      <c r="R16" s="2656">
        <f>ROUND(M16*N16*O16*P16/10000,0)</f>
        <v>0</v>
      </c>
      <c r="S16" s="2590"/>
      <c r="T16" s="2590"/>
      <c r="U16" s="2590"/>
      <c r="V16" s="2598"/>
    </row>
    <row r="17" spans="1:22" s="2602" customFormat="1" ht="13.15" customHeight="1" thickBot="1">
      <c r="A17" s="2659">
        <v>4</v>
      </c>
      <c r="B17" s="3505" t="s">
        <v>2373</v>
      </c>
      <c r="C17" s="3506"/>
      <c r="D17" s="2660">
        <f>ROUND(D6*E17,0)</f>
        <v>183</v>
      </c>
      <c r="E17" s="2661">
        <v>0.05</v>
      </c>
      <c r="F17" s="2662" t="s">
        <v>2374</v>
      </c>
      <c r="G17" s="2622"/>
      <c r="H17" s="2597"/>
      <c r="I17" s="2598"/>
      <c r="J17" s="3493"/>
      <c r="K17" s="3495"/>
      <c r="L17" s="2632" t="s">
        <v>2375</v>
      </c>
      <c r="M17" s="2633"/>
      <c r="N17" s="2633"/>
      <c r="O17" s="2634"/>
      <c r="P17" s="2635">
        <v>365</v>
      </c>
      <c r="Q17" s="2609"/>
      <c r="R17" s="2656">
        <f>ROUND(M17*N17*O17*P17/10000,0)</f>
        <v>0</v>
      </c>
      <c r="S17" s="2590"/>
      <c r="T17" s="2590"/>
      <c r="U17" s="2590"/>
      <c r="V17" s="2598"/>
    </row>
    <row r="18" spans="1:22" s="2602" customFormat="1" ht="13.15" customHeight="1" thickBot="1">
      <c r="A18" s="2625" t="s">
        <v>2376</v>
      </c>
      <c r="B18" s="2626"/>
      <c r="C18" s="2626"/>
      <c r="D18" s="2663">
        <f>ROUND(D6*E18,0)</f>
        <v>183</v>
      </c>
      <c r="E18" s="2664">
        <v>0.05</v>
      </c>
      <c r="F18" s="2665" t="s">
        <v>2377</v>
      </c>
      <c r="G18" s="2622"/>
      <c r="H18" s="2597"/>
      <c r="I18" s="2598"/>
      <c r="J18" s="3493"/>
      <c r="K18" s="3495"/>
      <c r="L18" s="2632" t="s">
        <v>2378</v>
      </c>
      <c r="M18" s="2633"/>
      <c r="N18" s="2633"/>
      <c r="O18" s="2634"/>
      <c r="P18" s="2635">
        <v>365</v>
      </c>
      <c r="Q18" s="2609"/>
      <c r="R18" s="2656">
        <f>ROUND(M18*N18*O18*P18/10000,0)</f>
        <v>0</v>
      </c>
      <c r="S18" s="2590"/>
      <c r="T18" s="2590"/>
      <c r="U18" s="2590"/>
      <c r="V18" s="2598"/>
    </row>
    <row r="19" spans="1:22" s="2602" customFormat="1" ht="13.15" customHeight="1" thickBot="1">
      <c r="A19" s="2666" t="s">
        <v>2379</v>
      </c>
      <c r="B19" s="2620"/>
      <c r="C19" s="2620"/>
      <c r="D19" s="2620"/>
      <c r="E19" s="2620"/>
      <c r="F19" s="2621"/>
      <c r="G19" s="2641"/>
      <c r="H19" s="2597"/>
      <c r="I19" s="2598"/>
      <c r="J19" s="3493"/>
      <c r="K19" s="3496"/>
      <c r="L19" s="2652" t="s">
        <v>2359</v>
      </c>
      <c r="M19" s="2653"/>
      <c r="N19" s="2653">
        <f>SUM(N16:N18)</f>
        <v>0</v>
      </c>
      <c r="O19" s="2654"/>
      <c r="P19" s="2667" t="s">
        <v>3456</v>
      </c>
      <c r="Q19" s="2634">
        <v>0.4</v>
      </c>
      <c r="R19" s="2668">
        <f>ROUND(IF(P19="按比例",R14*Q19,SUM(R16:R18)),0)</f>
        <v>730</v>
      </c>
      <c r="S19" s="2590"/>
      <c r="T19" s="2590"/>
      <c r="U19" s="2590"/>
      <c r="V19" s="2598"/>
    </row>
    <row r="20" spans="1:22" s="2602" customFormat="1" ht="13.15" customHeight="1">
      <c r="A20" s="2625"/>
      <c r="B20" s="2626"/>
      <c r="C20" s="2626"/>
      <c r="D20" s="2626"/>
      <c r="E20" s="2626"/>
      <c r="F20" s="2669"/>
      <c r="G20" s="2641"/>
      <c r="H20" s="2597"/>
      <c r="I20" s="2598"/>
      <c r="J20" s="3493">
        <v>3</v>
      </c>
      <c r="K20" s="3494" t="s">
        <v>2380</v>
      </c>
      <c r="L20" s="2632" t="s">
        <v>2381</v>
      </c>
      <c r="M20" s="2633" t="s">
        <v>2382</v>
      </c>
      <c r="N20" s="2670" t="s">
        <v>2383</v>
      </c>
      <c r="O20" s="2634" t="s">
        <v>2384</v>
      </c>
      <c r="P20" s="2635" t="s">
        <v>2385</v>
      </c>
      <c r="Q20" s="2609" t="s">
        <v>2386</v>
      </c>
      <c r="R20" s="2656" t="s">
        <v>2387</v>
      </c>
      <c r="S20" s="2590"/>
      <c r="T20" s="2590"/>
      <c r="U20" s="2590"/>
      <c r="V20" s="2598"/>
    </row>
    <row r="21" spans="1:22" s="2602" customFormat="1" ht="13.15" customHeight="1">
      <c r="A21" s="2625"/>
      <c r="B21" s="2626"/>
      <c r="C21" s="2671" t="s">
        <v>2388</v>
      </c>
      <c r="D21" s="2672" t="s">
        <v>2389</v>
      </c>
      <c r="E21" s="2673" t="s">
        <v>2390</v>
      </c>
      <c r="F21" s="2669"/>
      <c r="G21" s="2641"/>
      <c r="H21" s="2597"/>
      <c r="I21" s="2598"/>
      <c r="J21" s="3493"/>
      <c r="K21" s="3495"/>
      <c r="L21" s="2632" t="s">
        <v>2391</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2392</v>
      </c>
      <c r="D22" s="2676" t="s">
        <v>2393</v>
      </c>
      <c r="E22" s="2677" t="s">
        <v>2394</v>
      </c>
      <c r="F22" s="2669"/>
      <c r="G22" s="2590"/>
      <c r="H22" s="2597"/>
      <c r="I22" s="2598"/>
      <c r="J22" s="3493"/>
      <c r="K22" s="3495"/>
      <c r="L22" s="2632" t="s">
        <v>2395</v>
      </c>
      <c r="M22" s="2633"/>
      <c r="N22" s="2633"/>
      <c r="O22" s="2634"/>
      <c r="P22" s="2635">
        <v>365</v>
      </c>
      <c r="Q22" s="2609"/>
      <c r="R22" s="2674">
        <f>ROUND(M22*N22*O22*P22/10000,0)</f>
        <v>0</v>
      </c>
      <c r="S22" s="2590"/>
      <c r="T22" s="2590"/>
      <c r="U22" s="2590"/>
      <c r="V22" s="2598"/>
    </row>
    <row r="23" spans="1:22" s="2602" customFormat="1" ht="13.15" customHeight="1">
      <c r="A23" s="2678">
        <v>1</v>
      </c>
      <c r="B23" s="2679" t="s">
        <v>2396</v>
      </c>
      <c r="C23" s="2680">
        <f>D6</f>
        <v>3650</v>
      </c>
      <c r="D23" s="2681">
        <f>C23*(1+D24)</f>
        <v>4015.0000000000005</v>
      </c>
      <c r="E23" s="2682">
        <f>D23*(1+E24)</f>
        <v>4376.3500000000004</v>
      </c>
      <c r="F23" s="2683"/>
      <c r="G23" s="2684"/>
      <c r="H23" s="2597"/>
      <c r="I23" s="2598"/>
      <c r="J23" s="3493"/>
      <c r="K23" s="3495"/>
      <c r="L23" s="2632" t="s">
        <v>2397</v>
      </c>
      <c r="M23" s="2633"/>
      <c r="N23" s="2633"/>
      <c r="O23" s="2634"/>
      <c r="P23" s="2635">
        <v>365</v>
      </c>
      <c r="Q23" s="2609"/>
      <c r="R23" s="2674">
        <f>ROUND(M23*N23*O23*P23/10000,0)</f>
        <v>0</v>
      </c>
      <c r="S23" s="2590"/>
      <c r="T23" s="2590"/>
      <c r="U23" s="2590"/>
      <c r="V23" s="2598"/>
    </row>
    <row r="24" spans="1:22" s="2602" customFormat="1" ht="13.15" customHeight="1">
      <c r="A24" s="2685"/>
      <c r="B24" s="2686" t="s">
        <v>2398</v>
      </c>
      <c r="C24" s="2687"/>
      <c r="D24" s="2688">
        <v>0.1</v>
      </c>
      <c r="E24" s="2689">
        <v>0.09</v>
      </c>
      <c r="F24" s="2690"/>
      <c r="G24" s="2684"/>
      <c r="H24" s="2597"/>
      <c r="I24" s="2598"/>
      <c r="J24" s="3493"/>
      <c r="K24" s="3496"/>
      <c r="L24" s="2652" t="s">
        <v>2359</v>
      </c>
      <c r="M24" s="2653">
        <f>SUM(M21:M23)</f>
        <v>0</v>
      </c>
      <c r="N24" s="2653"/>
      <c r="O24" s="2654"/>
      <c r="P24" s="2667" t="s">
        <v>3456</v>
      </c>
      <c r="Q24" s="2634">
        <v>0.4</v>
      </c>
      <c r="R24" s="2668">
        <f>ROUND(IF(P24="按比例",R14*Q24,SUM(R21:R23)),0)</f>
        <v>730</v>
      </c>
      <c r="S24" s="2590"/>
      <c r="T24" s="2590"/>
      <c r="U24" s="2590"/>
      <c r="V24" s="2598"/>
    </row>
    <row r="25" spans="1:22" s="2697" customFormat="1" ht="13.15" customHeight="1">
      <c r="A25" s="2685"/>
      <c r="B25" s="2686"/>
      <c r="C25" s="2687"/>
      <c r="D25" s="2688"/>
      <c r="E25" s="2689"/>
      <c r="F25" s="2690"/>
      <c r="G25" s="2590"/>
      <c r="H25" s="2597"/>
      <c r="I25" s="2598"/>
      <c r="J25" s="2691">
        <v>4</v>
      </c>
      <c r="K25" s="2692" t="s">
        <v>2399</v>
      </c>
      <c r="L25" s="2693"/>
      <c r="M25" s="2693"/>
      <c r="N25" s="2693"/>
      <c r="O25" s="2693"/>
      <c r="P25" s="2694"/>
      <c r="Q25" s="2695">
        <v>0.2</v>
      </c>
      <c r="R25" s="2668">
        <f>ROUND(R14*Q25,0)</f>
        <v>365</v>
      </c>
      <c r="S25" s="2590"/>
      <c r="T25" s="2590"/>
      <c r="U25" s="2590"/>
      <c r="V25" s="2696"/>
    </row>
    <row r="26" spans="1:22" s="2697" customFormat="1" ht="13.15" customHeight="1">
      <c r="A26" s="2678">
        <v>2</v>
      </c>
      <c r="B26" s="2679" t="s">
        <v>2400</v>
      </c>
      <c r="C26" s="2680">
        <f ca="1">D7</f>
        <v>1814</v>
      </c>
      <c r="D26" s="2681">
        <f ca="1">D23*D27</f>
        <v>1994.3</v>
      </c>
      <c r="E26" s="2682">
        <f ca="1">E23*E27</f>
        <v>2173.7869999999998</v>
      </c>
      <c r="F26" s="2683"/>
      <c r="G26" s="2684"/>
      <c r="H26" s="2597"/>
      <c r="I26" s="2598"/>
      <c r="J26" s="3497">
        <v>5</v>
      </c>
      <c r="K26" s="2698" t="s">
        <v>2401</v>
      </c>
      <c r="L26" s="2699"/>
      <c r="M26" s="2700"/>
      <c r="N26" s="2701" t="s">
        <v>2402</v>
      </c>
      <c r="O26" s="2701" t="s">
        <v>2403</v>
      </c>
      <c r="P26" s="2702" t="s">
        <v>2404</v>
      </c>
      <c r="Q26" s="2702" t="s">
        <v>2405</v>
      </c>
      <c r="R26" s="2607" t="s">
        <v>2331</v>
      </c>
      <c r="S26" s="2641"/>
      <c r="T26" s="2641"/>
      <c r="U26" s="2641"/>
      <c r="V26" s="2696"/>
    </row>
    <row r="27" spans="1:22" s="2602" customFormat="1" ht="13.15" customHeight="1">
      <c r="A27" s="2685"/>
      <c r="B27" s="2686" t="s">
        <v>2406</v>
      </c>
      <c r="C27" s="2703">
        <f ca="1">E7</f>
        <v>0.49671232876712323</v>
      </c>
      <c r="D27" s="2688">
        <f ca="1">C27</f>
        <v>0.49671232876712323</v>
      </c>
      <c r="E27" s="2689">
        <f ca="1">C27</f>
        <v>0.49671232876712323</v>
      </c>
      <c r="F27" s="2690"/>
      <c r="G27" s="2684"/>
      <c r="H27" s="2704"/>
      <c r="I27" s="2696"/>
      <c r="J27" s="3498"/>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2407</v>
      </c>
      <c r="F28" s="2690"/>
      <c r="G28" s="2590"/>
      <c r="H28" s="2704"/>
      <c r="I28" s="2696"/>
      <c r="J28" s="2710">
        <v>6</v>
      </c>
      <c r="K28" s="2711" t="s">
        <v>2408</v>
      </c>
      <c r="L28" s="2712" t="s">
        <v>2409</v>
      </c>
      <c r="M28" s="2713"/>
      <c r="N28" s="2712" t="s">
        <v>2410</v>
      </c>
      <c r="O28" s="2714"/>
      <c r="P28" s="2712" t="s">
        <v>2411</v>
      </c>
      <c r="Q28" s="2715">
        <v>1.4999999999999999E-2</v>
      </c>
      <c r="R28" s="2716"/>
      <c r="S28" s="2590"/>
      <c r="T28" s="2590"/>
      <c r="U28" s="2590"/>
      <c r="V28" s="2696"/>
    </row>
    <row r="29" spans="1:22" s="2697" customFormat="1" ht="13.15" customHeight="1">
      <c r="A29" s="2678">
        <v>3</v>
      </c>
      <c r="B29" s="2679" t="s">
        <v>2412</v>
      </c>
      <c r="C29" s="2680">
        <f>C23*C30</f>
        <v>182.5</v>
      </c>
      <c r="D29" s="2681">
        <f>D23*C30</f>
        <v>200.75000000000003</v>
      </c>
      <c r="E29" s="2682">
        <f>E23*C30</f>
        <v>218.81750000000002</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2406</v>
      </c>
      <c r="C30" s="2703">
        <f>E18</f>
        <v>0.05</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2413</v>
      </c>
      <c r="K31" s="2588"/>
      <c r="L31" s="2588"/>
      <c r="M31" s="2588"/>
      <c r="N31" s="2588"/>
      <c r="O31" s="2588"/>
      <c r="P31" s="2588"/>
      <c r="Q31" s="2588"/>
      <c r="R31" s="2589"/>
      <c r="S31" s="2590"/>
      <c r="T31" s="2590"/>
      <c r="U31" s="2590"/>
      <c r="V31" s="2696"/>
    </row>
    <row r="32" spans="1:22" s="2697" customFormat="1" ht="13.15" customHeight="1">
      <c r="A32" s="2678">
        <v>4</v>
      </c>
      <c r="B32" s="2679" t="s">
        <v>2414</v>
      </c>
      <c r="C32" s="2680">
        <f ca="1">C23-C26-C29</f>
        <v>1653.5</v>
      </c>
      <c r="D32" s="2681">
        <f ca="1">D23-D26-D29</f>
        <v>1819.9500000000005</v>
      </c>
      <c r="E32" s="2682">
        <f ca="1">E23-E26-E29</f>
        <v>1983.7455000000004</v>
      </c>
      <c r="F32" s="2683"/>
      <c r="G32" s="2590"/>
      <c r="H32" s="2597"/>
      <c r="I32" s="2598"/>
      <c r="J32" s="3499" t="s">
        <v>2307</v>
      </c>
      <c r="K32" s="3500"/>
      <c r="L32" s="2599" t="s">
        <v>2308</v>
      </c>
      <c r="M32" s="2599" t="s">
        <v>2309</v>
      </c>
      <c r="N32" s="2599" t="s">
        <v>2310</v>
      </c>
      <c r="O32" s="2599" t="s">
        <v>2311</v>
      </c>
      <c r="P32" s="2599" t="s">
        <v>2312</v>
      </c>
      <c r="Q32" s="2600" t="s">
        <v>2313</v>
      </c>
      <c r="R32" s="2719" t="s">
        <v>2314</v>
      </c>
      <c r="S32" s="2590"/>
      <c r="T32" s="2590"/>
      <c r="U32" s="2590"/>
      <c r="V32" s="2696"/>
    </row>
    <row r="33" spans="1:23" s="2602" customFormat="1" ht="13.15" customHeight="1">
      <c r="A33" s="2678"/>
      <c r="B33" s="2679"/>
      <c r="C33" s="2680"/>
      <c r="D33" s="2720"/>
      <c r="E33" s="2721"/>
      <c r="F33" s="2683"/>
      <c r="G33" s="2590"/>
      <c r="H33" s="2704"/>
      <c r="I33" s="2696"/>
      <c r="J33" s="3501" t="s">
        <v>2317</v>
      </c>
      <c r="K33" s="3502"/>
      <c r="L33" s="2605"/>
      <c r="M33" s="2605"/>
      <c r="N33" s="2605"/>
      <c r="O33" s="2605"/>
      <c r="P33" s="2605"/>
      <c r="Q33" s="2606"/>
      <c r="R33" s="2722">
        <f>SUM(L33:Q33)</f>
        <v>0</v>
      </c>
      <c r="S33" s="2590"/>
      <c r="T33" s="2590"/>
      <c r="U33" s="2590"/>
      <c r="V33" s="2598"/>
    </row>
    <row r="34" spans="1:23" s="2602" customFormat="1" ht="13.15" customHeight="1">
      <c r="A34" s="2678">
        <v>5</v>
      </c>
      <c r="B34" s="2679" t="s">
        <v>2415</v>
      </c>
      <c r="C34" s="2723">
        <f>'数据-取费表'!I6</f>
        <v>5.5E-2</v>
      </c>
      <c r="D34" s="2724">
        <f>C34</f>
        <v>5.5E-2</v>
      </c>
      <c r="E34" s="2725">
        <f>C34</f>
        <v>5.5E-2</v>
      </c>
      <c r="F34" s="2683"/>
      <c r="G34" s="2590"/>
      <c r="H34" s="2704"/>
      <c r="I34" s="2696"/>
      <c r="J34" s="3501" t="s">
        <v>2319</v>
      </c>
      <c r="K34" s="3502"/>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2416</v>
      </c>
      <c r="C35" s="2727">
        <v>0.02</v>
      </c>
      <c r="D35" s="2728">
        <v>1.4999999999999999E-2</v>
      </c>
      <c r="E35" s="2729">
        <v>1.4999999999999999E-2</v>
      </c>
      <c r="F35" s="2683"/>
      <c r="G35" s="2730"/>
      <c r="H35" s="2597"/>
      <c r="I35" s="2696"/>
      <c r="J35" s="2616" t="s">
        <v>2321</v>
      </c>
      <c r="K35" s="2617"/>
      <c r="L35" s="2617"/>
      <c r="M35" s="2618"/>
      <c r="N35" s="2618"/>
      <c r="O35" s="2618"/>
      <c r="P35" s="2618"/>
      <c r="Q35" s="2618"/>
      <c r="R35" s="2731">
        <f>R40+R41+R43</f>
        <v>0</v>
      </c>
      <c r="S35" s="2590"/>
      <c r="T35" s="2590" t="s">
        <v>2322</v>
      </c>
      <c r="U35" s="2590"/>
      <c r="V35" s="2598"/>
    </row>
    <row r="36" spans="1:23" s="2602" customFormat="1" ht="13.15" customHeight="1" thickBot="1">
      <c r="A36" s="2678">
        <v>7</v>
      </c>
      <c r="B36" s="2732" t="s">
        <v>2417</v>
      </c>
      <c r="C36" s="2733">
        <v>5</v>
      </c>
      <c r="D36" s="2734">
        <v>5</v>
      </c>
      <c r="E36" s="2735">
        <f>项目基本情况!F15-'收益法-酒店模型'!C36-'收益法-酒店模型'!D36</f>
        <v>35.590000000000003</v>
      </c>
      <c r="F36" s="2736">
        <f>C36+D36+E36</f>
        <v>45.59</v>
      </c>
      <c r="G36" s="2590"/>
      <c r="H36" s="2597"/>
      <c r="I36" s="2598"/>
      <c r="J36" s="3493">
        <v>1</v>
      </c>
      <c r="K36" s="3494" t="s">
        <v>2418</v>
      </c>
      <c r="L36" s="2623"/>
      <c r="M36" s="2624"/>
      <c r="N36" s="2624"/>
      <c r="O36" s="2624"/>
      <c r="P36" s="2624"/>
      <c r="Q36" s="2624"/>
      <c r="R36" s="2607" t="s">
        <v>2331</v>
      </c>
      <c r="S36" s="2590"/>
      <c r="T36" s="2590" t="s">
        <v>2332</v>
      </c>
      <c r="U36" s="2590"/>
      <c r="V36" s="2598"/>
    </row>
    <row r="37" spans="1:23" s="2602" customFormat="1" ht="13.15" customHeight="1">
      <c r="A37" s="2678"/>
      <c r="B37" s="2679"/>
      <c r="C37" s="2679"/>
      <c r="D37" s="2679"/>
      <c r="E37" s="2679"/>
      <c r="F37" s="2683"/>
      <c r="G37" s="2590"/>
      <c r="H37" s="2597"/>
      <c r="I37" s="2598"/>
      <c r="J37" s="3493"/>
      <c r="K37" s="3495"/>
      <c r="L37" s="2632"/>
      <c r="M37" s="2633"/>
      <c r="N37" s="2609"/>
      <c r="O37" s="2634"/>
      <c r="P37" s="2634"/>
      <c r="Q37" s="2635"/>
      <c r="R37" s="2636"/>
      <c r="S37" s="2590"/>
      <c r="T37" s="2590" t="s">
        <v>2335</v>
      </c>
      <c r="U37" s="2590"/>
      <c r="V37" s="2598"/>
    </row>
    <row r="38" spans="1:23" s="2602" customFormat="1" ht="13.15" customHeight="1">
      <c r="A38" s="2678">
        <v>8</v>
      </c>
      <c r="B38" s="2679"/>
      <c r="C38" s="2638">
        <f ca="1">ROUND(C32*(1-((1+C35)/(1+C34))^C36)/(C34-C35),0)</f>
        <v>7334</v>
      </c>
      <c r="D38" s="2638">
        <f ca="1">IF(D23=0,0,ROUND(D32*(1-((1+D35)/(1+D34))^D36)/(D34-D35),0))</f>
        <v>7996</v>
      </c>
      <c r="E38" s="2638">
        <f ca="1">IF(E23=0,0,ROUND(E32*(1-((1+E35)/(1+E34))^E36)/(E34-E35),0))</f>
        <v>37062</v>
      </c>
      <c r="F38" s="2683"/>
      <c r="G38" s="2590"/>
      <c r="H38" s="2597"/>
      <c r="I38" s="2598"/>
      <c r="J38" s="3493"/>
      <c r="K38" s="3495"/>
      <c r="L38" s="2632"/>
      <c r="M38" s="2633"/>
      <c r="N38" s="2609"/>
      <c r="O38" s="2634"/>
      <c r="P38" s="2634"/>
      <c r="Q38" s="2635"/>
      <c r="R38" s="2636"/>
      <c r="S38" s="2590"/>
      <c r="T38" s="2590" t="s">
        <v>2342</v>
      </c>
      <c r="U38" s="2590"/>
      <c r="V38" s="2598"/>
    </row>
    <row r="39" spans="1:23" s="2602" customFormat="1" ht="13.15" customHeight="1">
      <c r="A39" s="2678">
        <v>9</v>
      </c>
      <c r="B39" s="2679" t="s">
        <v>2419</v>
      </c>
      <c r="C39" s="2646">
        <f ca="1">C38</f>
        <v>7334</v>
      </c>
      <c r="D39" s="2679">
        <f ca="1">D38/(1+D34)^C36</f>
        <v>6118.0142933122315</v>
      </c>
      <c r="E39" s="2679">
        <f ca="1">E38/(1+E34)^(C36+D36)</f>
        <v>21697.228134745976</v>
      </c>
      <c r="F39" s="2683"/>
      <c r="G39" s="2598"/>
      <c r="H39" s="2597"/>
      <c r="I39" s="2598"/>
      <c r="J39" s="3493"/>
      <c r="K39" s="3495"/>
      <c r="L39" s="2632"/>
      <c r="M39" s="2633"/>
      <c r="N39" s="2609"/>
      <c r="O39" s="2634"/>
      <c r="P39" s="2634"/>
      <c r="Q39" s="2635"/>
      <c r="R39" s="2636"/>
      <c r="S39" s="2590"/>
      <c r="T39" s="2590"/>
      <c r="U39" s="2590"/>
      <c r="V39" s="2598"/>
    </row>
    <row r="40" spans="1:23" s="2602" customFormat="1" ht="13.15" customHeight="1">
      <c r="A40" s="2737">
        <v>10</v>
      </c>
      <c r="B40" s="2679" t="s">
        <v>2420</v>
      </c>
      <c r="C40" s="2738">
        <f ca="1">C39+D39+E39</f>
        <v>35149.242428058205</v>
      </c>
      <c r="D40" s="2739"/>
      <c r="E40" s="2739"/>
      <c r="F40" s="2740"/>
      <c r="G40" s="2590"/>
      <c r="H40" s="2597"/>
      <c r="I40" s="2598"/>
      <c r="J40" s="3493"/>
      <c r="K40" s="3496"/>
      <c r="L40" s="2652" t="s">
        <v>2359</v>
      </c>
      <c r="M40" s="2653"/>
      <c r="N40" s="2653"/>
      <c r="O40" s="2654"/>
      <c r="P40" s="2654"/>
      <c r="Q40" s="2655"/>
      <c r="R40" s="2601">
        <f>SUM(R37:R39)</f>
        <v>0</v>
      </c>
      <c r="S40" s="2590"/>
      <c r="T40" s="2590"/>
      <c r="U40" s="2590"/>
      <c r="V40" s="2598"/>
    </row>
    <row r="41" spans="1:23" s="2602" customFormat="1" ht="13.15" customHeight="1" thickBot="1">
      <c r="A41" s="2741">
        <v>11</v>
      </c>
      <c r="B41" s="2742" t="s">
        <v>2421</v>
      </c>
      <c r="C41" s="2742">
        <f ca="1">ROUND(C40*10000/B4,0)</f>
        <v>14647</v>
      </c>
      <c r="D41" s="2743"/>
      <c r="E41" s="2743"/>
      <c r="F41" s="2744"/>
      <c r="G41" s="2597"/>
      <c r="H41" s="2597"/>
      <c r="I41" s="2598"/>
      <c r="J41" s="2691">
        <v>2</v>
      </c>
      <c r="K41" s="2692" t="s">
        <v>2399</v>
      </c>
      <c r="L41" s="2693"/>
      <c r="M41" s="2693"/>
      <c r="N41" s="2693"/>
      <c r="O41" s="2693"/>
      <c r="P41" s="2694"/>
      <c r="Q41" s="2695"/>
      <c r="R41" s="2668">
        <f>ROUND(R40*Q41,0)</f>
        <v>0</v>
      </c>
      <c r="S41" s="2590"/>
      <c r="T41" s="2590"/>
      <c r="U41" s="2641"/>
      <c r="V41" s="2598"/>
    </row>
    <row r="42" spans="1:23" s="2602" customFormat="1" ht="13.15" customHeight="1">
      <c r="G42" s="2597"/>
      <c r="H42" s="2597"/>
      <c r="I42" s="2598"/>
      <c r="J42" s="3497">
        <v>3</v>
      </c>
      <c r="K42" s="2698" t="s">
        <v>2401</v>
      </c>
      <c r="L42" s="2699"/>
      <c r="M42" s="2700"/>
      <c r="N42" s="2701" t="s">
        <v>2402</v>
      </c>
      <c r="O42" s="2701" t="s">
        <v>2403</v>
      </c>
      <c r="P42" s="2702" t="s">
        <v>2404</v>
      </c>
      <c r="Q42" s="2702" t="s">
        <v>2405</v>
      </c>
      <c r="R42" s="2607" t="s">
        <v>2331</v>
      </c>
      <c r="S42" s="2641"/>
      <c r="T42" s="2641"/>
      <c r="U42" s="2590"/>
      <c r="V42" s="2598"/>
    </row>
    <row r="43" spans="1:23" ht="13.15" customHeight="1">
      <c r="A43" s="2602"/>
      <c r="B43" s="2602"/>
      <c r="C43" s="2602"/>
      <c r="D43" s="2602"/>
      <c r="E43" s="2602"/>
      <c r="F43" s="2602"/>
      <c r="I43" s="2585"/>
      <c r="J43" s="3498"/>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2408</v>
      </c>
      <c r="L44" s="2747" t="s">
        <v>2409</v>
      </c>
      <c r="M44" s="2713"/>
      <c r="N44" s="2747" t="s">
        <v>2410</v>
      </c>
      <c r="O44" s="2713"/>
      <c r="P44" s="2747" t="s">
        <v>2411</v>
      </c>
      <c r="Q44" s="2715">
        <v>1.4999999999999999E-2</v>
      </c>
      <c r="R44" s="2716"/>
    </row>
    <row r="50" spans="11:15" ht="13.15" customHeight="1">
      <c r="K50" s="3209" t="s">
        <v>3451</v>
      </c>
      <c r="L50" s="3209" t="s">
        <v>3831</v>
      </c>
    </row>
    <row r="51" spans="11:15" ht="13.15" customHeight="1">
      <c r="K51" s="3209" t="s">
        <v>3830</v>
      </c>
      <c r="L51" s="2745">
        <v>119</v>
      </c>
      <c r="M51" s="3209" t="s">
        <v>3832</v>
      </c>
    </row>
    <row r="52" spans="11:15" ht="13.15" customHeight="1">
      <c r="K52" s="3209" t="s">
        <v>3833</v>
      </c>
      <c r="L52" s="2745">
        <v>125</v>
      </c>
      <c r="M52" s="3209" t="s">
        <v>3832</v>
      </c>
    </row>
    <row r="53" spans="11:15" ht="13.15" customHeight="1">
      <c r="K53" s="3209" t="s">
        <v>3834</v>
      </c>
      <c r="L53" s="2745">
        <v>293</v>
      </c>
      <c r="M53" s="3209" t="s">
        <v>3832</v>
      </c>
    </row>
    <row r="54" spans="11:15" ht="13.15" customHeight="1">
      <c r="K54" s="3209" t="s">
        <v>3835</v>
      </c>
      <c r="L54" s="2745">
        <v>122</v>
      </c>
      <c r="M54" s="3209" t="s">
        <v>3832</v>
      </c>
    </row>
    <row r="55" spans="11:15" ht="13.15" customHeight="1">
      <c r="K55" s="3209" t="s">
        <v>3836</v>
      </c>
      <c r="L55" s="2745">
        <v>209</v>
      </c>
      <c r="M55" s="3209" t="s">
        <v>3832</v>
      </c>
    </row>
    <row r="56" spans="11:15" ht="13.15" customHeight="1">
      <c r="K56" s="3209" t="s">
        <v>3837</v>
      </c>
      <c r="L56" s="2745">
        <v>149</v>
      </c>
      <c r="M56" s="3209" t="s">
        <v>3832</v>
      </c>
    </row>
    <row r="57" spans="11:15" ht="13.15" customHeight="1">
      <c r="K57" s="3209" t="s">
        <v>3838</v>
      </c>
      <c r="L57" s="2745">
        <v>179</v>
      </c>
      <c r="M57" s="3209" t="s">
        <v>3839</v>
      </c>
    </row>
    <row r="59" spans="11:15" ht="13.15" customHeight="1">
      <c r="K59" s="3209" t="s">
        <v>3841</v>
      </c>
      <c r="L59" s="3209" t="s">
        <v>3378</v>
      </c>
      <c r="M59" s="3209" t="s">
        <v>3842</v>
      </c>
      <c r="N59" s="3209" t="s">
        <v>3843</v>
      </c>
    </row>
    <row r="60" spans="11:15" ht="13.15" customHeight="1">
      <c r="K60" s="3210" t="s">
        <v>3840</v>
      </c>
      <c r="L60" s="2745">
        <v>32</v>
      </c>
      <c r="M60" s="2745">
        <v>2000</v>
      </c>
      <c r="N60" s="2745">
        <f>M60/L60/30</f>
        <v>2.0833333333333335</v>
      </c>
      <c r="O60" s="3209" t="s">
        <v>3844</v>
      </c>
    </row>
    <row r="61" spans="11:15" ht="13.15" customHeight="1">
      <c r="L61" s="2745">
        <v>27</v>
      </c>
      <c r="M61" s="2745">
        <v>1500</v>
      </c>
      <c r="N61" s="2745">
        <f>M61/L61/30</f>
        <v>1.8518518518518519</v>
      </c>
    </row>
    <row r="62" spans="11:15" ht="13.15" customHeight="1">
      <c r="K62" s="3209" t="s">
        <v>3845</v>
      </c>
      <c r="L62" s="2745">
        <v>20</v>
      </c>
      <c r="M62" s="2745">
        <v>1800</v>
      </c>
      <c r="N62" s="2745">
        <f>M62/L62/30</f>
        <v>3</v>
      </c>
    </row>
    <row r="67" spans="11:14" ht="13.15" customHeight="1">
      <c r="K67" s="3209" t="s">
        <v>3847</v>
      </c>
      <c r="L67" s="3209" t="s">
        <v>3378</v>
      </c>
      <c r="M67" s="3209" t="s">
        <v>3848</v>
      </c>
      <c r="N67" s="3209" t="s">
        <v>3843</v>
      </c>
    </row>
    <row r="68" spans="11:14" ht="13.15" customHeight="1">
      <c r="K68" s="3210" t="s">
        <v>3840</v>
      </c>
      <c r="L68" s="2745">
        <v>500</v>
      </c>
      <c r="M68" s="2745">
        <v>1</v>
      </c>
      <c r="N68" s="3212" t="s">
        <v>3856</v>
      </c>
    </row>
    <row r="69" spans="11:14" ht="13.15" customHeight="1">
      <c r="M69" s="2745">
        <v>2</v>
      </c>
      <c r="N69" s="2745">
        <v>3</v>
      </c>
    </row>
    <row r="70" spans="11:14" ht="13.15" customHeight="1">
      <c r="M70" s="2745">
        <v>3</v>
      </c>
      <c r="N70" s="2745">
        <v>2</v>
      </c>
    </row>
    <row r="71" spans="11:14" ht="13.15" customHeight="1">
      <c r="K71" s="3209" t="s">
        <v>3849</v>
      </c>
      <c r="L71" s="2745">
        <v>56.91</v>
      </c>
      <c r="M71" s="2745">
        <v>2</v>
      </c>
      <c r="N71" s="2745">
        <v>3.47</v>
      </c>
    </row>
    <row r="74" spans="11:14" ht="13.15" customHeight="1">
      <c r="K74" s="3209" t="s">
        <v>2800</v>
      </c>
      <c r="L74" s="3209" t="s">
        <v>3378</v>
      </c>
      <c r="M74" s="3209" t="s">
        <v>3843</v>
      </c>
    </row>
    <row r="75" spans="11:14" ht="13.15" customHeight="1">
      <c r="K75" s="3209" t="s">
        <v>3850</v>
      </c>
      <c r="L75" s="2745">
        <v>255</v>
      </c>
      <c r="M75" s="2745">
        <v>1.8</v>
      </c>
    </row>
    <row r="76" spans="11:14" ht="13.15" customHeight="1">
      <c r="K76" s="3209" t="s">
        <v>3851</v>
      </c>
      <c r="L76" s="2745">
        <v>260</v>
      </c>
      <c r="M76" s="2745">
        <v>1.8</v>
      </c>
    </row>
    <row r="77" spans="11:14" ht="13.15" customHeight="1">
      <c r="K77" s="3209" t="s">
        <v>3852</v>
      </c>
      <c r="L77" s="2745">
        <v>2000</v>
      </c>
      <c r="M77" s="2745">
        <v>1.5</v>
      </c>
    </row>
    <row r="78" spans="11:14" ht="13.15" customHeight="1">
      <c r="K78" s="3209" t="s">
        <v>3853</v>
      </c>
      <c r="L78" s="2745">
        <v>1400</v>
      </c>
      <c r="M78" s="2745">
        <v>1.7</v>
      </c>
    </row>
    <row r="79" spans="11:14" ht="13.15" customHeight="1">
      <c r="K79" s="3209" t="s">
        <v>3854</v>
      </c>
      <c r="L79" s="2745">
        <v>30</v>
      </c>
      <c r="M79" s="2745">
        <v>1.67</v>
      </c>
    </row>
    <row r="80" spans="11:14" ht="13.15" customHeight="1">
      <c r="K80" s="3209" t="s">
        <v>3855</v>
      </c>
      <c r="L80" s="2745">
        <v>800</v>
      </c>
      <c r="M80" s="2745">
        <v>1.5</v>
      </c>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892</v>
      </c>
    </row>
    <row r="3" spans="1:1" ht="18">
      <c r="A3" s="1379" t="str">
        <f>项目基本情况!B5&amp;"："</f>
        <v>恒丰：</v>
      </c>
    </row>
    <row r="4" spans="1:1" ht="90">
      <c r="A4" s="1380" t="str">
        <f>"受贵公司委托，我公司对"&amp;项目基本情况!S1&amp;"进行了预评估。"</f>
        <v>受贵公司委托，我公司对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抵押价值进行了预评估。</v>
      </c>
    </row>
    <row r="5" spans="1:1" ht="18.75">
      <c r="A5" s="1381" t="s">
        <v>893</v>
      </c>
    </row>
    <row r="6" spans="1:1" ht="18.75">
      <c r="A6" s="1382" t="s">
        <v>894</v>
      </c>
    </row>
    <row r="7" spans="1:1" ht="108">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为所有。根据《国有土地使用证》[]，估价对象（分摊）出让国有建设用地使用权面积为6542.04平方米，建筑面积为23997.3平方米。</v>
      </c>
    </row>
    <row r="8" spans="1:1" ht="57.75">
      <c r="A8" s="1383" t="s">
        <v>895</v>
      </c>
    </row>
    <row r="9" spans="1:1" ht="18.75">
      <c r="A9" s="1382" t="s">
        <v>896</v>
      </c>
    </row>
    <row r="10" spans="1:1" ht="126">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属开发建设的综合项目（居住、综合），该项目尚在开发建设中。根据《国有土地使用证》[]，估价对象（分摊）出让国有建设用地使用权面积为6542.04平方米，规划建筑面积为23997.3平方米。</v>
      </c>
    </row>
    <row r="11" spans="1:1" ht="76.5">
      <c r="A11" s="1383" t="s">
        <v>897</v>
      </c>
    </row>
    <row r="12" spans="1:1" ht="18.75">
      <c r="A12" s="1381" t="s">
        <v>898</v>
      </c>
    </row>
    <row r="13" spans="1:1" ht="38.25" customHeight="1">
      <c r="A13" s="138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379" t="s">
        <v>899</v>
      </c>
    </row>
    <row r="15" spans="1:1" ht="18">
      <c r="A15" s="1384" t="str">
        <f>TEXT(项目基本情况!D3,"yyyy年m月d日;;")&amp;IF(项目基本情况!D3=项目基本情况!B3,"（评估专业人员实地查勘之日）","")</f>
        <v>2025年2月21日（评估专业人员实地查勘之日）</v>
      </c>
    </row>
    <row r="16" spans="1:1" ht="18.75">
      <c r="A16" s="1379" t="s">
        <v>900</v>
      </c>
    </row>
    <row r="17" spans="1:1" ht="75">
      <c r="A17" s="1380" t="s">
        <v>901</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21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890</v>
      </c>
    </row>
    <row r="24" spans="1:1" ht="18">
      <c r="A24" s="1385" t="str">
        <f>"本次评估采用的主估价方法为"&amp;结果表!K4&amp;"和"&amp;结果表!L4&amp;"。"</f>
        <v>本次评估采用的主估价方法为成本法和假设开发法。</v>
      </c>
    </row>
    <row r="25" spans="1:1" ht="18">
      <c r="A25" s="1385"/>
    </row>
    <row r="26" spans="1:1" ht="18.75">
      <c r="A26" s="1386" t="s">
        <v>891</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1650</v>
      </c>
      <c r="B1" s="1724"/>
      <c r="C1" s="1724"/>
      <c r="D1" s="1724"/>
      <c r="E1" s="1725"/>
      <c r="F1" s="2477"/>
      <c r="G1" s="458"/>
      <c r="H1" s="458"/>
      <c r="I1" s="458"/>
      <c r="J1" s="458"/>
      <c r="K1" s="458"/>
      <c r="L1" s="458"/>
      <c r="M1" s="458"/>
      <c r="N1" s="458"/>
      <c r="O1" s="458"/>
      <c r="P1" s="458"/>
      <c r="Q1" s="458"/>
      <c r="R1" s="458"/>
      <c r="S1" s="458"/>
    </row>
    <row r="2" spans="1:22" ht="15.75">
      <c r="A2" s="1726" t="s">
        <v>1454</v>
      </c>
      <c r="B2" s="809">
        <f ca="1">SUMIF(B6:B13,"&lt;&gt;#ref!",B6:B13)</f>
        <v>32944</v>
      </c>
      <c r="C2" s="1727" t="s">
        <v>1643</v>
      </c>
      <c r="D2" s="1728" t="s">
        <v>1644</v>
      </c>
      <c r="E2" s="2390">
        <f>SUM(E6:E13)</f>
        <v>23997.3</v>
      </c>
      <c r="F2" s="2477"/>
      <c r="G2" s="458"/>
      <c r="H2" s="458"/>
      <c r="I2" s="458"/>
      <c r="J2" s="458"/>
      <c r="K2" s="458"/>
      <c r="L2" s="458"/>
      <c r="M2" s="458"/>
      <c r="N2" s="458"/>
      <c r="O2" s="458"/>
      <c r="P2" s="458"/>
      <c r="Q2" s="458"/>
      <c r="R2" s="458"/>
      <c r="S2" s="458"/>
    </row>
    <row r="3" spans="1:22" ht="15.75">
      <c r="A3" s="1726" t="s">
        <v>680</v>
      </c>
      <c r="B3" s="2384">
        <f ca="1">ROUND(B2*10000/E2,0)</f>
        <v>13728</v>
      </c>
      <c r="C3" s="1727" t="s">
        <v>1651</v>
      </c>
      <c r="D3" s="2477"/>
      <c r="E3" s="2480"/>
      <c r="F3" s="2477"/>
      <c r="G3" s="458"/>
      <c r="H3" s="458"/>
      <c r="I3" s="458"/>
      <c r="J3" s="458"/>
      <c r="K3" s="458"/>
      <c r="L3" s="458"/>
      <c r="M3" s="458"/>
      <c r="N3" s="458"/>
      <c r="O3" s="458"/>
      <c r="P3" s="458"/>
      <c r="Q3" s="458"/>
      <c r="R3" s="458"/>
      <c r="S3" s="458"/>
    </row>
    <row r="4" spans="1:22" ht="15.75">
      <c r="A4" s="2481"/>
      <c r="B4" s="2477"/>
      <c r="C4" s="2477"/>
      <c r="D4" s="2477"/>
      <c r="E4" s="2480"/>
      <c r="F4" s="2477"/>
      <c r="G4" s="458"/>
      <c r="H4" s="458"/>
      <c r="I4" s="458"/>
      <c r="J4" s="458"/>
      <c r="K4" s="458"/>
      <c r="L4" s="458"/>
      <c r="M4" s="458"/>
      <c r="N4" s="458"/>
      <c r="O4" s="458"/>
      <c r="P4" s="458"/>
      <c r="Q4" s="458"/>
      <c r="R4" s="458"/>
      <c r="S4" s="458"/>
    </row>
    <row r="5" spans="1:22" ht="15">
      <c r="A5" s="2386" t="s">
        <v>1645</v>
      </c>
      <c r="B5" s="3512" t="s">
        <v>1646</v>
      </c>
      <c r="C5" s="3513"/>
      <c r="D5" s="2478"/>
      <c r="E5" s="1729" t="s">
        <v>1647</v>
      </c>
      <c r="F5" s="128" t="s">
        <v>1648</v>
      </c>
      <c r="G5" s="458"/>
      <c r="H5" s="458"/>
      <c r="I5" s="458"/>
      <c r="J5" s="458"/>
      <c r="K5" s="458"/>
      <c r="L5" s="458"/>
      <c r="M5" s="458"/>
      <c r="N5" s="458"/>
      <c r="O5" s="458"/>
      <c r="P5" s="458"/>
      <c r="Q5" s="458"/>
      <c r="R5" s="458"/>
      <c r="S5" s="458"/>
    </row>
    <row r="6" spans="1:22">
      <c r="A6" s="2387" t="str">
        <f>'数据-取费表'!AN6</f>
        <v>收益法</v>
      </c>
      <c r="B6" s="2385">
        <f ca="1">IF(F6="是",'数据-取费表'!AO6,0)</f>
        <v>32944</v>
      </c>
      <c r="C6" s="1727" t="s">
        <v>1643</v>
      </c>
      <c r="D6" s="2477"/>
      <c r="E6" s="2389">
        <f>IF(OR(A6=0,F6="否"),0,'数据-取费表'!K6+'数据-取费表'!S6)</f>
        <v>23997.3</v>
      </c>
      <c r="F6" s="1730" t="s">
        <v>1649</v>
      </c>
      <c r="G6" s="458"/>
      <c r="H6" s="458"/>
      <c r="I6" s="458"/>
      <c r="J6" s="458"/>
      <c r="K6" s="458"/>
      <c r="L6" s="458"/>
      <c r="M6" s="458"/>
      <c r="N6" s="458"/>
      <c r="O6" s="458"/>
      <c r="P6" s="458"/>
      <c r="Q6" s="458"/>
      <c r="R6" s="458"/>
      <c r="S6" s="458"/>
    </row>
    <row r="7" spans="1:22">
      <c r="A7" s="2387">
        <f>'数据-取费表'!AN7</f>
        <v>0</v>
      </c>
      <c r="B7" s="2385" t="e">
        <f ca="1">IF(F7="是",'数据-取费表'!AO7,0)</f>
        <v>#REF!</v>
      </c>
      <c r="C7" s="1727" t="s">
        <v>1643</v>
      </c>
      <c r="D7" s="2477"/>
      <c r="E7" s="2389">
        <f>IF(OR(A7=0,F7="否"),0,'数据-取费表'!K7+'数据-取费表'!S7)</f>
        <v>0</v>
      </c>
      <c r="F7" s="1730" t="s">
        <v>1649</v>
      </c>
      <c r="G7" s="458"/>
      <c r="H7" s="458"/>
      <c r="I7" s="458"/>
      <c r="J7" s="458"/>
      <c r="K7" s="458"/>
      <c r="L7" s="458"/>
      <c r="M7" s="458"/>
      <c r="N7" s="458"/>
      <c r="O7" s="458"/>
      <c r="P7" s="458"/>
      <c r="Q7" s="458"/>
      <c r="R7" s="458"/>
      <c r="S7" s="458"/>
    </row>
    <row r="8" spans="1:22">
      <c r="A8" s="2387">
        <f>'数据-取费表'!AN8</f>
        <v>0</v>
      </c>
      <c r="B8" s="2385" t="e">
        <f ca="1">IF(F8="是",'数据-取费表'!AO8,0)</f>
        <v>#REF!</v>
      </c>
      <c r="C8" s="1727" t="s">
        <v>1643</v>
      </c>
      <c r="D8" s="2477"/>
      <c r="E8" s="2389">
        <f>IF(OR(A8=0,F8="否"),0,'数据-取费表'!K8+'数据-取费表'!S8)</f>
        <v>0</v>
      </c>
      <c r="F8" s="1730" t="s">
        <v>1649</v>
      </c>
      <c r="G8" s="458"/>
      <c r="H8" s="458"/>
      <c r="I8" s="458"/>
      <c r="J8" s="458"/>
      <c r="K8" s="458"/>
      <c r="L8" s="458"/>
      <c r="M8" s="458"/>
      <c r="N8" s="458"/>
      <c r="O8" s="458"/>
      <c r="P8" s="458"/>
      <c r="Q8" s="458"/>
      <c r="R8" s="458"/>
      <c r="S8" s="458"/>
    </row>
    <row r="9" spans="1:22">
      <c r="A9" s="2387">
        <f>'数据-取费表'!AN9</f>
        <v>0</v>
      </c>
      <c r="B9" s="2385" t="e">
        <f ca="1">IF(F9="是",'数据-取费表'!AO9,0)</f>
        <v>#REF!</v>
      </c>
      <c r="C9" s="1727" t="s">
        <v>1643</v>
      </c>
      <c r="D9" s="2477"/>
      <c r="E9" s="2389">
        <f>IF(OR(A9=0,F9="否"),0,'数据-取费表'!K9+'数据-取费表'!S9)</f>
        <v>0</v>
      </c>
      <c r="F9" s="1730" t="s">
        <v>1649</v>
      </c>
      <c r="G9" s="458"/>
      <c r="H9" s="458"/>
      <c r="I9" s="458"/>
      <c r="J9" s="458"/>
      <c r="K9" s="458"/>
      <c r="L9" s="458"/>
      <c r="M9" s="458"/>
      <c r="N9" s="458"/>
      <c r="O9" s="458"/>
      <c r="P9" s="458"/>
      <c r="Q9" s="458"/>
      <c r="R9" s="458"/>
      <c r="S9" s="458"/>
    </row>
    <row r="10" spans="1:22">
      <c r="A10" s="2387">
        <f>'数据-取费表'!AN10</f>
        <v>0</v>
      </c>
      <c r="B10" s="2385" t="e">
        <f ca="1">IF(F10="是",'数据-取费表'!AO10,0)</f>
        <v>#REF!</v>
      </c>
      <c r="C10" s="1727" t="s">
        <v>1643</v>
      </c>
      <c r="D10" s="2477"/>
      <c r="E10" s="2389">
        <f>IF(OR(A10=0,F10="否"),0,'数据-取费表'!K10+'数据-取费表'!S10)</f>
        <v>0</v>
      </c>
      <c r="F10" s="1730" t="s">
        <v>1649</v>
      </c>
      <c r="G10" s="458"/>
      <c r="H10" s="458"/>
      <c r="I10" s="458"/>
      <c r="J10" s="458"/>
      <c r="K10" s="458"/>
      <c r="L10" s="458"/>
      <c r="M10" s="458"/>
      <c r="N10" s="458"/>
      <c r="O10" s="458"/>
      <c r="P10" s="458"/>
      <c r="Q10" s="458"/>
      <c r="R10" s="458"/>
      <c r="S10" s="458"/>
    </row>
    <row r="11" spans="1:22">
      <c r="A11" s="2387">
        <f>'数据-取费表'!AN11</f>
        <v>0</v>
      </c>
      <c r="B11" s="2385" t="e">
        <f ca="1">IF(F11="是",'数据-取费表'!AO11,0)</f>
        <v>#REF!</v>
      </c>
      <c r="C11" s="1727" t="s">
        <v>1643</v>
      </c>
      <c r="D11" s="2477"/>
      <c r="E11" s="2389">
        <f>IF(OR(A11=0,F11="否"),0,'数据-取费表'!K11+'数据-取费表'!S11)</f>
        <v>0</v>
      </c>
      <c r="F11" s="1730" t="s">
        <v>1649</v>
      </c>
      <c r="G11" s="458"/>
      <c r="H11" s="458"/>
      <c r="I11" s="458"/>
      <c r="J11" s="458"/>
      <c r="K11" s="458"/>
      <c r="L11" s="458"/>
      <c r="M11" s="458"/>
      <c r="N11" s="458"/>
      <c r="O11" s="458"/>
      <c r="P11" s="458"/>
      <c r="Q11" s="458"/>
      <c r="R11" s="458"/>
      <c r="S11" s="458"/>
    </row>
    <row r="12" spans="1:22">
      <c r="A12" s="2387">
        <f>'数据-取费表'!AN12</f>
        <v>0</v>
      </c>
      <c r="B12" s="2385" t="e">
        <f ca="1">IF(F12="是",'数据-取费表'!AO12,0)</f>
        <v>#REF!</v>
      </c>
      <c r="C12" s="1727" t="s">
        <v>1643</v>
      </c>
      <c r="D12" s="2477"/>
      <c r="E12" s="2389">
        <f>IF(OR(A12=0,F12="否"),0,'数据-取费表'!K12+'数据-取费表'!S12)</f>
        <v>0</v>
      </c>
      <c r="F12" s="1730" t="s">
        <v>1649</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1" t="s">
        <v>1643</v>
      </c>
      <c r="D13" s="2479"/>
      <c r="E13" s="2389">
        <f>IF(OR(A13=0,F13="否"),0,'数据-取费表'!K13+'数据-取费表'!S13)</f>
        <v>0</v>
      </c>
      <c r="F13" s="1730" t="s">
        <v>1649</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1652</v>
      </c>
      <c r="B1" s="1732" t="s">
        <v>1653</v>
      </c>
      <c r="C1" s="1153" t="s">
        <v>1654</v>
      </c>
      <c r="D1" s="1140"/>
      <c r="E1" s="3121"/>
      <c r="F1" s="1733"/>
      <c r="G1" s="1150" t="s">
        <v>1655</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679</v>
      </c>
      <c r="B2" s="3122"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1656</v>
      </c>
      <c r="F2" s="1737"/>
      <c r="G2" s="852"/>
      <c r="H2" s="852"/>
      <c r="I2" s="852"/>
      <c r="J2" s="852"/>
      <c r="K2" s="1738"/>
      <c r="L2" s="2482"/>
      <c r="M2" s="2483"/>
      <c r="N2" s="2483"/>
      <c r="O2" s="2483"/>
      <c r="P2" s="1739"/>
      <c r="Q2" s="1740"/>
      <c r="R2" s="1740"/>
      <c r="S2" s="1740"/>
      <c r="T2" s="1740"/>
      <c r="U2" s="1740"/>
      <c r="V2" s="1740"/>
      <c r="W2" s="1740"/>
      <c r="X2" s="1740"/>
      <c r="Y2" s="1740"/>
      <c r="Z2" s="1740"/>
      <c r="AA2" s="1740"/>
      <c r="AB2" s="1740"/>
      <c r="AC2" s="996"/>
    </row>
    <row r="3" spans="1:29" s="337" customFormat="1" ht="28.5" customHeight="1" thickBot="1">
      <c r="A3" s="194" t="s">
        <v>680</v>
      </c>
      <c r="B3" s="342">
        <f>IF(C2="——",C49,ROUND(B2*10000/D3,0))</f>
        <v>0</v>
      </c>
      <c r="C3" s="343" t="s">
        <v>1657</v>
      </c>
      <c r="D3" s="342">
        <f>IF(D1="",'数据-汇总表'!E3,SUMIF('数据-汇总表'!$C19:$C33,D1,'数据-汇总表'!$E19:$E33))</f>
        <v>23997.3</v>
      </c>
      <c r="E3" s="852"/>
      <c r="F3" s="1741"/>
      <c r="G3" s="852"/>
      <c r="H3" s="852"/>
      <c r="I3" s="852"/>
      <c r="J3" s="852"/>
      <c r="K3" s="1738"/>
      <c r="L3" s="2482"/>
      <c r="M3" s="2483"/>
      <c r="N3" s="2483"/>
      <c r="O3" s="2483"/>
      <c r="P3" s="1739"/>
      <c r="Q3" s="1740"/>
      <c r="R3" s="1740"/>
      <c r="S3" s="1740"/>
      <c r="T3" s="1740"/>
      <c r="U3" s="1740"/>
      <c r="V3" s="1740"/>
      <c r="W3" s="1740"/>
      <c r="X3" s="1740"/>
      <c r="Y3" s="1740"/>
      <c r="Z3" s="1740"/>
      <c r="AA3" s="1740"/>
      <c r="AB3" s="1740"/>
      <c r="AC3" s="996"/>
    </row>
    <row r="4" spans="1:29" ht="15">
      <c r="A4" s="344" t="s">
        <v>1658</v>
      </c>
      <c r="B4" s="345"/>
      <c r="C4" s="3449" t="s">
        <v>1659</v>
      </c>
      <c r="D4" s="3461"/>
      <c r="E4" s="3462" t="s">
        <v>1660</v>
      </c>
      <c r="F4" s="3463"/>
      <c r="G4" s="3449" t="s">
        <v>1661</v>
      </c>
      <c r="H4" s="3461"/>
      <c r="I4" s="3449" t="s">
        <v>1662</v>
      </c>
      <c r="J4" s="3461"/>
      <c r="K4" s="1742" t="s">
        <v>1663</v>
      </c>
      <c r="L4" s="2484"/>
      <c r="M4" s="2485"/>
      <c r="N4" s="2485"/>
      <c r="O4" s="2485"/>
      <c r="P4" s="3464" t="s">
        <v>1664</v>
      </c>
      <c r="Q4" s="3465"/>
      <c r="R4" s="3470" t="s">
        <v>1660</v>
      </c>
      <c r="S4" s="3471"/>
      <c r="T4" s="3470" t="s">
        <v>1661</v>
      </c>
      <c r="U4" s="3471"/>
      <c r="V4" s="3457" t="s">
        <v>1662</v>
      </c>
      <c r="W4" s="3457"/>
      <c r="X4" s="1263"/>
      <c r="Y4" s="3470" t="s">
        <v>1664</v>
      </c>
      <c r="Z4" s="3471"/>
      <c r="AA4" s="3458" t="s">
        <v>1660</v>
      </c>
      <c r="AB4" s="3458" t="s">
        <v>1661</v>
      </c>
      <c r="AC4" s="3458" t="s">
        <v>1662</v>
      </c>
    </row>
    <row r="5" spans="1:29" ht="15">
      <c r="A5" s="347"/>
      <c r="B5" s="348"/>
      <c r="C5" s="3478" t="s">
        <v>1665</v>
      </c>
      <c r="D5" s="3479"/>
      <c r="E5" s="3485" t="s">
        <v>1666</v>
      </c>
      <c r="F5" s="3486"/>
      <c r="G5" s="3478" t="s">
        <v>1667</v>
      </c>
      <c r="H5" s="3479"/>
      <c r="I5" s="3478" t="s">
        <v>1668</v>
      </c>
      <c r="J5" s="3479"/>
      <c r="K5" s="1743"/>
      <c r="L5" s="2484"/>
      <c r="M5" s="2485"/>
      <c r="N5" s="2485"/>
      <c r="O5" s="2485"/>
      <c r="P5" s="3466"/>
      <c r="Q5" s="3467"/>
      <c r="R5" s="3472"/>
      <c r="S5" s="3473"/>
      <c r="T5" s="3472"/>
      <c r="U5" s="3473"/>
      <c r="V5" s="3457"/>
      <c r="W5" s="3457"/>
      <c r="X5" s="1263"/>
      <c r="Y5" s="3472"/>
      <c r="Z5" s="3473"/>
      <c r="AA5" s="3459"/>
      <c r="AB5" s="3459"/>
      <c r="AC5" s="3459"/>
    </row>
    <row r="6" spans="1:29" ht="15.75" thickBot="1">
      <c r="A6" s="349"/>
      <c r="B6" s="350"/>
      <c r="C6" s="3476" t="s">
        <v>1669</v>
      </c>
      <c r="D6" s="3477"/>
      <c r="E6" s="3483" t="s">
        <v>1669</v>
      </c>
      <c r="F6" s="3484"/>
      <c r="G6" s="3476" t="s">
        <v>1669</v>
      </c>
      <c r="H6" s="3477"/>
      <c r="I6" s="3476" t="s">
        <v>1669</v>
      </c>
      <c r="J6" s="3477"/>
      <c r="K6" s="1743" t="s">
        <v>1670</v>
      </c>
      <c r="L6" s="2484"/>
      <c r="M6" s="2485"/>
      <c r="N6" s="2485"/>
      <c r="O6" s="2485"/>
      <c r="P6" s="3468"/>
      <c r="Q6" s="3469"/>
      <c r="R6" s="3472"/>
      <c r="S6" s="3473"/>
      <c r="T6" s="3474"/>
      <c r="U6" s="3475"/>
      <c r="V6" s="3457"/>
      <c r="W6" s="3457"/>
      <c r="X6" s="1263"/>
      <c r="Y6" s="3474"/>
      <c r="Z6" s="3475"/>
      <c r="AA6" s="3460"/>
      <c r="AB6" s="3460"/>
      <c r="AC6" s="3460"/>
    </row>
    <row r="7" spans="1:29" s="101" customFormat="1" ht="15.75" thickBot="1">
      <c r="A7" s="351" t="s">
        <v>1671</v>
      </c>
      <c r="B7" s="352"/>
      <c r="C7" s="353">
        <f>'数据-取费表'!B2</f>
        <v>45709</v>
      </c>
      <c r="D7" s="354">
        <v>100</v>
      </c>
      <c r="E7" s="355"/>
      <c r="F7" s="356">
        <f>SUMIF(58:58,YEAR(E7)&amp;"-"&amp;MONTH(E7),59:59)</f>
        <v>0</v>
      </c>
      <c r="G7" s="355"/>
      <c r="H7" s="354">
        <f>SUMIF(58:58,YEAR(G7)&amp;"-"&amp;MONTH(G7),59:59)</f>
        <v>0</v>
      </c>
      <c r="I7" s="355"/>
      <c r="J7" s="354">
        <f>SUMIF(58:58,YEAR(I7)&amp;"-"&amp;MONTH(I7),59:59)</f>
        <v>0</v>
      </c>
      <c r="K7" s="1744"/>
      <c r="L7" s="2486"/>
      <c r="M7" s="2437"/>
      <c r="N7" s="2437"/>
      <c r="O7" s="2437"/>
      <c r="P7" s="3480" t="s">
        <v>1672</v>
      </c>
      <c r="Q7" s="3482"/>
      <c r="R7" s="663" t="s">
        <v>20</v>
      </c>
      <c r="S7" s="664">
        <f t="shared" ref="S7:S15" si="0">F7</f>
        <v>0</v>
      </c>
      <c r="T7" s="663" t="s">
        <v>20</v>
      </c>
      <c r="U7" s="664">
        <f t="shared" ref="U7:U15" si="1">H7</f>
        <v>0</v>
      </c>
      <c r="V7" s="663" t="s">
        <v>20</v>
      </c>
      <c r="W7" s="664">
        <f t="shared" ref="W7:W15" si="2">J7</f>
        <v>0</v>
      </c>
      <c r="X7" s="665"/>
      <c r="Y7" s="3480" t="s">
        <v>1672</v>
      </c>
      <c r="Z7" s="3481"/>
      <c r="AA7" s="50" t="e">
        <f>D7/F7</f>
        <v>#DIV/0!</v>
      </c>
      <c r="AB7" s="50" t="e">
        <f>D7/H7</f>
        <v>#DIV/0!</v>
      </c>
      <c r="AC7" s="50" t="e">
        <f>D7/J7</f>
        <v>#DIV/0!</v>
      </c>
    </row>
    <row r="8" spans="1:29" s="101" customFormat="1" ht="15.75" thickBot="1">
      <c r="A8" s="351" t="s">
        <v>1673</v>
      </c>
      <c r="B8" s="352"/>
      <c r="C8" s="357"/>
      <c r="D8" s="354">
        <v>100</v>
      </c>
      <c r="E8" s="1745"/>
      <c r="F8" s="356">
        <f>SUMIF(61:61,E8,62:62)-SUMIF(61:61,C8,62:62)+100</f>
        <v>100</v>
      </c>
      <c r="G8" s="357"/>
      <c r="H8" s="354">
        <f>SUMIF(61:61,G8,62:62)-SUMIF(61:61,C8,62:62)+100</f>
        <v>100</v>
      </c>
      <c r="I8" s="1745"/>
      <c r="J8" s="354">
        <f>SUMIF(61:61,I8,62:62)-SUMIF(61:61,C8,62:62)+100</f>
        <v>100</v>
      </c>
      <c r="K8" s="1744"/>
      <c r="L8" s="2486"/>
      <c r="M8" s="2437"/>
      <c r="N8" s="2437"/>
      <c r="O8" s="2437"/>
      <c r="P8" s="3480" t="s">
        <v>1675</v>
      </c>
      <c r="Q8" s="3481"/>
      <c r="R8" s="663" t="s">
        <v>20</v>
      </c>
      <c r="S8" s="664">
        <f t="shared" si="0"/>
        <v>100</v>
      </c>
      <c r="T8" s="663" t="s">
        <v>20</v>
      </c>
      <c r="U8" s="664">
        <f t="shared" si="1"/>
        <v>100</v>
      </c>
      <c r="V8" s="663" t="s">
        <v>20</v>
      </c>
      <c r="W8" s="664">
        <f t="shared" si="2"/>
        <v>100</v>
      </c>
      <c r="X8" s="665"/>
      <c r="Y8" s="3480" t="s">
        <v>1675</v>
      </c>
      <c r="Z8" s="3481"/>
      <c r="AA8" s="50">
        <f t="shared" ref="AA8:AA19" si="3">D8/F8</f>
        <v>1</v>
      </c>
      <c r="AB8" s="50">
        <f t="shared" ref="AB8:AB19" si="4">D8/H8</f>
        <v>1</v>
      </c>
      <c r="AC8" s="50">
        <f t="shared" ref="AC8:AC19" si="5">D8/J8</f>
        <v>1</v>
      </c>
    </row>
    <row r="9" spans="1:29" s="101" customFormat="1">
      <c r="A9" s="358" t="s">
        <v>1676</v>
      </c>
      <c r="B9" s="60" t="s">
        <v>1677</v>
      </c>
      <c r="C9" s="359"/>
      <c r="D9" s="59">
        <v>100</v>
      </c>
      <c r="E9" s="360"/>
      <c r="F9" s="60">
        <f>SUMIF(63:63,E9,64:64)-SUMIF(63:63,C9,64:64)+100</f>
        <v>100</v>
      </c>
      <c r="G9" s="361"/>
      <c r="H9" s="59">
        <f>SUMIF(63:63,G9,64:64)-SUMIF(63:63,C9,64:64)+100</f>
        <v>100</v>
      </c>
      <c r="I9" s="361"/>
      <c r="J9" s="59">
        <f>SUMIF(63:63,I9,64:64)-SUMIF(63:63,C9,64:64)+100</f>
        <v>100</v>
      </c>
      <c r="K9" s="1744"/>
      <c r="L9" s="2486"/>
      <c r="M9" s="2437"/>
      <c r="N9" s="2437"/>
      <c r="O9" s="2437"/>
      <c r="P9" s="3451" t="s">
        <v>1678</v>
      </c>
      <c r="Q9" s="529" t="str">
        <f t="shared" ref="Q9:Q15" si="6">B9</f>
        <v>用途</v>
      </c>
      <c r="R9" s="663" t="s">
        <v>14</v>
      </c>
      <c r="S9" s="664">
        <f t="shared" si="0"/>
        <v>100</v>
      </c>
      <c r="T9" s="663" t="s">
        <v>14</v>
      </c>
      <c r="U9" s="664">
        <f t="shared" si="1"/>
        <v>100</v>
      </c>
      <c r="V9" s="663" t="s">
        <v>14</v>
      </c>
      <c r="W9" s="664">
        <f t="shared" si="2"/>
        <v>100</v>
      </c>
      <c r="X9" s="665"/>
      <c r="Y9" s="3328" t="s">
        <v>1679</v>
      </c>
      <c r="Z9" s="50" t="str">
        <f t="shared" ref="Z9:Z15" si="7">Q9</f>
        <v>用途</v>
      </c>
      <c r="AA9" s="50">
        <f t="shared" si="3"/>
        <v>1</v>
      </c>
      <c r="AB9" s="50">
        <f t="shared" si="4"/>
        <v>1</v>
      </c>
      <c r="AC9" s="50">
        <f t="shared" si="5"/>
        <v>1</v>
      </c>
    </row>
    <row r="10" spans="1:29" s="365" customFormat="1" ht="27">
      <c r="A10" s="362"/>
      <c r="B10" s="363" t="s">
        <v>1680</v>
      </c>
      <c r="C10" s="3129"/>
      <c r="D10" s="118">
        <v>100</v>
      </c>
      <c r="E10" s="3130"/>
      <c r="F10" s="363">
        <f>SUMIF(65:65,E10,66:66)-SUMIF(65:65,C10,66:66)+100</f>
        <v>100</v>
      </c>
      <c r="G10" s="3129"/>
      <c r="H10" s="118">
        <f>SUMIF(65:65,G10,66:66)-SUMIF(65:65,C10,66:66)+100</f>
        <v>100</v>
      </c>
      <c r="I10" s="3129"/>
      <c r="J10" s="118">
        <f>SUMIF(65:65,I10,66:66)-SUMIF(65:65,C10,66:66)+100</f>
        <v>100</v>
      </c>
      <c r="K10" s="1744"/>
      <c r="L10" s="2487"/>
      <c r="M10" s="2488"/>
      <c r="N10" s="2488"/>
      <c r="O10" s="2488"/>
      <c r="P10" s="3451"/>
      <c r="Q10" s="529"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366"/>
      <c r="B11" s="363" t="s">
        <v>1681</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451"/>
      <c r="Q11" s="529" t="str">
        <f t="shared" si="6"/>
        <v>容积率</v>
      </c>
      <c r="R11" s="663" t="s">
        <v>18</v>
      </c>
      <c r="S11" s="664" t="e">
        <f t="shared" si="0"/>
        <v>#N/A</v>
      </c>
      <c r="T11" s="663" t="s">
        <v>18</v>
      </c>
      <c r="U11" s="664" t="e">
        <f t="shared" si="1"/>
        <v>#N/A</v>
      </c>
      <c r="V11" s="663" t="s">
        <v>18</v>
      </c>
      <c r="W11" s="664" t="e">
        <f t="shared" si="2"/>
        <v>#N/A</v>
      </c>
      <c r="X11" s="665"/>
      <c r="Y11" s="3328"/>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6"/>
      <c r="L12" s="2486"/>
      <c r="M12" s="2437"/>
      <c r="N12" s="2437"/>
      <c r="O12" s="2437"/>
      <c r="P12" s="3451"/>
      <c r="Q12" s="529">
        <f t="shared" si="6"/>
        <v>111</v>
      </c>
      <c r="R12" s="663" t="s">
        <v>18</v>
      </c>
      <c r="S12" s="664">
        <f t="shared" si="0"/>
        <v>100</v>
      </c>
      <c r="T12" s="663" t="s">
        <v>18</v>
      </c>
      <c r="U12" s="664">
        <f t="shared" si="1"/>
        <v>100</v>
      </c>
      <c r="V12" s="663" t="s">
        <v>18</v>
      </c>
      <c r="W12" s="664">
        <f t="shared" si="2"/>
        <v>100</v>
      </c>
      <c r="X12" s="665"/>
      <c r="Y12" s="332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6"/>
      <c r="L13" s="2490"/>
      <c r="M13" s="2485"/>
      <c r="N13" s="2485"/>
      <c r="O13" s="2485"/>
      <c r="P13" s="3451"/>
      <c r="Q13" s="529">
        <f t="shared" si="6"/>
        <v>111</v>
      </c>
      <c r="R13" s="663" t="s">
        <v>18</v>
      </c>
      <c r="S13" s="664">
        <f t="shared" si="0"/>
        <v>100</v>
      </c>
      <c r="T13" s="663" t="s">
        <v>18</v>
      </c>
      <c r="U13" s="664">
        <f t="shared" si="1"/>
        <v>100</v>
      </c>
      <c r="V13" s="663" t="s">
        <v>18</v>
      </c>
      <c r="W13" s="664">
        <f t="shared" si="2"/>
        <v>100</v>
      </c>
      <c r="X13" s="665"/>
      <c r="Y13" s="3328"/>
      <c r="Z13" s="50">
        <f t="shared" si="7"/>
        <v>111</v>
      </c>
      <c r="AA13" s="50">
        <f t="shared" si="3"/>
        <v>1</v>
      </c>
      <c r="AB13" s="50">
        <f t="shared" si="4"/>
        <v>1</v>
      </c>
      <c r="AC13" s="50">
        <f t="shared" si="5"/>
        <v>1</v>
      </c>
    </row>
    <row r="14" spans="1:29" ht="15.75" thickBot="1">
      <c r="A14" s="374"/>
      <c r="B14" s="1747">
        <v>111</v>
      </c>
      <c r="C14" s="375"/>
      <c r="D14" s="376">
        <v>100</v>
      </c>
      <c r="E14" s="375"/>
      <c r="F14" s="377">
        <f>SUMIF(74:74,E14,75:75)-SUMIF(74:74,C14,75:75)+100</f>
        <v>100</v>
      </c>
      <c r="G14" s="375"/>
      <c r="H14" s="376">
        <f>SUMIF(74:74,G14,75:75)-SUMIF(74:74,C14,75:75)+100</f>
        <v>100</v>
      </c>
      <c r="I14" s="375"/>
      <c r="J14" s="376">
        <f>SUMIF(74:74,I14,75:75)-SUMIF(74:74,C14,75:75)+100</f>
        <v>100</v>
      </c>
      <c r="K14" s="1746"/>
      <c r="L14" s="2490"/>
      <c r="M14" s="2485"/>
      <c r="N14" s="2485"/>
      <c r="O14" s="2485"/>
      <c r="P14" s="3451"/>
      <c r="Q14" s="529">
        <f t="shared" si="6"/>
        <v>111</v>
      </c>
      <c r="R14" s="663" t="s">
        <v>18</v>
      </c>
      <c r="S14" s="664">
        <f t="shared" si="0"/>
        <v>100</v>
      </c>
      <c r="T14" s="663" t="s">
        <v>18</v>
      </c>
      <c r="U14" s="664">
        <f t="shared" si="1"/>
        <v>100</v>
      </c>
      <c r="V14" s="663" t="s">
        <v>18</v>
      </c>
      <c r="W14" s="664">
        <f t="shared" si="2"/>
        <v>100</v>
      </c>
      <c r="X14" s="665"/>
      <c r="Y14" s="3328"/>
      <c r="Z14" s="50">
        <f t="shared" si="7"/>
        <v>111</v>
      </c>
      <c r="AA14" s="50">
        <f t="shared" si="3"/>
        <v>1</v>
      </c>
      <c r="AB14" s="50">
        <f t="shared" si="4"/>
        <v>1</v>
      </c>
      <c r="AC14" s="50">
        <f t="shared" si="5"/>
        <v>1</v>
      </c>
    </row>
    <row r="15" spans="1:29" ht="85.5">
      <c r="A15" s="378" t="s">
        <v>1682</v>
      </c>
      <c r="B15" s="58" t="s">
        <v>1251</v>
      </c>
      <c r="C15" s="1748"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519" t="s">
        <v>1683</v>
      </c>
      <c r="Q15" s="1261" t="str">
        <f t="shared" si="6"/>
        <v>居住社区成熟度</v>
      </c>
      <c r="R15" s="666" t="s">
        <v>18</v>
      </c>
      <c r="S15" s="667">
        <f t="shared" si="0"/>
        <v>100</v>
      </c>
      <c r="T15" s="666" t="s">
        <v>18</v>
      </c>
      <c r="U15" s="667">
        <f t="shared" si="1"/>
        <v>100</v>
      </c>
      <c r="V15" s="666" t="s">
        <v>18</v>
      </c>
      <c r="W15" s="667">
        <f t="shared" si="2"/>
        <v>100</v>
      </c>
      <c r="X15" s="1263"/>
      <c r="Y15" s="3453" t="s">
        <v>1683</v>
      </c>
      <c r="Z15" s="1262" t="str">
        <f t="shared" si="7"/>
        <v>居住社区成熟度</v>
      </c>
      <c r="AA15" s="1262">
        <f t="shared" si="3"/>
        <v>1</v>
      </c>
      <c r="AB15" s="1262">
        <f t="shared" si="4"/>
        <v>1</v>
      </c>
      <c r="AC15" s="1262">
        <f t="shared" si="5"/>
        <v>1</v>
      </c>
    </row>
    <row r="16" spans="1:29" ht="15">
      <c r="A16" s="366"/>
      <c r="B16" s="384"/>
      <c r="C16" s="385"/>
      <c r="D16" s="386"/>
      <c r="E16" s="1749"/>
      <c r="F16" s="386"/>
      <c r="G16" s="1750"/>
      <c r="H16" s="388"/>
      <c r="I16" s="1750"/>
      <c r="J16" s="386"/>
      <c r="K16" s="1751"/>
      <c r="L16" s="2490"/>
      <c r="M16" s="2485"/>
      <c r="N16" s="2485"/>
      <c r="O16" s="2485"/>
      <c r="P16" s="3520"/>
      <c r="Q16" s="1261"/>
      <c r="R16" s="666"/>
      <c r="S16" s="667"/>
      <c r="T16" s="666"/>
      <c r="U16" s="667"/>
      <c r="V16" s="666"/>
      <c r="W16" s="667"/>
      <c r="X16" s="1263"/>
      <c r="Y16" s="3454"/>
      <c r="Z16" s="1262"/>
      <c r="AA16" s="1262">
        <v>1</v>
      </c>
      <c r="AB16" s="1262">
        <v>1</v>
      </c>
      <c r="AC16" s="1262">
        <v>1</v>
      </c>
    </row>
    <row r="17" spans="1:29" ht="71.25">
      <c r="A17" s="366"/>
      <c r="B17" s="389" t="s">
        <v>1253</v>
      </c>
      <c r="C17" s="1752"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520"/>
      <c r="Q17" s="1261" t="str">
        <f>B17</f>
        <v>交通便捷度</v>
      </c>
      <c r="R17" s="666" t="s">
        <v>18</v>
      </c>
      <c r="S17" s="667">
        <f>F17</f>
        <v>100</v>
      </c>
      <c r="T17" s="666" t="s">
        <v>18</v>
      </c>
      <c r="U17" s="667">
        <f>H17</f>
        <v>100</v>
      </c>
      <c r="V17" s="666" t="s">
        <v>18</v>
      </c>
      <c r="W17" s="667">
        <f>J17</f>
        <v>100</v>
      </c>
      <c r="X17" s="1263"/>
      <c r="Y17" s="3454"/>
      <c r="Z17" s="1262" t="str">
        <f>Q17</f>
        <v>交通便捷度</v>
      </c>
      <c r="AA17" s="1262">
        <f t="shared" si="3"/>
        <v>1</v>
      </c>
      <c r="AB17" s="1262">
        <f t="shared" si="4"/>
        <v>1</v>
      </c>
      <c r="AC17" s="1262">
        <f t="shared" si="5"/>
        <v>1</v>
      </c>
    </row>
    <row r="18" spans="1:29" ht="15">
      <c r="A18" s="366"/>
      <c r="B18" s="394"/>
      <c r="C18" s="1753"/>
      <c r="D18" s="388"/>
      <c r="E18" s="1754"/>
      <c r="F18" s="388"/>
      <c r="G18" s="1755"/>
      <c r="H18" s="386"/>
      <c r="I18" s="1755"/>
      <c r="J18" s="386"/>
      <c r="K18" s="1751"/>
      <c r="L18" s="2490"/>
      <c r="M18" s="2485"/>
      <c r="N18" s="2485"/>
      <c r="O18" s="2485"/>
      <c r="P18" s="3520"/>
      <c r="Q18" s="1261"/>
      <c r="R18" s="666"/>
      <c r="S18" s="667"/>
      <c r="T18" s="666"/>
      <c r="U18" s="667"/>
      <c r="V18" s="666"/>
      <c r="W18" s="667"/>
      <c r="X18" s="1263"/>
      <c r="Y18" s="3454"/>
      <c r="Z18" s="1262"/>
      <c r="AA18" s="1262">
        <v>1</v>
      </c>
      <c r="AB18" s="1262">
        <v>1</v>
      </c>
      <c r="AC18" s="1262">
        <v>1</v>
      </c>
    </row>
    <row r="19" spans="1:29" ht="42.75">
      <c r="A19" s="366"/>
      <c r="B19" s="389" t="s">
        <v>1252</v>
      </c>
      <c r="C19" s="1752"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520"/>
      <c r="Q19" s="1261" t="str">
        <f>B19</f>
        <v>公共配套设施</v>
      </c>
      <c r="R19" s="666" t="s">
        <v>18</v>
      </c>
      <c r="S19" s="667">
        <f>F19</f>
        <v>100</v>
      </c>
      <c r="T19" s="666" t="s">
        <v>18</v>
      </c>
      <c r="U19" s="667">
        <f>H19</f>
        <v>100</v>
      </c>
      <c r="V19" s="666" t="s">
        <v>18</v>
      </c>
      <c r="W19" s="667">
        <f>J19</f>
        <v>100</v>
      </c>
      <c r="X19" s="1263"/>
      <c r="Y19" s="3454"/>
      <c r="Z19" s="1262" t="str">
        <f>Q19</f>
        <v>公共配套设施</v>
      </c>
      <c r="AA19" s="1262">
        <f t="shared" si="3"/>
        <v>1</v>
      </c>
      <c r="AB19" s="1262">
        <f t="shared" si="4"/>
        <v>1</v>
      </c>
      <c r="AC19" s="1262">
        <f t="shared" si="5"/>
        <v>1</v>
      </c>
    </row>
    <row r="20" spans="1:29" ht="15">
      <c r="A20" s="366"/>
      <c r="B20" s="394"/>
      <c r="C20" s="385"/>
      <c r="D20" s="386"/>
      <c r="E20" s="1749"/>
      <c r="F20" s="386"/>
      <c r="G20" s="1750"/>
      <c r="H20" s="386"/>
      <c r="I20" s="1750"/>
      <c r="J20" s="386"/>
      <c r="K20" s="1751"/>
      <c r="L20" s="2490"/>
      <c r="M20" s="2485"/>
      <c r="N20" s="2485"/>
      <c r="O20" s="2485"/>
      <c r="P20" s="3520"/>
      <c r="Q20" s="1261"/>
      <c r="R20" s="666"/>
      <c r="S20" s="667"/>
      <c r="T20" s="666"/>
      <c r="U20" s="667"/>
      <c r="V20" s="666"/>
      <c r="W20" s="667"/>
      <c r="X20" s="1263"/>
      <c r="Y20" s="3454"/>
      <c r="Z20" s="1262"/>
      <c r="AA20" s="1262">
        <v>1</v>
      </c>
      <c r="AB20" s="1262">
        <v>1</v>
      </c>
      <c r="AC20" s="1262">
        <v>1</v>
      </c>
    </row>
    <row r="21" spans="1:29" ht="28.5">
      <c r="A21" s="366"/>
      <c r="B21" s="585" t="s">
        <v>1254</v>
      </c>
      <c r="C21" s="1752"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520"/>
      <c r="Q21" s="1261" t="str">
        <f>B21</f>
        <v>基础设施水平</v>
      </c>
      <c r="R21" s="666" t="s">
        <v>14</v>
      </c>
      <c r="S21" s="667">
        <f>F21</f>
        <v>100</v>
      </c>
      <c r="T21" s="666" t="s">
        <v>14</v>
      </c>
      <c r="U21" s="667">
        <f>H21</f>
        <v>100</v>
      </c>
      <c r="V21" s="666" t="s">
        <v>14</v>
      </c>
      <c r="W21" s="667">
        <f>J21</f>
        <v>100</v>
      </c>
      <c r="X21" s="1263"/>
      <c r="Y21" s="3454"/>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6"/>
      <c r="G22" s="1756"/>
      <c r="H22" s="386"/>
      <c r="I22" s="385"/>
      <c r="J22" s="386"/>
      <c r="K22" s="1757"/>
      <c r="L22" s="2490"/>
      <c r="M22" s="2485"/>
      <c r="N22" s="2485"/>
      <c r="O22" s="2485"/>
      <c r="P22" s="3520"/>
      <c r="Q22" s="1261"/>
      <c r="R22" s="666"/>
      <c r="S22" s="667"/>
      <c r="T22" s="666"/>
      <c r="U22" s="667"/>
      <c r="V22" s="666"/>
      <c r="W22" s="667"/>
      <c r="X22" s="1263"/>
      <c r="Y22" s="3454"/>
      <c r="Z22" s="1262"/>
      <c r="AA22" s="1262">
        <v>1</v>
      </c>
      <c r="AB22" s="1262">
        <v>1</v>
      </c>
      <c r="AC22" s="1262">
        <v>1</v>
      </c>
    </row>
    <row r="23" spans="1:29" ht="42.75">
      <c r="A23" s="366"/>
      <c r="B23" s="389" t="s">
        <v>1255</v>
      </c>
      <c r="C23" s="1752"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520"/>
      <c r="Q23" s="1261" t="str">
        <f>B23</f>
        <v>自然及人文环境</v>
      </c>
      <c r="R23" s="666" t="s">
        <v>18</v>
      </c>
      <c r="S23" s="667">
        <f>F23</f>
        <v>100</v>
      </c>
      <c r="T23" s="666" t="s">
        <v>18</v>
      </c>
      <c r="U23" s="667">
        <f>H23</f>
        <v>100</v>
      </c>
      <c r="V23" s="666" t="s">
        <v>18</v>
      </c>
      <c r="W23" s="667">
        <f>J23</f>
        <v>100</v>
      </c>
      <c r="X23" s="1263"/>
      <c r="Y23" s="3454"/>
      <c r="Z23" s="1262" t="str">
        <f>Q23</f>
        <v>自然及人文环境</v>
      </c>
      <c r="AA23" s="1262">
        <f>D23/F23</f>
        <v>1</v>
      </c>
      <c r="AB23" s="1262">
        <f>D23/H23</f>
        <v>1</v>
      </c>
      <c r="AC23" s="1262">
        <f>D23/J23</f>
        <v>1</v>
      </c>
    </row>
    <row r="24" spans="1:29" ht="15">
      <c r="A24" s="366"/>
      <c r="B24" s="394"/>
      <c r="C24" s="385"/>
      <c r="D24" s="386"/>
      <c r="E24" s="1749"/>
      <c r="F24" s="386"/>
      <c r="G24" s="1750"/>
      <c r="H24" s="386"/>
      <c r="I24" s="1750"/>
      <c r="J24" s="386"/>
      <c r="K24" s="1751"/>
      <c r="L24" s="2490"/>
      <c r="M24" s="2485"/>
      <c r="N24" s="2485"/>
      <c r="O24" s="2485"/>
      <c r="P24" s="3520"/>
      <c r="Q24" s="1261"/>
      <c r="R24" s="666"/>
      <c r="S24" s="667"/>
      <c r="T24" s="666"/>
      <c r="U24" s="667"/>
      <c r="V24" s="666"/>
      <c r="W24" s="667"/>
      <c r="X24" s="1263"/>
      <c r="Y24" s="3454"/>
      <c r="Z24" s="1262"/>
      <c r="AA24" s="1262">
        <v>1</v>
      </c>
      <c r="AB24" s="1262">
        <v>1</v>
      </c>
      <c r="AC24" s="1262">
        <v>1</v>
      </c>
    </row>
    <row r="25" spans="1:29" ht="15">
      <c r="A25" s="366"/>
      <c r="B25" s="363" t="s">
        <v>1684</v>
      </c>
      <c r="C25" s="398"/>
      <c r="D25" s="373">
        <v>100</v>
      </c>
      <c r="E25" s="1758"/>
      <c r="F25" s="373">
        <f>SUMIF(86:86,E25,87:87)-SUMIF(86:86,C25,87:87)+100</f>
        <v>100</v>
      </c>
      <c r="G25" s="1759"/>
      <c r="H25" s="373">
        <f>SUMIF(86:86,G25,87:87)-SUMIF(86:86,C25,87:87)+100</f>
        <v>100</v>
      </c>
      <c r="I25" s="1759"/>
      <c r="J25" s="373">
        <f>SUMIF(86:86,I25,87:87)-SUMIF(86:86,C25,87:87)+100</f>
        <v>100</v>
      </c>
      <c r="K25" s="364"/>
      <c r="L25" s="2490"/>
      <c r="M25" s="2485"/>
      <c r="N25" s="2485"/>
      <c r="O25" s="2485"/>
      <c r="P25" s="3520"/>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454"/>
      <c r="Z25" s="1262" t="str">
        <f>Q25</f>
        <v>楼层-1</v>
      </c>
      <c r="AA25" s="1262">
        <f t="shared" ref="AA25:AA46" si="15">D25/F25</f>
        <v>1</v>
      </c>
      <c r="AB25" s="1262">
        <f t="shared" ref="AB25:AB46" si="16">D25/H25</f>
        <v>1</v>
      </c>
      <c r="AC25" s="1262">
        <f t="shared" ref="AC25:AC46" si="17">D25/J25</f>
        <v>1</v>
      </c>
    </row>
    <row r="26" spans="1:29" ht="15">
      <c r="A26" s="366"/>
      <c r="B26" s="363" t="s">
        <v>1685</v>
      </c>
      <c r="C26" s="398"/>
      <c r="D26" s="373">
        <v>100</v>
      </c>
      <c r="E26" s="1758"/>
      <c r="F26" s="373">
        <f>SUMIF(88:88,E26,89:89)-SUMIF(88:88,C26,89:89)+100</f>
        <v>100</v>
      </c>
      <c r="G26" s="1759"/>
      <c r="H26" s="373">
        <f>SUMIF(88:88,G26,89:89)-SUMIF(88:88,C26,89:89)+100</f>
        <v>100</v>
      </c>
      <c r="I26" s="1759"/>
      <c r="J26" s="373">
        <f>SUMIF(88:88,I26,89:89)-SUMIF(88:88,C26,89:89)+100</f>
        <v>100</v>
      </c>
      <c r="K26" s="364"/>
      <c r="L26" s="2490"/>
      <c r="M26" s="2485"/>
      <c r="N26" s="2485"/>
      <c r="O26" s="2485"/>
      <c r="P26" s="3520"/>
      <c r="Q26" s="1261" t="str">
        <f t="shared" si="11"/>
        <v>朝向</v>
      </c>
      <c r="R26" s="666" t="s">
        <v>18</v>
      </c>
      <c r="S26" s="667">
        <f t="shared" si="12"/>
        <v>100</v>
      </c>
      <c r="T26" s="666" t="s">
        <v>18</v>
      </c>
      <c r="U26" s="667">
        <f t="shared" si="13"/>
        <v>100</v>
      </c>
      <c r="V26" s="666" t="s">
        <v>18</v>
      </c>
      <c r="W26" s="667">
        <f t="shared" si="14"/>
        <v>100</v>
      </c>
      <c r="X26" s="1263"/>
      <c r="Y26" s="3454"/>
      <c r="Z26" s="1262" t="str">
        <f>Q26</f>
        <v>朝向</v>
      </c>
      <c r="AA26" s="1262">
        <f t="shared" si="15"/>
        <v>1</v>
      </c>
      <c r="AB26" s="1262">
        <f t="shared" si="16"/>
        <v>1</v>
      </c>
      <c r="AC26" s="1262">
        <f t="shared" si="17"/>
        <v>1</v>
      </c>
    </row>
    <row r="27" spans="1:29" s="101"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6"/>
      <c r="L27" s="2486"/>
      <c r="M27" s="2437"/>
      <c r="N27" s="2437"/>
      <c r="O27" s="2437"/>
      <c r="P27" s="3520"/>
      <c r="Q27" s="529">
        <f t="shared" si="11"/>
        <v>111</v>
      </c>
      <c r="R27" s="663" t="s">
        <v>18</v>
      </c>
      <c r="S27" s="664">
        <f t="shared" si="12"/>
        <v>100</v>
      </c>
      <c r="T27" s="663" t="s">
        <v>18</v>
      </c>
      <c r="U27" s="664">
        <f t="shared" si="13"/>
        <v>100</v>
      </c>
      <c r="V27" s="663" t="s">
        <v>18</v>
      </c>
      <c r="W27" s="664">
        <f t="shared" si="14"/>
        <v>100</v>
      </c>
      <c r="X27" s="665"/>
      <c r="Y27" s="3454"/>
      <c r="Z27" s="50">
        <f>Q27</f>
        <v>111</v>
      </c>
      <c r="AA27" s="1262">
        <f t="shared" si="15"/>
        <v>1</v>
      </c>
      <c r="AB27" s="1262">
        <f t="shared" si="16"/>
        <v>1</v>
      </c>
      <c r="AC27" s="1262">
        <f t="shared" si="17"/>
        <v>1</v>
      </c>
    </row>
    <row r="28" spans="1:29" ht="15">
      <c r="A28" s="366"/>
      <c r="B28" s="1064">
        <v>111</v>
      </c>
      <c r="C28" s="372"/>
      <c r="D28" s="373">
        <v>100</v>
      </c>
      <c r="E28" s="372"/>
      <c r="F28" s="373">
        <f>SUMIF(92:92,E28,93:93)-SUMIF(92:92,C28,93:93)+100</f>
        <v>100</v>
      </c>
      <c r="G28" s="1760"/>
      <c r="H28" s="373">
        <f>SUMIF(92:92,G28,93:93)-SUMIF(92:92,C28,93:93)+100</f>
        <v>100</v>
      </c>
      <c r="I28" s="372"/>
      <c r="J28" s="373">
        <f>SUMIF(92:92,I28,93:93)-SUMIF(92:92,C28,93:93)+100</f>
        <v>100</v>
      </c>
      <c r="K28" s="1746"/>
      <c r="L28" s="2490"/>
      <c r="M28" s="2485"/>
      <c r="N28" s="2485"/>
      <c r="O28" s="2485"/>
      <c r="P28" s="3520"/>
      <c r="Q28" s="1261">
        <f t="shared" si="11"/>
        <v>111</v>
      </c>
      <c r="R28" s="666" t="s">
        <v>18</v>
      </c>
      <c r="S28" s="667">
        <f t="shared" si="12"/>
        <v>100</v>
      </c>
      <c r="T28" s="666" t="s">
        <v>18</v>
      </c>
      <c r="U28" s="667">
        <f t="shared" si="13"/>
        <v>100</v>
      </c>
      <c r="V28" s="666" t="s">
        <v>18</v>
      </c>
      <c r="W28" s="667">
        <f t="shared" si="14"/>
        <v>100</v>
      </c>
      <c r="X28" s="1263"/>
      <c r="Y28" s="3454"/>
      <c r="Z28" s="1262">
        <f t="shared" ref="Z28:Z46" si="18">Q28</f>
        <v>111</v>
      </c>
      <c r="AA28" s="1262">
        <f t="shared" si="15"/>
        <v>1</v>
      </c>
      <c r="AB28" s="1262">
        <f t="shared" si="16"/>
        <v>1</v>
      </c>
      <c r="AC28" s="1262">
        <f t="shared" si="17"/>
        <v>1</v>
      </c>
    </row>
    <row r="29" spans="1:29" ht="15">
      <c r="A29" s="366"/>
      <c r="B29" s="1064">
        <v>111</v>
      </c>
      <c r="C29" s="372"/>
      <c r="D29" s="373">
        <v>100</v>
      </c>
      <c r="E29" s="372"/>
      <c r="F29" s="373">
        <f>SUMIF(94:94,E29,95:95)-SUMIF(94:94,C29,95:95)+100</f>
        <v>100</v>
      </c>
      <c r="G29" s="1760"/>
      <c r="H29" s="373">
        <f>SUMIF(94:94,G29,95:95)-SUMIF(94:94,C29,95:95)+100</f>
        <v>100</v>
      </c>
      <c r="I29" s="372"/>
      <c r="J29" s="373">
        <f>SUMIF(94:94,I29,95:95)-SUMIF(94:94,C29,95:95)+100</f>
        <v>100</v>
      </c>
      <c r="K29" s="1746"/>
      <c r="L29" s="2490"/>
      <c r="M29" s="2485"/>
      <c r="N29" s="2485"/>
      <c r="O29" s="2485"/>
      <c r="P29" s="3520"/>
      <c r="Q29" s="1261">
        <f t="shared" si="11"/>
        <v>111</v>
      </c>
      <c r="R29" s="666" t="s">
        <v>18</v>
      </c>
      <c r="S29" s="667">
        <f t="shared" si="12"/>
        <v>100</v>
      </c>
      <c r="T29" s="666" t="s">
        <v>18</v>
      </c>
      <c r="U29" s="667">
        <f t="shared" si="13"/>
        <v>100</v>
      </c>
      <c r="V29" s="666" t="s">
        <v>18</v>
      </c>
      <c r="W29" s="667">
        <f t="shared" si="14"/>
        <v>100</v>
      </c>
      <c r="X29" s="1263"/>
      <c r="Y29" s="3454"/>
      <c r="Z29" s="1262">
        <f t="shared" si="18"/>
        <v>111</v>
      </c>
      <c r="AA29" s="1262">
        <f t="shared" si="15"/>
        <v>1</v>
      </c>
      <c r="AB29" s="1262">
        <f t="shared" si="16"/>
        <v>1</v>
      </c>
      <c r="AC29" s="1262">
        <f t="shared" si="17"/>
        <v>1</v>
      </c>
    </row>
    <row r="30" spans="1:29" ht="15">
      <c r="A30" s="366"/>
      <c r="B30" s="1064">
        <v>111</v>
      </c>
      <c r="C30" s="372"/>
      <c r="D30" s="373">
        <v>100</v>
      </c>
      <c r="E30" s="372"/>
      <c r="F30" s="373">
        <f>SUMIF(96:96,E30,97:97)-SUMIF(96:96,C30,97:97)+100</f>
        <v>100</v>
      </c>
      <c r="G30" s="1760"/>
      <c r="H30" s="373">
        <f>SUMIF(96:96,G30,97:97)-SUMIF(96:96,C30,97:97)+100</f>
        <v>100</v>
      </c>
      <c r="I30" s="372"/>
      <c r="J30" s="373">
        <f>SUMIF(96:96,I30,97:97)-SUMIF(96:96,C30,97:97)+100</f>
        <v>100</v>
      </c>
      <c r="K30" s="1746"/>
      <c r="L30" s="2490"/>
      <c r="M30" s="2485"/>
      <c r="N30" s="2485"/>
      <c r="O30" s="2485"/>
      <c r="P30" s="3520"/>
      <c r="Q30" s="1261">
        <f t="shared" si="11"/>
        <v>111</v>
      </c>
      <c r="R30" s="666" t="s">
        <v>18</v>
      </c>
      <c r="S30" s="667">
        <f t="shared" si="12"/>
        <v>100</v>
      </c>
      <c r="T30" s="666" t="s">
        <v>18</v>
      </c>
      <c r="U30" s="667">
        <f t="shared" si="13"/>
        <v>100</v>
      </c>
      <c r="V30" s="666" t="s">
        <v>18</v>
      </c>
      <c r="W30" s="667">
        <f t="shared" si="14"/>
        <v>100</v>
      </c>
      <c r="X30" s="1263"/>
      <c r="Y30" s="3454"/>
      <c r="Z30" s="1262">
        <f t="shared" si="18"/>
        <v>111</v>
      </c>
      <c r="AA30" s="1262">
        <f t="shared" si="15"/>
        <v>1</v>
      </c>
      <c r="AB30" s="1262">
        <f t="shared" si="16"/>
        <v>1</v>
      </c>
      <c r="AC30" s="1262">
        <f t="shared" si="17"/>
        <v>1</v>
      </c>
    </row>
    <row r="31" spans="1:29" ht="15.75" thickBot="1">
      <c r="A31" s="374"/>
      <c r="B31" s="1064">
        <v>111</v>
      </c>
      <c r="C31" s="375"/>
      <c r="D31" s="376">
        <v>100</v>
      </c>
      <c r="E31" s="375"/>
      <c r="F31" s="376">
        <f>SUMIF(98:98,E31,99:99)-SUMIF(98:98,C31,99:99)+100</f>
        <v>100</v>
      </c>
      <c r="G31" s="1761"/>
      <c r="H31" s="376">
        <f>SUMIF(98:98,G31,99:99)-SUMIF(98:98,C31,99:99)+100</f>
        <v>100</v>
      </c>
      <c r="I31" s="375"/>
      <c r="J31" s="376">
        <f>SUMIF(98:98,I31,99:99)-SUMIF(98:98,C31,99:99)+100</f>
        <v>100</v>
      </c>
      <c r="K31" s="1746"/>
      <c r="L31" s="2490"/>
      <c r="M31" s="2485"/>
      <c r="N31" s="2485"/>
      <c r="O31" s="2485"/>
      <c r="P31" s="3520"/>
      <c r="Q31" s="1261">
        <f t="shared" si="11"/>
        <v>111</v>
      </c>
      <c r="R31" s="666" t="s">
        <v>18</v>
      </c>
      <c r="S31" s="667">
        <f t="shared" si="12"/>
        <v>100</v>
      </c>
      <c r="T31" s="666" t="s">
        <v>18</v>
      </c>
      <c r="U31" s="667">
        <f t="shared" si="13"/>
        <v>100</v>
      </c>
      <c r="V31" s="666" t="s">
        <v>18</v>
      </c>
      <c r="W31" s="667">
        <f t="shared" si="14"/>
        <v>100</v>
      </c>
      <c r="X31" s="1263"/>
      <c r="Y31" s="3454"/>
      <c r="Z31" s="1262">
        <f t="shared" si="18"/>
        <v>111</v>
      </c>
      <c r="AA31" s="1262">
        <f t="shared" si="15"/>
        <v>1</v>
      </c>
      <c r="AB31" s="1262">
        <f t="shared" si="16"/>
        <v>1</v>
      </c>
      <c r="AC31" s="1262">
        <f t="shared" si="17"/>
        <v>1</v>
      </c>
    </row>
    <row r="32" spans="1:29" ht="15">
      <c r="A32" s="378" t="s">
        <v>1686</v>
      </c>
      <c r="B32" s="60" t="s">
        <v>1687</v>
      </c>
      <c r="C32" s="1762"/>
      <c r="D32" s="404">
        <v>100</v>
      </c>
      <c r="E32" s="1763"/>
      <c r="F32" s="399">
        <f>SUMIF(100:100,E32,101:101)-SUMIF(100:100,C32,101:101)+100</f>
        <v>100</v>
      </c>
      <c r="G32" s="1762"/>
      <c r="H32" s="404">
        <f>SUMIF(100:100,G32,101:101)-SUMIF(100:100,C32,101:101)+100</f>
        <v>100</v>
      </c>
      <c r="I32" s="1763"/>
      <c r="J32" s="373">
        <f>SUMIF(100:100,I32,101:101)-SUMIF(100:100,C32,101:101)+100</f>
        <v>100</v>
      </c>
      <c r="K32" s="364"/>
      <c r="L32" s="2490"/>
      <c r="M32" s="2485"/>
      <c r="N32" s="2485"/>
      <c r="O32" s="2485"/>
      <c r="P32" s="3515" t="s">
        <v>1688</v>
      </c>
      <c r="Q32" s="1261" t="str">
        <f t="shared" si="11"/>
        <v>建筑类型</v>
      </c>
      <c r="R32" s="666" t="s">
        <v>18</v>
      </c>
      <c r="S32" s="667">
        <f t="shared" si="12"/>
        <v>100</v>
      </c>
      <c r="T32" s="666" t="s">
        <v>18</v>
      </c>
      <c r="U32" s="667">
        <f t="shared" si="13"/>
        <v>100</v>
      </c>
      <c r="V32" s="666" t="s">
        <v>18</v>
      </c>
      <c r="W32" s="667">
        <f t="shared" si="14"/>
        <v>100</v>
      </c>
      <c r="X32" s="1263"/>
      <c r="Y32" s="3456" t="s">
        <v>1688</v>
      </c>
      <c r="Z32" s="1262" t="str">
        <f t="shared" si="18"/>
        <v>建筑类型</v>
      </c>
      <c r="AA32" s="1262">
        <f t="shared" si="15"/>
        <v>1</v>
      </c>
      <c r="AB32" s="1262">
        <f t="shared" si="16"/>
        <v>1</v>
      </c>
      <c r="AC32" s="1262">
        <f t="shared" si="17"/>
        <v>1</v>
      </c>
    </row>
    <row r="33" spans="1:29" s="407" customFormat="1" ht="15">
      <c r="A33" s="405"/>
      <c r="B33" s="363" t="s">
        <v>1689</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6"/>
      <c r="L33" s="2489"/>
      <c r="M33" s="2491"/>
      <c r="N33" s="2491"/>
      <c r="O33" s="2491"/>
      <c r="P33" s="3516"/>
      <c r="Q33" s="530" t="str">
        <f t="shared" si="11"/>
        <v>项目建筑规模</v>
      </c>
      <c r="R33" s="668" t="s">
        <v>18</v>
      </c>
      <c r="S33" s="669" t="e">
        <f t="shared" si="12"/>
        <v>#N/A</v>
      </c>
      <c r="T33" s="668" t="s">
        <v>18</v>
      </c>
      <c r="U33" s="669" t="e">
        <f t="shared" si="13"/>
        <v>#N/A</v>
      </c>
      <c r="V33" s="668" t="s">
        <v>18</v>
      </c>
      <c r="W33" s="669" t="e">
        <f t="shared" si="14"/>
        <v>#N/A</v>
      </c>
      <c r="X33" s="670"/>
      <c r="Y33" s="3456"/>
      <c r="Z33" s="671" t="str">
        <f t="shared" si="18"/>
        <v>项目建筑规模</v>
      </c>
      <c r="AA33" s="1262" t="e">
        <f t="shared" si="15"/>
        <v>#N/A</v>
      </c>
      <c r="AB33" s="1262" t="e">
        <f t="shared" si="16"/>
        <v>#N/A</v>
      </c>
      <c r="AC33" s="1262" t="e">
        <f t="shared" si="17"/>
        <v>#N/A</v>
      </c>
    </row>
    <row r="34" spans="1:29" ht="15">
      <c r="A34" s="408"/>
      <c r="B34" s="363" t="s">
        <v>1690</v>
      </c>
      <c r="C34" s="398"/>
      <c r="D34" s="373">
        <v>100</v>
      </c>
      <c r="E34" s="1764"/>
      <c r="F34" s="399">
        <f>SUMIF(105:105,E34,106:106)-SUMIF(105:105,C34,106:106)+100</f>
        <v>100</v>
      </c>
      <c r="G34" s="398"/>
      <c r="H34" s="373">
        <f>SUMIF(105:105,G34,106:106)-SUMIF(105:105,C34,106:106)+100</f>
        <v>100</v>
      </c>
      <c r="I34" s="1764"/>
      <c r="J34" s="373">
        <f>SUMIF(105:105,I34,106:106)-SUMIF(105:105,C34,106:106)+100</f>
        <v>100</v>
      </c>
      <c r="K34" s="364"/>
      <c r="L34" s="2490"/>
      <c r="M34" s="2485"/>
      <c r="N34" s="2485"/>
      <c r="O34" s="2485"/>
      <c r="P34" s="3516"/>
      <c r="Q34" s="1261" t="str">
        <f t="shared" si="11"/>
        <v>建筑结构</v>
      </c>
      <c r="R34" s="666" t="s">
        <v>18</v>
      </c>
      <c r="S34" s="667">
        <f t="shared" si="12"/>
        <v>100</v>
      </c>
      <c r="T34" s="666" t="s">
        <v>18</v>
      </c>
      <c r="U34" s="667">
        <f t="shared" si="13"/>
        <v>100</v>
      </c>
      <c r="V34" s="666" t="s">
        <v>18</v>
      </c>
      <c r="W34" s="667">
        <f t="shared" si="14"/>
        <v>100</v>
      </c>
      <c r="X34" s="1263"/>
      <c r="Y34" s="3456"/>
      <c r="Z34" s="1262" t="str">
        <f t="shared" si="18"/>
        <v>建筑结构</v>
      </c>
      <c r="AA34" s="1262">
        <f t="shared" si="15"/>
        <v>1</v>
      </c>
      <c r="AB34" s="1262">
        <f t="shared" si="16"/>
        <v>1</v>
      </c>
      <c r="AC34" s="1262">
        <f t="shared" si="17"/>
        <v>1</v>
      </c>
    </row>
    <row r="35" spans="1:29" ht="15">
      <c r="A35" s="408"/>
      <c r="B35" s="363" t="s">
        <v>1691</v>
      </c>
      <c r="C35" s="1758"/>
      <c r="D35" s="373">
        <v>100</v>
      </c>
      <c r="E35" s="1759"/>
      <c r="F35" s="399">
        <f>SUMIF(107:107,E35,108:108)-SUMIF(107:107,C35,108:108)+100</f>
        <v>100</v>
      </c>
      <c r="G35" s="1758"/>
      <c r="H35" s="373">
        <f>SUMIF(107:107,G35,108:108)-SUMIF(107:107,C35,108:108)+100</f>
        <v>100</v>
      </c>
      <c r="I35" s="1759"/>
      <c r="J35" s="373">
        <f>SUMIF(107:107,I35,108:108)-SUMIF(107:107,C35,108:108)+100</f>
        <v>100</v>
      </c>
      <c r="K35" s="364"/>
      <c r="L35" s="2490"/>
      <c r="M35" s="2485"/>
      <c r="N35" s="2485"/>
      <c r="O35" s="2485"/>
      <c r="P35" s="3516"/>
      <c r="Q35" s="1261" t="str">
        <f t="shared" si="11"/>
        <v>建筑品质</v>
      </c>
      <c r="R35" s="666" t="s">
        <v>18</v>
      </c>
      <c r="S35" s="667">
        <f t="shared" si="12"/>
        <v>100</v>
      </c>
      <c r="T35" s="666" t="s">
        <v>18</v>
      </c>
      <c r="U35" s="667">
        <f t="shared" si="13"/>
        <v>100</v>
      </c>
      <c r="V35" s="666" t="s">
        <v>18</v>
      </c>
      <c r="W35" s="667">
        <f t="shared" si="14"/>
        <v>100</v>
      </c>
      <c r="X35" s="1263"/>
      <c r="Y35" s="3456"/>
      <c r="Z35" s="1262" t="str">
        <f t="shared" si="18"/>
        <v>建筑品质</v>
      </c>
      <c r="AA35" s="1262">
        <f t="shared" si="15"/>
        <v>1</v>
      </c>
      <c r="AB35" s="1262">
        <f t="shared" si="16"/>
        <v>1</v>
      </c>
      <c r="AC35" s="1262">
        <f t="shared" si="17"/>
        <v>1</v>
      </c>
    </row>
    <row r="36" spans="1:29" ht="15">
      <c r="A36" s="408"/>
      <c r="B36" s="363" t="s">
        <v>1692</v>
      </c>
      <c r="C36" s="1758"/>
      <c r="D36" s="373">
        <v>100</v>
      </c>
      <c r="E36" s="1759"/>
      <c r="F36" s="399">
        <f>SUMIF(109:109,E36,110:110)-SUMIF(109:109,C36,110:110)+100</f>
        <v>100</v>
      </c>
      <c r="G36" s="1758"/>
      <c r="H36" s="373">
        <f>SUMIF(109:109,G36,110:110)-SUMIF(109:109,C36,110:110)+100</f>
        <v>100</v>
      </c>
      <c r="I36" s="1759"/>
      <c r="J36" s="373">
        <f>SUMIF(109:109,I36,110:110)-SUMIF(109:109,C36,110:110)+100</f>
        <v>100</v>
      </c>
      <c r="K36" s="364"/>
      <c r="L36" s="2490"/>
      <c r="M36" s="2485"/>
      <c r="N36" s="2485"/>
      <c r="O36" s="2485"/>
      <c r="P36" s="3516"/>
      <c r="Q36" s="1261" t="str">
        <f t="shared" si="11"/>
        <v>公共部分装修</v>
      </c>
      <c r="R36" s="666" t="s">
        <v>18</v>
      </c>
      <c r="S36" s="667">
        <f t="shared" si="12"/>
        <v>100</v>
      </c>
      <c r="T36" s="666" t="s">
        <v>18</v>
      </c>
      <c r="U36" s="667">
        <f t="shared" si="13"/>
        <v>100</v>
      </c>
      <c r="V36" s="666" t="s">
        <v>18</v>
      </c>
      <c r="W36" s="667">
        <f t="shared" si="14"/>
        <v>100</v>
      </c>
      <c r="X36" s="1263"/>
      <c r="Y36" s="3456"/>
      <c r="Z36" s="1262" t="str">
        <f t="shared" si="18"/>
        <v>公共部分装修</v>
      </c>
      <c r="AA36" s="1262">
        <f t="shared" si="15"/>
        <v>1</v>
      </c>
      <c r="AB36" s="1262">
        <f t="shared" si="16"/>
        <v>1</v>
      </c>
      <c r="AC36" s="1262">
        <f t="shared" si="17"/>
        <v>1</v>
      </c>
    </row>
    <row r="37" spans="1:29" s="101" customFormat="1" ht="15">
      <c r="A37" s="409"/>
      <c r="B37" s="363" t="s">
        <v>1693</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7"/>
      <c r="N37" s="2437"/>
      <c r="O37" s="2437"/>
      <c r="P37" s="3516"/>
      <c r="Q37" s="529" t="str">
        <f t="shared" si="11"/>
        <v>成新度</v>
      </c>
      <c r="R37" s="663" t="s">
        <v>18</v>
      </c>
      <c r="S37" s="664" t="e">
        <f t="shared" si="12"/>
        <v>#N/A</v>
      </c>
      <c r="T37" s="663" t="s">
        <v>18</v>
      </c>
      <c r="U37" s="664" t="e">
        <f t="shared" si="13"/>
        <v>#N/A</v>
      </c>
      <c r="V37" s="663" t="s">
        <v>18</v>
      </c>
      <c r="W37" s="664" t="e">
        <f t="shared" si="14"/>
        <v>#N/A</v>
      </c>
      <c r="X37" s="665"/>
      <c r="Y37" s="3456"/>
      <c r="Z37" s="50" t="str">
        <f t="shared" si="18"/>
        <v>成新度</v>
      </c>
      <c r="AA37" s="50" t="e">
        <f t="shared" si="15"/>
        <v>#N/A</v>
      </c>
      <c r="AB37" s="50" t="e">
        <f t="shared" si="16"/>
        <v>#N/A</v>
      </c>
      <c r="AC37" s="50" t="e">
        <f t="shared" si="17"/>
        <v>#N/A</v>
      </c>
    </row>
    <row r="38" spans="1:29" ht="15">
      <c r="A38" s="408"/>
      <c r="B38" s="363" t="s">
        <v>1694</v>
      </c>
      <c r="C38" s="1758"/>
      <c r="D38" s="373">
        <v>100</v>
      </c>
      <c r="E38" s="1759"/>
      <c r="F38" s="399">
        <f>SUMIF(114:114,E38,115:115)-SUMIF(114:114,C38,115:115)+100</f>
        <v>100</v>
      </c>
      <c r="G38" s="1758"/>
      <c r="H38" s="373">
        <f>SUMIF(114:114,G38,115:115)-SUMIF(114:114,C38,115:115)+100</f>
        <v>100</v>
      </c>
      <c r="I38" s="1759"/>
      <c r="J38" s="373">
        <f>SUMIF(114:114,I38,115:115)-SUMIF(114:114,C38,115:115)+100</f>
        <v>100</v>
      </c>
      <c r="K38" s="364"/>
      <c r="L38" s="2490"/>
      <c r="M38" s="2485"/>
      <c r="N38" s="2485"/>
      <c r="O38" s="2485"/>
      <c r="P38" s="3516" t="s">
        <v>1688</v>
      </c>
      <c r="Q38" s="1261" t="str">
        <f t="shared" si="11"/>
        <v>物业管理</v>
      </c>
      <c r="R38" s="666" t="s">
        <v>18</v>
      </c>
      <c r="S38" s="667">
        <f t="shared" si="12"/>
        <v>100</v>
      </c>
      <c r="T38" s="666" t="s">
        <v>18</v>
      </c>
      <c r="U38" s="667">
        <f t="shared" si="13"/>
        <v>100</v>
      </c>
      <c r="V38" s="666" t="s">
        <v>18</v>
      </c>
      <c r="W38" s="667">
        <f t="shared" si="14"/>
        <v>100</v>
      </c>
      <c r="X38" s="1263"/>
      <c r="Y38" s="3456" t="s">
        <v>1688</v>
      </c>
      <c r="Z38" s="1262" t="str">
        <f t="shared" si="18"/>
        <v>物业管理</v>
      </c>
      <c r="AA38" s="1262">
        <f t="shared" si="15"/>
        <v>1</v>
      </c>
      <c r="AB38" s="1262">
        <f t="shared" si="16"/>
        <v>1</v>
      </c>
      <c r="AC38" s="1262">
        <f t="shared" si="17"/>
        <v>1</v>
      </c>
    </row>
    <row r="39" spans="1:29" ht="15">
      <c r="A39" s="408"/>
      <c r="B39" s="363" t="s">
        <v>1695</v>
      </c>
      <c r="C39" s="1758"/>
      <c r="D39" s="373">
        <v>100</v>
      </c>
      <c r="E39" s="1759"/>
      <c r="F39" s="399">
        <f>SUMIF(116:116,E39,117:117)-SUMIF(116:116,C39,117:117)+100</f>
        <v>100</v>
      </c>
      <c r="G39" s="1758"/>
      <c r="H39" s="373">
        <f>SUMIF(116:116,G39,117:117)-SUMIF(116:116,C39,117:117)+100</f>
        <v>100</v>
      </c>
      <c r="I39" s="1759"/>
      <c r="J39" s="373">
        <f>SUMIF(116:116,I39,117:117)-SUMIF(116:116,C39,117:117)+100</f>
        <v>100</v>
      </c>
      <c r="K39" s="364"/>
      <c r="L39" s="2490"/>
      <c r="M39" s="2485"/>
      <c r="N39" s="2485"/>
      <c r="O39" s="2485"/>
      <c r="P39" s="3516"/>
      <c r="Q39" s="1261" t="str">
        <f t="shared" si="11"/>
        <v>市政基础设施</v>
      </c>
      <c r="R39" s="666" t="s">
        <v>18</v>
      </c>
      <c r="S39" s="667">
        <f t="shared" si="12"/>
        <v>100</v>
      </c>
      <c r="T39" s="666" t="s">
        <v>18</v>
      </c>
      <c r="U39" s="667">
        <f t="shared" si="13"/>
        <v>100</v>
      </c>
      <c r="V39" s="666" t="s">
        <v>18</v>
      </c>
      <c r="W39" s="667">
        <f t="shared" si="14"/>
        <v>100</v>
      </c>
      <c r="X39" s="1263"/>
      <c r="Y39" s="3456"/>
      <c r="Z39" s="1262" t="str">
        <f t="shared" si="18"/>
        <v>市政基础设施</v>
      </c>
      <c r="AA39" s="1262">
        <f t="shared" si="15"/>
        <v>1</v>
      </c>
      <c r="AB39" s="1262">
        <f t="shared" si="16"/>
        <v>1</v>
      </c>
      <c r="AC39" s="1262">
        <f t="shared" si="17"/>
        <v>1</v>
      </c>
    </row>
    <row r="40" spans="1:29" ht="15">
      <c r="A40" s="408"/>
      <c r="B40" s="363" t="s">
        <v>1696</v>
      </c>
      <c r="C40" s="1758"/>
      <c r="D40" s="373">
        <v>100</v>
      </c>
      <c r="E40" s="1759"/>
      <c r="F40" s="399">
        <f>SUMIF(118:118,E40,119:119)-SUMIF(118:118,C40,119:119)+100</f>
        <v>100</v>
      </c>
      <c r="G40" s="1758"/>
      <c r="H40" s="373">
        <f>SUMIF(118:118,G40,119:119)-SUMIF(118:118,C40,119:119)+100</f>
        <v>100</v>
      </c>
      <c r="I40" s="1759"/>
      <c r="J40" s="373">
        <f>SUMIF(118:118,I40,119:119)-SUMIF(118:118,C40,119:119)+100</f>
        <v>100</v>
      </c>
      <c r="K40" s="364"/>
      <c r="L40" s="2490"/>
      <c r="M40" s="2485"/>
      <c r="N40" s="2485"/>
      <c r="O40" s="2485"/>
      <c r="P40" s="3516"/>
      <c r="Q40" s="1261" t="str">
        <f t="shared" si="11"/>
        <v>房型</v>
      </c>
      <c r="R40" s="666" t="s">
        <v>18</v>
      </c>
      <c r="S40" s="667">
        <f t="shared" si="12"/>
        <v>100</v>
      </c>
      <c r="T40" s="666" t="s">
        <v>18</v>
      </c>
      <c r="U40" s="667">
        <f t="shared" si="13"/>
        <v>100</v>
      </c>
      <c r="V40" s="666" t="s">
        <v>18</v>
      </c>
      <c r="W40" s="667">
        <f t="shared" si="14"/>
        <v>100</v>
      </c>
      <c r="X40" s="1263"/>
      <c r="Y40" s="3456"/>
      <c r="Z40" s="1262" t="str">
        <f t="shared" si="18"/>
        <v>房型</v>
      </c>
      <c r="AA40" s="1262">
        <f t="shared" si="15"/>
        <v>1</v>
      </c>
      <c r="AB40" s="1262">
        <f t="shared" si="16"/>
        <v>1</v>
      </c>
      <c r="AC40" s="1262">
        <f t="shared" si="17"/>
        <v>1</v>
      </c>
    </row>
    <row r="41" spans="1:29" s="407" customFormat="1" ht="28.5">
      <c r="A41" s="405"/>
      <c r="B41" s="363" t="s">
        <v>1697</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6"/>
      <c r="L41" s="2489"/>
      <c r="M41" s="2491"/>
      <c r="N41" s="2491"/>
      <c r="O41" s="2491"/>
      <c r="P41" s="3516"/>
      <c r="Q41" s="530" t="str">
        <f t="shared" si="11"/>
        <v>单套/主力户型建筑面积</v>
      </c>
      <c r="R41" s="668" t="s">
        <v>18</v>
      </c>
      <c r="S41" s="669">
        <f t="shared" si="12"/>
        <v>100</v>
      </c>
      <c r="T41" s="668" t="s">
        <v>18</v>
      </c>
      <c r="U41" s="669">
        <f t="shared" si="13"/>
        <v>100</v>
      </c>
      <c r="V41" s="668" t="s">
        <v>18</v>
      </c>
      <c r="W41" s="669">
        <f t="shared" si="14"/>
        <v>100</v>
      </c>
      <c r="X41" s="670"/>
      <c r="Y41" s="3456"/>
      <c r="Z41" s="671" t="str">
        <f t="shared" si="18"/>
        <v>单套/主力户型建筑面积</v>
      </c>
      <c r="AA41" s="1262">
        <f t="shared" si="15"/>
        <v>1</v>
      </c>
      <c r="AB41" s="1262">
        <f t="shared" si="16"/>
        <v>1</v>
      </c>
      <c r="AC41" s="1262">
        <f t="shared" si="17"/>
        <v>1</v>
      </c>
    </row>
    <row r="42" spans="1:29" ht="15">
      <c r="A42" s="408"/>
      <c r="B42" s="363" t="s">
        <v>1698</v>
      </c>
      <c r="C42" s="1758"/>
      <c r="D42" s="373">
        <v>100</v>
      </c>
      <c r="E42" s="1759"/>
      <c r="F42" s="399">
        <f>SUMIF(122:122,E42,123:123)-SUMIF(122:122,C42,123:123)+100</f>
        <v>100</v>
      </c>
      <c r="G42" s="1758"/>
      <c r="H42" s="373">
        <f>SUMIF(122:122,G42,123:123)-SUMIF(122:122,C42,123:123)+100</f>
        <v>100</v>
      </c>
      <c r="I42" s="1759"/>
      <c r="J42" s="373">
        <f>SUMIF(122:122,I42,123:123)-SUMIF(122:122,C42,123:123)+100</f>
        <v>100</v>
      </c>
      <c r="K42" s="364"/>
      <c r="L42" s="2490"/>
      <c r="M42" s="2485"/>
      <c r="N42" s="2485"/>
      <c r="O42" s="2485"/>
      <c r="P42" s="3516"/>
      <c r="Q42" s="1261" t="str">
        <f t="shared" si="11"/>
        <v>内部装修</v>
      </c>
      <c r="R42" s="666" t="s">
        <v>18</v>
      </c>
      <c r="S42" s="667">
        <f t="shared" si="12"/>
        <v>100</v>
      </c>
      <c r="T42" s="666" t="s">
        <v>18</v>
      </c>
      <c r="U42" s="667">
        <f t="shared" si="13"/>
        <v>100</v>
      </c>
      <c r="V42" s="666" t="s">
        <v>18</v>
      </c>
      <c r="W42" s="667">
        <f t="shared" si="14"/>
        <v>100</v>
      </c>
      <c r="X42" s="1263"/>
      <c r="Y42" s="3456"/>
      <c r="Z42" s="1262" t="str">
        <f t="shared" si="18"/>
        <v>内部装修</v>
      </c>
      <c r="AA42" s="1262">
        <f t="shared" si="15"/>
        <v>1</v>
      </c>
      <c r="AB42" s="1262">
        <f t="shared" si="16"/>
        <v>1</v>
      </c>
      <c r="AC42" s="1262">
        <f t="shared" si="17"/>
        <v>1</v>
      </c>
    </row>
    <row r="43" spans="1:29" ht="15">
      <c r="A43" s="408"/>
      <c r="B43" s="363" t="s">
        <v>1699</v>
      </c>
      <c r="C43" s="1758"/>
      <c r="D43" s="373">
        <v>100</v>
      </c>
      <c r="E43" s="1759"/>
      <c r="F43" s="399">
        <f>SUMIF(124:124,E43,125:125)-SUMIF(124:124,C43,125:125)+100</f>
        <v>100</v>
      </c>
      <c r="G43" s="1758"/>
      <c r="H43" s="373">
        <f>SUMIF(124:124,G43,125:125)-SUMIF(124:124,C43,125:125)+100</f>
        <v>100</v>
      </c>
      <c r="I43" s="1759"/>
      <c r="J43" s="373">
        <f>SUMIF(124:124,I43,125:125)-SUMIF(124:124,C43,125:125)+100</f>
        <v>100</v>
      </c>
      <c r="K43" s="364"/>
      <c r="L43" s="2490"/>
      <c r="M43" s="2485"/>
      <c r="N43" s="2485"/>
      <c r="O43" s="2485"/>
      <c r="P43" s="3516"/>
      <c r="Q43" s="1261" t="str">
        <f t="shared" si="11"/>
        <v>内部装修维护情况</v>
      </c>
      <c r="R43" s="666" t="s">
        <v>18</v>
      </c>
      <c r="S43" s="667">
        <f t="shared" si="12"/>
        <v>100</v>
      </c>
      <c r="T43" s="666" t="s">
        <v>18</v>
      </c>
      <c r="U43" s="667">
        <f t="shared" si="13"/>
        <v>100</v>
      </c>
      <c r="V43" s="666" t="s">
        <v>18</v>
      </c>
      <c r="W43" s="667">
        <f t="shared" si="14"/>
        <v>100</v>
      </c>
      <c r="X43" s="1263"/>
      <c r="Y43" s="3456"/>
      <c r="Z43" s="1262" t="str">
        <f t="shared" si="18"/>
        <v>内部装修维护情况</v>
      </c>
      <c r="AA43" s="1262">
        <f t="shared" si="15"/>
        <v>1</v>
      </c>
      <c r="AB43" s="1262">
        <f t="shared" si="16"/>
        <v>1</v>
      </c>
      <c r="AC43" s="1262">
        <f t="shared" si="17"/>
        <v>1</v>
      </c>
    </row>
    <row r="44" spans="1:29" s="101" customFormat="1" ht="15">
      <c r="A44" s="409"/>
      <c r="B44" s="1064">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6"/>
      <c r="L44" s="2486"/>
      <c r="M44" s="2437"/>
      <c r="N44" s="2437"/>
      <c r="O44" s="2437"/>
      <c r="P44" s="3516"/>
      <c r="Q44" s="529">
        <f t="shared" si="11"/>
        <v>111</v>
      </c>
      <c r="R44" s="663" t="s">
        <v>18</v>
      </c>
      <c r="S44" s="664">
        <f t="shared" si="12"/>
        <v>100</v>
      </c>
      <c r="T44" s="663" t="s">
        <v>18</v>
      </c>
      <c r="U44" s="664">
        <f t="shared" si="13"/>
        <v>100</v>
      </c>
      <c r="V44" s="663" t="s">
        <v>18</v>
      </c>
      <c r="W44" s="664">
        <f t="shared" si="14"/>
        <v>100</v>
      </c>
      <c r="X44" s="665"/>
      <c r="Y44" s="3456"/>
      <c r="Z44" s="50">
        <f t="shared" si="18"/>
        <v>111</v>
      </c>
      <c r="AA44" s="50">
        <f t="shared" si="15"/>
        <v>1</v>
      </c>
      <c r="AB44" s="50">
        <f t="shared" si="16"/>
        <v>1</v>
      </c>
      <c r="AC44" s="50">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6"/>
      <c r="L45" s="2490"/>
      <c r="M45" s="2485"/>
      <c r="N45" s="2485"/>
      <c r="O45" s="2485"/>
      <c r="P45" s="3516"/>
      <c r="Q45" s="1261">
        <f t="shared" si="11"/>
        <v>111</v>
      </c>
      <c r="R45" s="666" t="s">
        <v>18</v>
      </c>
      <c r="S45" s="667">
        <f t="shared" si="12"/>
        <v>100</v>
      </c>
      <c r="T45" s="666" t="s">
        <v>18</v>
      </c>
      <c r="U45" s="667">
        <f t="shared" si="13"/>
        <v>100</v>
      </c>
      <c r="V45" s="666" t="s">
        <v>18</v>
      </c>
      <c r="W45" s="667">
        <f t="shared" si="14"/>
        <v>100</v>
      </c>
      <c r="X45" s="1263"/>
      <c r="Y45" s="3456"/>
      <c r="Z45" s="1262">
        <f t="shared" si="18"/>
        <v>111</v>
      </c>
      <c r="AA45" s="1262">
        <f t="shared" si="15"/>
        <v>1</v>
      </c>
      <c r="AB45" s="1262">
        <f t="shared" si="16"/>
        <v>1</v>
      </c>
      <c r="AC45" s="1262">
        <f t="shared" si="17"/>
        <v>1</v>
      </c>
    </row>
    <row r="46" spans="1:29" ht="15.75" thickBot="1">
      <c r="A46" s="414"/>
      <c r="B46" s="1747">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6"/>
      <c r="L46" s="2490"/>
      <c r="M46" s="2485"/>
      <c r="N46" s="2485"/>
      <c r="O46" s="2485"/>
      <c r="P46" s="3517"/>
      <c r="Q46" s="1261">
        <f t="shared" si="11"/>
        <v>111</v>
      </c>
      <c r="R46" s="666" t="s">
        <v>17</v>
      </c>
      <c r="S46" s="667">
        <f t="shared" si="12"/>
        <v>100</v>
      </c>
      <c r="T46" s="666" t="s">
        <v>17</v>
      </c>
      <c r="U46" s="667">
        <f t="shared" si="13"/>
        <v>100</v>
      </c>
      <c r="V46" s="666" t="s">
        <v>17</v>
      </c>
      <c r="W46" s="667">
        <f t="shared" si="14"/>
        <v>100</v>
      </c>
      <c r="X46" s="1263"/>
      <c r="Y46" s="3518"/>
      <c r="Z46" s="1262">
        <f t="shared" si="18"/>
        <v>111</v>
      </c>
      <c r="AA46" s="1262">
        <f t="shared" si="15"/>
        <v>1</v>
      </c>
      <c r="AB46" s="1262">
        <f t="shared" si="16"/>
        <v>1</v>
      </c>
      <c r="AC46" s="1262">
        <f t="shared" si="17"/>
        <v>1</v>
      </c>
    </row>
    <row r="47" spans="1:29" ht="15">
      <c r="A47" s="415" t="s">
        <v>1700</v>
      </c>
      <c r="B47" s="416"/>
      <c r="C47" s="1079" t="s">
        <v>16</v>
      </c>
      <c r="D47" s="417"/>
      <c r="E47" s="418"/>
      <c r="F47" s="419"/>
      <c r="G47" s="420"/>
      <c r="H47" s="421"/>
      <c r="I47" s="418"/>
      <c r="J47" s="421"/>
      <c r="K47" s="1765"/>
      <c r="L47" s="2492"/>
      <c r="M47" s="2485"/>
      <c r="N47" s="2485"/>
      <c r="O47" s="2485"/>
      <c r="P47" s="3452" t="str">
        <f>A47</f>
        <v>成交单价（元/平方米）</v>
      </c>
      <c r="Q47" s="3452"/>
      <c r="R47" s="3457">
        <f>E47</f>
        <v>0</v>
      </c>
      <c r="S47" s="3457"/>
      <c r="T47" s="3457">
        <f>G47</f>
        <v>0</v>
      </c>
      <c r="U47" s="3457"/>
      <c r="V47" s="3457">
        <f>I47</f>
        <v>0</v>
      </c>
      <c r="W47" s="3457"/>
      <c r="X47" s="384"/>
      <c r="Y47" s="672"/>
      <c r="Z47" s="384"/>
      <c r="AA47" s="384"/>
      <c r="AB47" s="384"/>
      <c r="AC47" s="384"/>
    </row>
    <row r="48" spans="1:29" ht="15.75" thickBot="1">
      <c r="A48" s="422" t="s">
        <v>1701</v>
      </c>
      <c r="B48" s="423"/>
      <c r="C48" s="1080" t="e">
        <f>R49</f>
        <v>#DIV/0!</v>
      </c>
      <c r="D48" s="2139" t="s">
        <v>2128</v>
      </c>
      <c r="E48" s="1081" t="e">
        <f>R48</f>
        <v>#DIV/0!</v>
      </c>
      <c r="F48" s="2140"/>
      <c r="G48" s="1080" t="e">
        <f>T48</f>
        <v>#DIV/0!</v>
      </c>
      <c r="H48" s="2140"/>
      <c r="I48" s="1081" t="e">
        <f>V48</f>
        <v>#DIV/0!</v>
      </c>
      <c r="J48" s="2140"/>
      <c r="K48" s="2141">
        <f>F48+H48+J48</f>
        <v>0</v>
      </c>
      <c r="L48" s="2492"/>
      <c r="M48" s="2485"/>
      <c r="N48" s="2485"/>
      <c r="O48" s="2485"/>
      <c r="P48" s="3452" t="str">
        <f>A48</f>
        <v>比较价值（元/平方米）</v>
      </c>
      <c r="Q48" s="3452"/>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384"/>
      <c r="Y48" s="384"/>
      <c r="Z48" s="384"/>
      <c r="AA48" s="384"/>
      <c r="AB48" s="384"/>
      <c r="AC48" s="384"/>
    </row>
    <row r="49" spans="1:29" ht="15.75" thickBot="1">
      <c r="A49" s="426" t="s">
        <v>1702</v>
      </c>
      <c r="B49" s="427"/>
      <c r="C49" s="1082" t="e">
        <f>R49</f>
        <v>#DIV/0!</v>
      </c>
      <c r="D49" s="350"/>
      <c r="E49" s="350"/>
      <c r="F49" s="350"/>
      <c r="G49" s="350"/>
      <c r="H49" s="350"/>
      <c r="I49" s="350"/>
      <c r="J49" s="350"/>
      <c r="K49" s="1766"/>
      <c r="L49" s="2492"/>
      <c r="M49" s="2485"/>
      <c r="N49" s="2485"/>
      <c r="O49" s="2485"/>
      <c r="P49" s="3446" t="str">
        <f>A49</f>
        <v>估价对象XX用房的比较价值（楼面单价，元/平方米）</v>
      </c>
      <c r="Q49" s="3447"/>
      <c r="R49" s="3514" t="e">
        <f>IF(F1="售价",ROUND(IF(D48="简单平均",AVERAGE(R48:V48),R48*F48+T48*H48+V48*J48),0),ROUND(IF(D48="简单平均",AVERAGE(R48:V48),R48*F48+T48*H48+V48*J48),1))</f>
        <v>#DIV/0!</v>
      </c>
      <c r="S49" s="3514"/>
      <c r="T49" s="3514"/>
      <c r="U49" s="3514"/>
      <c r="V49" s="3514"/>
      <c r="W49" s="3514"/>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1703</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1704</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1705</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8"/>
    </row>
    <row r="55" spans="1:29" s="436"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7" t="s">
        <v>1706</v>
      </c>
      <c r="B57" s="384"/>
      <c r="C57" s="658"/>
      <c r="D57" s="658"/>
      <c r="E57" s="658"/>
      <c r="F57" s="659"/>
      <c r="G57" s="659"/>
      <c r="H57" s="658"/>
      <c r="I57" s="658"/>
      <c r="J57" s="658"/>
      <c r="K57" s="885"/>
      <c r="L57" s="886"/>
      <c r="M57" s="884"/>
      <c r="N57" s="884"/>
      <c r="O57" s="884"/>
      <c r="P57" s="1769"/>
      <c r="Q57" s="438"/>
    </row>
    <row r="58" spans="1:29" s="441" customFormat="1" ht="15">
      <c r="A58" s="439" t="s">
        <v>1707</v>
      </c>
      <c r="B58" s="440"/>
      <c r="C58" s="1103" t="str">
        <f>YEAR(C7)&amp;"-"&amp;MONTH(C7)</f>
        <v>2025-2</v>
      </c>
      <c r="D58" s="1102">
        <f>EDATE(C58,-1)</f>
        <v>45658</v>
      </c>
      <c r="E58" s="1102">
        <f>EDATE(D58,-1)</f>
        <v>45627</v>
      </c>
      <c r="F58" s="1102">
        <f t="shared" ref="F58:O58" si="19">EDATE(E58,-1)</f>
        <v>45597</v>
      </c>
      <c r="G58" s="1102">
        <f t="shared" si="19"/>
        <v>45566</v>
      </c>
      <c r="H58" s="1102">
        <f t="shared" si="19"/>
        <v>45536</v>
      </c>
      <c r="I58" s="1102">
        <f t="shared" si="19"/>
        <v>45505</v>
      </c>
      <c r="J58" s="1102">
        <f t="shared" si="19"/>
        <v>45474</v>
      </c>
      <c r="K58" s="1102">
        <f t="shared" si="19"/>
        <v>45444</v>
      </c>
      <c r="L58" s="1102">
        <f t="shared" si="19"/>
        <v>45413</v>
      </c>
      <c r="M58" s="1102">
        <f t="shared" si="19"/>
        <v>45383</v>
      </c>
      <c r="N58" s="1102">
        <f t="shared" si="19"/>
        <v>45352</v>
      </c>
      <c r="O58" s="1102">
        <f t="shared" si="19"/>
        <v>45323</v>
      </c>
      <c r="P58" s="1098"/>
    </row>
    <row r="59" spans="1:29" s="101" customFormat="1" ht="15">
      <c r="A59" s="442"/>
      <c r="B59" s="1770"/>
      <c r="C59" s="1100">
        <v>100</v>
      </c>
      <c r="D59" s="444"/>
      <c r="E59" s="445"/>
      <c r="F59" s="445"/>
      <c r="G59" s="445"/>
      <c r="H59" s="445"/>
      <c r="I59" s="445"/>
      <c r="J59" s="445"/>
      <c r="K59" s="445"/>
      <c r="L59" s="445"/>
      <c r="M59" s="446"/>
      <c r="N59" s="445"/>
      <c r="O59" s="446"/>
      <c r="P59" s="1771"/>
    </row>
    <row r="60" spans="1:29" s="101" customFormat="1" ht="15.75" thickBot="1">
      <c r="A60" s="448" t="s">
        <v>1708</v>
      </c>
      <c r="B60" s="449"/>
      <c r="C60" s="450"/>
      <c r="D60" s="451"/>
      <c r="E60" s="451"/>
      <c r="F60" s="451"/>
      <c r="G60" s="451"/>
      <c r="H60" s="451"/>
      <c r="I60" s="451"/>
      <c r="J60" s="451"/>
      <c r="K60" s="451"/>
      <c r="L60" s="451"/>
      <c r="M60" s="452"/>
      <c r="N60" s="451"/>
      <c r="O60" s="452"/>
      <c r="P60" s="1771"/>
      <c r="Q60" s="438"/>
    </row>
    <row r="61" spans="1:29" s="101" customFormat="1" ht="15">
      <c r="A61" s="454" t="s">
        <v>1709</v>
      </c>
      <c r="B61" s="443"/>
      <c r="C61" s="455" t="s">
        <v>1710</v>
      </c>
      <c r="D61" s="31"/>
      <c r="E61" s="31"/>
      <c r="F61" s="31"/>
      <c r="G61" s="31"/>
      <c r="H61" s="31"/>
      <c r="I61" s="31"/>
      <c r="J61" s="31"/>
      <c r="K61" s="31"/>
      <c r="L61" s="456"/>
      <c r="M61" s="457"/>
      <c r="N61" s="876"/>
      <c r="O61" s="876"/>
      <c r="P61" s="1772"/>
      <c r="Q61" s="438"/>
    </row>
    <row r="62" spans="1:29" s="101" customFormat="1" ht="15.75" thickBot="1">
      <c r="A62" s="454"/>
      <c r="B62" s="443"/>
      <c r="C62" s="444">
        <v>100</v>
      </c>
      <c r="D62" s="445"/>
      <c r="E62" s="445"/>
      <c r="F62" s="445"/>
      <c r="G62" s="445"/>
      <c r="H62" s="445"/>
      <c r="I62" s="445"/>
      <c r="J62" s="445"/>
      <c r="K62" s="445"/>
      <c r="L62" s="445"/>
      <c r="M62" s="447"/>
      <c r="N62" s="876"/>
      <c r="O62" s="876"/>
      <c r="P62" s="1771"/>
      <c r="Q62" s="438"/>
    </row>
    <row r="63" spans="1:29">
      <c r="A63" s="378" t="s">
        <v>1711</v>
      </c>
      <c r="B63" s="459" t="s">
        <v>1677</v>
      </c>
      <c r="C63" s="460">
        <f>C9</f>
        <v>0</v>
      </c>
      <c r="D63" s="461"/>
      <c r="E63" s="461"/>
      <c r="F63" s="461"/>
      <c r="G63" s="461"/>
      <c r="H63" s="461"/>
      <c r="I63" s="461"/>
      <c r="J63" s="461"/>
      <c r="K63" s="462"/>
      <c r="L63" s="463"/>
      <c r="M63" s="464"/>
      <c r="N63" s="877"/>
      <c r="O63" s="877"/>
      <c r="P63" s="1773"/>
      <c r="Q63" s="438"/>
    </row>
    <row r="64" spans="1:29" ht="15.75" thickBot="1">
      <c r="A64" s="366"/>
      <c r="B64" s="465"/>
      <c r="C64" s="466">
        <v>100</v>
      </c>
      <c r="D64" s="466"/>
      <c r="E64" s="466"/>
      <c r="F64" s="466"/>
      <c r="G64" s="466"/>
      <c r="H64" s="466"/>
      <c r="I64" s="466"/>
      <c r="J64" s="466"/>
      <c r="K64" s="466"/>
      <c r="L64" s="466"/>
      <c r="M64" s="467"/>
      <c r="N64" s="878"/>
      <c r="O64" s="878"/>
      <c r="P64" s="1773"/>
      <c r="Q64" s="438"/>
    </row>
    <row r="65" spans="1:17" ht="27.75" thickTop="1">
      <c r="A65" s="366"/>
      <c r="B65" s="468" t="s">
        <v>1680</v>
      </c>
      <c r="C65" s="512"/>
      <c r="D65" s="512"/>
      <c r="E65" s="512"/>
      <c r="F65" s="512"/>
      <c r="G65" s="512"/>
      <c r="H65" s="512"/>
      <c r="I65" s="512"/>
      <c r="J65" s="512"/>
      <c r="K65" s="512"/>
      <c r="L65" s="512"/>
      <c r="M65" s="512"/>
      <c r="N65" s="878"/>
      <c r="O65" s="878"/>
      <c r="P65" s="1773"/>
      <c r="Q65" s="438"/>
    </row>
    <row r="66" spans="1:17" ht="15.75" thickBot="1">
      <c r="A66" s="366"/>
      <c r="B66" s="473"/>
      <c r="C66" s="466"/>
      <c r="D66" s="466"/>
      <c r="E66" s="466"/>
      <c r="F66" s="466"/>
      <c r="G66" s="466"/>
      <c r="H66" s="466"/>
      <c r="I66" s="466"/>
      <c r="J66" s="466"/>
      <c r="K66" s="466"/>
      <c r="L66" s="466"/>
      <c r="M66" s="467"/>
      <c r="N66" s="878"/>
      <c r="O66" s="878"/>
      <c r="P66" s="1773"/>
      <c r="Q66" s="438"/>
    </row>
    <row r="67" spans="1:17" ht="15.75" thickTop="1">
      <c r="A67" s="366"/>
      <c r="B67" s="476" t="s">
        <v>1681</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3"/>
      <c r="Q67" s="438"/>
    </row>
    <row r="68" spans="1:17" ht="15">
      <c r="A68" s="366"/>
      <c r="B68" s="478"/>
      <c r="C68" s="479"/>
      <c r="D68" s="479"/>
      <c r="E68" s="479"/>
      <c r="F68" s="479"/>
      <c r="G68" s="479"/>
      <c r="H68" s="479"/>
      <c r="I68" s="479"/>
      <c r="J68" s="479"/>
      <c r="K68" s="480"/>
      <c r="L68" s="481"/>
      <c r="M68" s="482"/>
      <c r="N68" s="877"/>
      <c r="O68" s="877"/>
      <c r="P68" s="1773"/>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3"/>
      <c r="Q69" s="438"/>
    </row>
    <row r="70" spans="1:17" s="407" customFormat="1" ht="15.75" thickTop="1">
      <c r="A70" s="483"/>
      <c r="B70" s="468">
        <f>B12</f>
        <v>111</v>
      </c>
      <c r="C70" s="484"/>
      <c r="D70" s="484"/>
      <c r="E70" s="484"/>
      <c r="F70" s="484"/>
      <c r="G70" s="484"/>
      <c r="H70" s="485"/>
      <c r="I70" s="485"/>
      <c r="J70" s="485"/>
      <c r="K70" s="485"/>
      <c r="L70" s="486"/>
      <c r="M70" s="487"/>
      <c r="N70" s="879"/>
      <c r="O70" s="879"/>
      <c r="P70" s="1774"/>
      <c r="Q70" s="489"/>
    </row>
    <row r="71" spans="1:17" s="407" customFormat="1" ht="15.75" thickBot="1">
      <c r="A71" s="483"/>
      <c r="B71" s="473"/>
      <c r="C71" s="490"/>
      <c r="D71" s="466"/>
      <c r="E71" s="466"/>
      <c r="F71" s="466"/>
      <c r="G71" s="466"/>
      <c r="H71" s="466"/>
      <c r="I71" s="466"/>
      <c r="J71" s="466"/>
      <c r="K71" s="466"/>
      <c r="L71" s="466"/>
      <c r="M71" s="467"/>
      <c r="N71" s="878"/>
      <c r="O71" s="878"/>
      <c r="P71" s="1774"/>
      <c r="Q71" s="489"/>
    </row>
    <row r="72" spans="1:17" s="407" customFormat="1" ht="15.75" thickTop="1">
      <c r="A72" s="483"/>
      <c r="B72" s="468">
        <f>B13</f>
        <v>111</v>
      </c>
      <c r="C72" s="484"/>
      <c r="D72" s="484"/>
      <c r="E72" s="484"/>
      <c r="F72" s="484"/>
      <c r="G72" s="484"/>
      <c r="H72" s="485"/>
      <c r="I72" s="485"/>
      <c r="J72" s="485"/>
      <c r="K72" s="485"/>
      <c r="L72" s="486"/>
      <c r="M72" s="487"/>
      <c r="N72" s="879"/>
      <c r="O72" s="879"/>
      <c r="P72" s="1775"/>
      <c r="Q72" s="491"/>
    </row>
    <row r="73" spans="1:17" s="407" customFormat="1" ht="15.75" thickBot="1">
      <c r="A73" s="483"/>
      <c r="B73" s="473"/>
      <c r="C73" s="490"/>
      <c r="D73" s="490"/>
      <c r="E73" s="490"/>
      <c r="F73" s="490"/>
      <c r="G73" s="490"/>
      <c r="H73" s="492"/>
      <c r="I73" s="492"/>
      <c r="J73" s="492"/>
      <c r="K73" s="492"/>
      <c r="L73" s="492"/>
      <c r="M73" s="493"/>
      <c r="N73" s="879"/>
      <c r="O73" s="879"/>
      <c r="P73" s="1774"/>
      <c r="Q73" s="489"/>
    </row>
    <row r="74" spans="1:17" s="407" customFormat="1" ht="15.75" thickTop="1">
      <c r="A74" s="483"/>
      <c r="B74" s="476">
        <f>B14</f>
        <v>111</v>
      </c>
      <c r="C74" s="484"/>
      <c r="D74" s="484"/>
      <c r="E74" s="484"/>
      <c r="F74" s="484"/>
      <c r="G74" s="31"/>
      <c r="H74" s="494"/>
      <c r="I74" s="494"/>
      <c r="J74" s="494"/>
      <c r="K74" s="494"/>
      <c r="L74" s="495"/>
      <c r="M74" s="496"/>
      <c r="N74" s="879"/>
      <c r="O74" s="879"/>
      <c r="P74" s="1776"/>
      <c r="Q74" s="489"/>
    </row>
    <row r="75" spans="1:17" s="407" customFormat="1" ht="15.75" thickBot="1">
      <c r="A75" s="498"/>
      <c r="B75" s="499"/>
      <c r="C75" s="500"/>
      <c r="D75" s="500"/>
      <c r="E75" s="500"/>
      <c r="F75" s="500"/>
      <c r="G75" s="500"/>
      <c r="H75" s="501"/>
      <c r="I75" s="501"/>
      <c r="J75" s="501"/>
      <c r="K75" s="501"/>
      <c r="L75" s="501"/>
      <c r="M75" s="502"/>
      <c r="N75" s="879"/>
      <c r="O75" s="879"/>
      <c r="P75" s="1774"/>
      <c r="Q75" s="489"/>
    </row>
    <row r="76" spans="1:17">
      <c r="A76" s="378" t="s">
        <v>1682</v>
      </c>
      <c r="B76" s="459" t="s">
        <v>1712</v>
      </c>
      <c r="C76" s="503" t="s">
        <v>1713</v>
      </c>
      <c r="D76" s="503" t="s">
        <v>1714</v>
      </c>
      <c r="E76" s="503" t="s">
        <v>1715</v>
      </c>
      <c r="F76" s="503" t="s">
        <v>1716</v>
      </c>
      <c r="G76" s="503" t="s">
        <v>1717</v>
      </c>
      <c r="H76" s="460"/>
      <c r="I76" s="460"/>
      <c r="J76" s="460"/>
      <c r="K76" s="504"/>
      <c r="L76" s="505"/>
      <c r="M76" s="506"/>
      <c r="N76" s="877"/>
      <c r="O76" s="877"/>
      <c r="P76" s="1777"/>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8"/>
      <c r="O77" s="878"/>
      <c r="P77" s="1773"/>
      <c r="Q77" s="438"/>
    </row>
    <row r="78" spans="1:17" ht="15.75" thickTop="1">
      <c r="A78" s="366"/>
      <c r="B78" s="468" t="s">
        <v>1718</v>
      </c>
      <c r="C78" s="508" t="s">
        <v>1713</v>
      </c>
      <c r="D78" s="508" t="s">
        <v>1714</v>
      </c>
      <c r="E78" s="508" t="s">
        <v>1715</v>
      </c>
      <c r="F78" s="508" t="s">
        <v>1716</v>
      </c>
      <c r="G78" s="508" t="s">
        <v>1717</v>
      </c>
      <c r="H78" s="469"/>
      <c r="I78" s="469"/>
      <c r="J78" s="469"/>
      <c r="K78" s="470"/>
      <c r="L78" s="471"/>
      <c r="M78" s="472"/>
      <c r="N78" s="877"/>
      <c r="O78" s="877"/>
      <c r="P78" s="1773"/>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8"/>
      <c r="O79" s="878"/>
      <c r="P79" s="1773"/>
      <c r="Q79" s="438"/>
    </row>
    <row r="80" spans="1:17" ht="15.75" thickTop="1">
      <c r="A80" s="366"/>
      <c r="B80" s="468" t="s">
        <v>1719</v>
      </c>
      <c r="C80" s="508" t="s">
        <v>1713</v>
      </c>
      <c r="D80" s="508" t="s">
        <v>1714</v>
      </c>
      <c r="E80" s="508" t="s">
        <v>1715</v>
      </c>
      <c r="F80" s="508" t="s">
        <v>1716</v>
      </c>
      <c r="G80" s="508" t="s">
        <v>1717</v>
      </c>
      <c r="H80" s="469"/>
      <c r="I80" s="469"/>
      <c r="J80" s="469"/>
      <c r="K80" s="470"/>
      <c r="L80" s="471"/>
      <c r="M80" s="472"/>
      <c r="N80" s="877"/>
      <c r="O80" s="877"/>
      <c r="P80" s="1773"/>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8"/>
      <c r="O81" s="878"/>
      <c r="P81" s="1773"/>
      <c r="Q81" s="438"/>
    </row>
    <row r="82" spans="1:17" ht="15.75" thickTop="1">
      <c r="A82" s="366"/>
      <c r="B82" s="476" t="s">
        <v>1254</v>
      </c>
      <c r="C82" s="469" t="s">
        <v>1720</v>
      </c>
      <c r="D82" s="469" t="s">
        <v>1721</v>
      </c>
      <c r="E82" s="469" t="s">
        <v>1722</v>
      </c>
      <c r="F82" s="469" t="s">
        <v>1723</v>
      </c>
      <c r="G82" s="469" t="s">
        <v>1724</v>
      </c>
      <c r="H82" s="469"/>
      <c r="I82" s="469"/>
      <c r="J82" s="469"/>
      <c r="K82" s="469"/>
      <c r="L82" s="469"/>
      <c r="M82" s="1061"/>
      <c r="N82" s="878"/>
      <c r="O82" s="878"/>
      <c r="P82" s="1773"/>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8"/>
      <c r="O83" s="878"/>
      <c r="P83" s="1773"/>
      <c r="Q83" s="438"/>
    </row>
    <row r="84" spans="1:17" ht="15.75" thickTop="1">
      <c r="A84" s="366"/>
      <c r="B84" s="468" t="s">
        <v>1725</v>
      </c>
      <c r="C84" s="508" t="s">
        <v>1713</v>
      </c>
      <c r="D84" s="508" t="s">
        <v>1714</v>
      </c>
      <c r="E84" s="508" t="s">
        <v>1715</v>
      </c>
      <c r="F84" s="508" t="s">
        <v>1716</v>
      </c>
      <c r="G84" s="508" t="s">
        <v>1717</v>
      </c>
      <c r="H84" s="469"/>
      <c r="I84" s="469"/>
      <c r="J84" s="469"/>
      <c r="K84" s="470"/>
      <c r="L84" s="471"/>
      <c r="M84" s="472"/>
      <c r="N84" s="877"/>
      <c r="O84" s="877"/>
      <c r="P84" s="1773"/>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8"/>
      <c r="O85" s="878"/>
      <c r="P85" s="1773"/>
      <c r="Q85" s="438"/>
    </row>
    <row r="86" spans="1:17" s="101" customFormat="1" ht="15.75" thickTop="1">
      <c r="A86" s="369"/>
      <c r="B86" s="468" t="s">
        <v>1726</v>
      </c>
      <c r="C86" s="484"/>
      <c r="D86" s="484"/>
      <c r="E86" s="484"/>
      <c r="F86" s="484"/>
      <c r="G86" s="484"/>
      <c r="H86" s="484"/>
      <c r="I86" s="484"/>
      <c r="J86" s="484"/>
      <c r="K86" s="484"/>
      <c r="L86" s="509"/>
      <c r="M86" s="510"/>
      <c r="N86" s="876"/>
      <c r="O86" s="876"/>
      <c r="P86" s="1773"/>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3"/>
      <c r="Q87" s="438"/>
    </row>
    <row r="88" spans="1:17" s="101" customFormat="1" ht="15.75" thickTop="1">
      <c r="A88" s="369"/>
      <c r="B88" s="468" t="s">
        <v>1727</v>
      </c>
      <c r="C88" s="484"/>
      <c r="D88" s="484"/>
      <c r="E88" s="484"/>
      <c r="F88" s="1778"/>
      <c r="G88" s="484"/>
      <c r="H88" s="484"/>
      <c r="I88" s="484"/>
      <c r="J88" s="484"/>
      <c r="K88" s="484"/>
      <c r="L88" s="484"/>
      <c r="M88" s="510"/>
      <c r="N88" s="876"/>
      <c r="O88" s="876"/>
      <c r="P88" s="1773"/>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3"/>
      <c r="Q89" s="438"/>
    </row>
    <row r="90" spans="1:17" s="407" customFormat="1" ht="15.75" thickTop="1">
      <c r="A90" s="483"/>
      <c r="B90" s="468">
        <f>B27</f>
        <v>111</v>
      </c>
      <c r="C90" s="484"/>
      <c r="D90" s="484"/>
      <c r="E90" s="484"/>
      <c r="F90" s="484"/>
      <c r="G90" s="484"/>
      <c r="H90" s="485"/>
      <c r="I90" s="485"/>
      <c r="J90" s="485"/>
      <c r="K90" s="485"/>
      <c r="L90" s="486"/>
      <c r="M90" s="487"/>
      <c r="N90" s="879"/>
      <c r="O90" s="879"/>
      <c r="P90" s="1774"/>
      <c r="Q90" s="489"/>
    </row>
    <row r="91" spans="1:17" s="407" customFormat="1" ht="15.75" thickBot="1">
      <c r="A91" s="483"/>
      <c r="B91" s="473"/>
      <c r="C91" s="490"/>
      <c r="D91" s="490"/>
      <c r="E91" s="490"/>
      <c r="F91" s="490"/>
      <c r="G91" s="490"/>
      <c r="H91" s="492"/>
      <c r="I91" s="492"/>
      <c r="J91" s="492"/>
      <c r="K91" s="492"/>
      <c r="L91" s="492"/>
      <c r="M91" s="493"/>
      <c r="N91" s="879"/>
      <c r="O91" s="879"/>
      <c r="P91" s="1774"/>
      <c r="Q91" s="489"/>
    </row>
    <row r="92" spans="1:17" ht="15.75" thickTop="1">
      <c r="A92" s="366"/>
      <c r="B92" s="468">
        <f>B28</f>
        <v>111</v>
      </c>
      <c r="C92" s="484"/>
      <c r="D92" s="484"/>
      <c r="E92" s="484"/>
      <c r="F92" s="484"/>
      <c r="G92" s="512"/>
      <c r="H92" s="512"/>
      <c r="I92" s="512"/>
      <c r="J92" s="512"/>
      <c r="K92" s="513"/>
      <c r="L92" s="514"/>
      <c r="M92" s="515"/>
      <c r="N92" s="877"/>
      <c r="O92" s="877"/>
      <c r="P92" s="1773"/>
      <c r="Q92" s="438"/>
    </row>
    <row r="93" spans="1:17" ht="15.75" thickBot="1">
      <c r="A93" s="366"/>
      <c r="B93" s="473"/>
      <c r="C93" s="490"/>
      <c r="D93" s="466"/>
      <c r="E93" s="466"/>
      <c r="F93" s="466"/>
      <c r="G93" s="466"/>
      <c r="H93" s="466"/>
      <c r="I93" s="466"/>
      <c r="J93" s="466"/>
      <c r="K93" s="466"/>
      <c r="L93" s="466"/>
      <c r="M93" s="467"/>
      <c r="N93" s="878"/>
      <c r="O93" s="878"/>
      <c r="P93" s="1773"/>
      <c r="Q93" s="438"/>
    </row>
    <row r="94" spans="1:17" ht="15.75" thickTop="1">
      <c r="A94" s="366"/>
      <c r="B94" s="468">
        <f>B29</f>
        <v>111</v>
      </c>
      <c r="C94" s="484"/>
      <c r="D94" s="484"/>
      <c r="E94" s="484"/>
      <c r="F94" s="484"/>
      <c r="G94" s="512"/>
      <c r="H94" s="512"/>
      <c r="I94" s="512"/>
      <c r="J94" s="512"/>
      <c r="K94" s="513"/>
      <c r="L94" s="514"/>
      <c r="M94" s="515"/>
      <c r="N94" s="877"/>
      <c r="O94" s="877"/>
      <c r="P94" s="1773"/>
      <c r="Q94" s="438"/>
    </row>
    <row r="95" spans="1:17" ht="15.75" thickBot="1">
      <c r="A95" s="366"/>
      <c r="B95" s="473"/>
      <c r="C95" s="490"/>
      <c r="D95" s="490"/>
      <c r="E95" s="490"/>
      <c r="F95" s="490"/>
      <c r="G95" s="466"/>
      <c r="H95" s="466"/>
      <c r="I95" s="466"/>
      <c r="J95" s="466"/>
      <c r="K95" s="466"/>
      <c r="L95" s="466"/>
      <c r="M95" s="467"/>
      <c r="N95" s="878"/>
      <c r="O95" s="878"/>
      <c r="P95" s="1773"/>
      <c r="Q95" s="438"/>
    </row>
    <row r="96" spans="1:17" ht="15.75" thickTop="1">
      <c r="A96" s="366"/>
      <c r="B96" s="468">
        <f>B30</f>
        <v>111</v>
      </c>
      <c r="C96" s="484"/>
      <c r="D96" s="484"/>
      <c r="E96" s="484"/>
      <c r="F96" s="484"/>
      <c r="G96" s="512"/>
      <c r="H96" s="512"/>
      <c r="I96" s="512"/>
      <c r="J96" s="512"/>
      <c r="K96" s="513"/>
      <c r="L96" s="514"/>
      <c r="M96" s="515"/>
      <c r="N96" s="877"/>
      <c r="O96" s="877"/>
      <c r="P96" s="1773"/>
      <c r="Q96" s="438"/>
    </row>
    <row r="97" spans="1:17" ht="15.75" thickBot="1">
      <c r="A97" s="366"/>
      <c r="B97" s="473"/>
      <c r="C97" s="500"/>
      <c r="D97" s="500"/>
      <c r="E97" s="500"/>
      <c r="F97" s="500"/>
      <c r="G97" s="466"/>
      <c r="H97" s="466"/>
      <c r="I97" s="466"/>
      <c r="J97" s="466"/>
      <c r="K97" s="466"/>
      <c r="L97" s="466"/>
      <c r="M97" s="467"/>
      <c r="N97" s="878"/>
      <c r="O97" s="878"/>
      <c r="P97" s="1773"/>
      <c r="Q97" s="438"/>
    </row>
    <row r="98" spans="1:17" ht="15.75" thickTop="1">
      <c r="A98" s="366"/>
      <c r="B98" s="476">
        <f>B31</f>
        <v>111</v>
      </c>
      <c r="C98" s="516"/>
      <c r="D98" s="516"/>
      <c r="E98" s="516"/>
      <c r="F98" s="516"/>
      <c r="G98" s="516"/>
      <c r="H98" s="516"/>
      <c r="I98" s="516"/>
      <c r="J98" s="516"/>
      <c r="K98" s="517"/>
      <c r="L98" s="518"/>
      <c r="M98" s="519"/>
      <c r="N98" s="877"/>
      <c r="O98" s="877"/>
      <c r="P98" s="1773"/>
      <c r="Q98" s="438"/>
    </row>
    <row r="99" spans="1:17" ht="15.75" thickBot="1">
      <c r="A99" s="374"/>
      <c r="B99" s="499"/>
      <c r="C99" s="520"/>
      <c r="D99" s="520"/>
      <c r="E99" s="520"/>
      <c r="F99" s="520"/>
      <c r="G99" s="520"/>
      <c r="H99" s="520"/>
      <c r="I99" s="520"/>
      <c r="J99" s="520"/>
      <c r="K99" s="520"/>
      <c r="L99" s="520"/>
      <c r="M99" s="521"/>
      <c r="N99" s="878"/>
      <c r="O99" s="878"/>
      <c r="P99" s="1773"/>
      <c r="Q99" s="438"/>
    </row>
    <row r="100" spans="1:17">
      <c r="A100" s="378" t="s">
        <v>1686</v>
      </c>
      <c r="B100" s="459" t="s">
        <v>1728</v>
      </c>
      <c r="C100" s="461"/>
      <c r="D100" s="461"/>
      <c r="E100" s="461"/>
      <c r="F100" s="461"/>
      <c r="G100" s="461"/>
      <c r="H100" s="461"/>
      <c r="I100" s="461"/>
      <c r="J100" s="461"/>
      <c r="K100" s="462"/>
      <c r="L100" s="463"/>
      <c r="M100" s="464"/>
      <c r="N100" s="877"/>
      <c r="O100" s="877"/>
      <c r="P100" s="1773"/>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3"/>
      <c r="Q101" s="438"/>
    </row>
    <row r="102" spans="1:17" ht="15.75" thickTop="1">
      <c r="A102" s="366"/>
      <c r="B102" s="468" t="s">
        <v>1729</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3"/>
      <c r="Q102" s="438"/>
    </row>
    <row r="103" spans="1:17" s="407" customFormat="1">
      <c r="A103" s="405"/>
      <c r="B103" s="522"/>
      <c r="C103" s="6"/>
      <c r="D103" s="6"/>
      <c r="E103" s="6"/>
      <c r="F103" s="6"/>
      <c r="G103" s="6"/>
      <c r="H103" s="6"/>
      <c r="I103" s="6"/>
      <c r="J103" s="523"/>
      <c r="K103" s="523"/>
      <c r="L103" s="524"/>
      <c r="M103" s="525"/>
      <c r="N103" s="879"/>
      <c r="O103" s="879"/>
      <c r="P103" s="1774"/>
      <c r="Q103" s="489"/>
    </row>
    <row r="104" spans="1:17" s="407" customFormat="1" ht="15.75" thickBot="1">
      <c r="A104" s="483"/>
      <c r="B104" s="473"/>
      <c r="C104" s="490"/>
      <c r="D104" s="466"/>
      <c r="E104" s="466"/>
      <c r="F104" s="466"/>
      <c r="G104" s="466"/>
      <c r="H104" s="466"/>
      <c r="I104" s="466"/>
      <c r="J104" s="466"/>
      <c r="K104" s="466"/>
      <c r="L104" s="466"/>
      <c r="M104" s="466"/>
      <c r="N104" s="878"/>
      <c r="O104" s="878"/>
      <c r="P104" s="1774"/>
      <c r="Q104" s="489"/>
    </row>
    <row r="105" spans="1:17" ht="15" thickTop="1">
      <c r="A105" s="408"/>
      <c r="B105" s="468" t="s">
        <v>1730</v>
      </c>
      <c r="C105" s="484"/>
      <c r="D105" s="484"/>
      <c r="E105" s="512"/>
      <c r="F105" s="512"/>
      <c r="G105" s="512"/>
      <c r="H105" s="512"/>
      <c r="I105" s="512"/>
      <c r="J105" s="512"/>
      <c r="K105" s="513"/>
      <c r="L105" s="514"/>
      <c r="M105" s="515"/>
      <c r="N105" s="877"/>
      <c r="O105" s="877"/>
      <c r="P105" s="1773"/>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3"/>
      <c r="Q106" s="438"/>
    </row>
    <row r="107" spans="1:17" ht="15" thickTop="1">
      <c r="A107" s="408"/>
      <c r="B107" s="468" t="s">
        <v>1731</v>
      </c>
      <c r="C107" s="512"/>
      <c r="D107" s="512"/>
      <c r="E107" s="512"/>
      <c r="F107" s="512"/>
      <c r="G107" s="512"/>
      <c r="H107" s="512"/>
      <c r="I107" s="512"/>
      <c r="J107" s="512"/>
      <c r="K107" s="513"/>
      <c r="L107" s="514"/>
      <c r="M107" s="515"/>
      <c r="N107" s="877"/>
      <c r="O107" s="877"/>
      <c r="P107" s="1773"/>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3"/>
      <c r="Q108" s="438"/>
    </row>
    <row r="109" spans="1:17" ht="15" thickTop="1">
      <c r="A109" s="408"/>
      <c r="B109" s="468" t="s">
        <v>1732</v>
      </c>
      <c r="C109" s="484"/>
      <c r="D109" s="484"/>
      <c r="E109" s="484"/>
      <c r="F109" s="512"/>
      <c r="G109" s="512"/>
      <c r="H109" s="512"/>
      <c r="I109" s="512"/>
      <c r="J109" s="512"/>
      <c r="K109" s="513"/>
      <c r="L109" s="514"/>
      <c r="M109" s="515"/>
      <c r="N109" s="877"/>
      <c r="O109" s="877"/>
      <c r="P109" s="1773"/>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3"/>
      <c r="Q110" s="438"/>
    </row>
    <row r="111" spans="1:17" s="407" customFormat="1" ht="15" thickTop="1">
      <c r="A111" s="405"/>
      <c r="B111" s="468" t="s">
        <v>1184</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4"/>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4"/>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4"/>
      <c r="Q113" s="489"/>
    </row>
    <row r="114" spans="1:17" ht="15" thickTop="1">
      <c r="A114" s="408"/>
      <c r="B114" s="468" t="s">
        <v>1733</v>
      </c>
      <c r="C114" s="484"/>
      <c r="D114" s="484"/>
      <c r="E114" s="512"/>
      <c r="F114" s="512"/>
      <c r="G114" s="512"/>
      <c r="H114" s="512"/>
      <c r="I114" s="512"/>
      <c r="J114" s="512"/>
      <c r="K114" s="513"/>
      <c r="L114" s="514"/>
      <c r="M114" s="515"/>
      <c r="N114" s="877"/>
      <c r="O114" s="877"/>
      <c r="P114" s="1773"/>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3"/>
      <c r="Q115" s="438"/>
    </row>
    <row r="116" spans="1:17" ht="15" thickTop="1">
      <c r="A116" s="408"/>
      <c r="B116" s="468" t="s">
        <v>1734</v>
      </c>
      <c r="C116" s="484"/>
      <c r="D116" s="484"/>
      <c r="E116" s="484"/>
      <c r="F116" s="484"/>
      <c r="G116" s="484"/>
      <c r="H116" s="512"/>
      <c r="I116" s="512"/>
      <c r="J116" s="512"/>
      <c r="K116" s="513"/>
      <c r="L116" s="514"/>
      <c r="M116" s="515"/>
      <c r="N116" s="877"/>
      <c r="O116" s="877"/>
      <c r="P116" s="1773"/>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3"/>
      <c r="Q117" s="438"/>
    </row>
    <row r="118" spans="1:17" ht="15" thickTop="1">
      <c r="A118" s="408"/>
      <c r="B118" s="468" t="s">
        <v>1735</v>
      </c>
      <c r="C118" s="512"/>
      <c r="D118" s="512"/>
      <c r="E118" s="512"/>
      <c r="F118" s="512"/>
      <c r="G118" s="512"/>
      <c r="H118" s="512"/>
      <c r="I118" s="512"/>
      <c r="J118" s="512"/>
      <c r="K118" s="513"/>
      <c r="L118" s="514"/>
      <c r="M118" s="515"/>
      <c r="N118" s="877"/>
      <c r="O118" s="877"/>
      <c r="P118" s="1773"/>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3"/>
      <c r="Q119" s="438"/>
    </row>
    <row r="120" spans="1:17" s="407" customFormat="1" ht="28.5" thickTop="1">
      <c r="A120" s="405"/>
      <c r="B120" s="468" t="s">
        <v>1697</v>
      </c>
      <c r="C120" s="484"/>
      <c r="D120" s="484"/>
      <c r="E120" s="484"/>
      <c r="F120" s="484"/>
      <c r="G120" s="484"/>
      <c r="H120" s="484"/>
      <c r="I120" s="484"/>
      <c r="J120" s="484"/>
      <c r="K120" s="484"/>
      <c r="L120" s="509"/>
      <c r="M120" s="510"/>
      <c r="N120" s="879"/>
      <c r="O120" s="879"/>
      <c r="P120" s="1774"/>
      <c r="Q120" s="489"/>
    </row>
    <row r="121" spans="1:17" s="407" customFormat="1" ht="15.75" thickBot="1">
      <c r="A121" s="483"/>
      <c r="B121" s="465"/>
      <c r="C121" s="490"/>
      <c r="D121" s="466"/>
      <c r="E121" s="466"/>
      <c r="F121" s="466"/>
      <c r="G121" s="466"/>
      <c r="H121" s="466"/>
      <c r="I121" s="466"/>
      <c r="J121" s="466"/>
      <c r="K121" s="466"/>
      <c r="L121" s="466"/>
      <c r="M121" s="466"/>
      <c r="N121" s="879"/>
      <c r="O121" s="879"/>
      <c r="P121" s="1774"/>
      <c r="Q121" s="489"/>
    </row>
    <row r="122" spans="1:17" ht="15" thickTop="1">
      <c r="A122" s="408"/>
      <c r="B122" s="468" t="s">
        <v>1736</v>
      </c>
      <c r="C122" s="484"/>
      <c r="D122" s="484"/>
      <c r="E122" s="484"/>
      <c r="F122" s="512"/>
      <c r="G122" s="512"/>
      <c r="H122" s="512"/>
      <c r="I122" s="512"/>
      <c r="J122" s="512"/>
      <c r="K122" s="513"/>
      <c r="L122" s="514"/>
      <c r="M122" s="515"/>
      <c r="N122" s="877"/>
      <c r="O122" s="877"/>
      <c r="P122" s="1773"/>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3"/>
      <c r="Q123" s="438"/>
    </row>
    <row r="124" spans="1:17" ht="15" thickTop="1">
      <c r="A124" s="408"/>
      <c r="B124" s="468" t="s">
        <v>1737</v>
      </c>
      <c r="C124" s="508" t="s">
        <v>1713</v>
      </c>
      <c r="D124" s="508" t="s">
        <v>1714</v>
      </c>
      <c r="E124" s="508" t="s">
        <v>1715</v>
      </c>
      <c r="F124" s="508" t="s">
        <v>1716</v>
      </c>
      <c r="G124" s="508" t="s">
        <v>1717</v>
      </c>
      <c r="H124" s="469"/>
      <c r="I124" s="469"/>
      <c r="J124" s="469"/>
      <c r="K124" s="470"/>
      <c r="L124" s="471"/>
      <c r="M124" s="472"/>
      <c r="N124" s="877"/>
      <c r="O124" s="877"/>
      <c r="P124" s="1774"/>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3"/>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74"/>
      <c r="Q126" s="489"/>
    </row>
    <row r="127" spans="1:17" s="407" customFormat="1" ht="15.75" thickBot="1">
      <c r="A127" s="483"/>
      <c r="B127" s="473"/>
      <c r="C127" s="490"/>
      <c r="D127" s="466"/>
      <c r="E127" s="466"/>
      <c r="F127" s="466"/>
      <c r="G127" s="490"/>
      <c r="H127" s="492"/>
      <c r="I127" s="492"/>
      <c r="J127" s="492"/>
      <c r="K127" s="492"/>
      <c r="L127" s="492"/>
      <c r="M127" s="493"/>
      <c r="N127" s="879"/>
      <c r="O127" s="879"/>
      <c r="P127" s="1774"/>
      <c r="Q127" s="489"/>
    </row>
    <row r="128" spans="1:17" ht="15" thickTop="1">
      <c r="A128" s="408"/>
      <c r="B128" s="468">
        <f>B45</f>
        <v>111</v>
      </c>
      <c r="C128" s="484"/>
      <c r="D128" s="484"/>
      <c r="E128" s="484"/>
      <c r="F128" s="484"/>
      <c r="G128" s="512"/>
      <c r="H128" s="512"/>
      <c r="I128" s="512"/>
      <c r="J128" s="512"/>
      <c r="K128" s="513"/>
      <c r="L128" s="514"/>
      <c r="M128" s="515"/>
      <c r="N128" s="877"/>
      <c r="O128" s="877"/>
      <c r="P128" s="1773"/>
      <c r="Q128" s="438"/>
    </row>
    <row r="129" spans="1:17" ht="15.75" thickBot="1">
      <c r="A129" s="366"/>
      <c r="B129" s="473"/>
      <c r="C129" s="490"/>
      <c r="D129" s="490"/>
      <c r="E129" s="490"/>
      <c r="F129" s="490"/>
      <c r="G129" s="466"/>
      <c r="H129" s="466"/>
      <c r="I129" s="466"/>
      <c r="J129" s="466"/>
      <c r="K129" s="466"/>
      <c r="L129" s="466"/>
      <c r="M129" s="467"/>
      <c r="N129" s="878"/>
      <c r="O129" s="878"/>
      <c r="P129" s="1773"/>
      <c r="Q129" s="438"/>
    </row>
    <row r="130" spans="1:17" ht="15" thickTop="1">
      <c r="A130" s="408"/>
      <c r="B130" s="476">
        <f>B46</f>
        <v>111</v>
      </c>
      <c r="C130" s="484"/>
      <c r="D130" s="484"/>
      <c r="E130" s="484"/>
      <c r="F130" s="484"/>
      <c r="G130" s="516"/>
      <c r="H130" s="516"/>
      <c r="I130" s="516"/>
      <c r="J130" s="516"/>
      <c r="K130" s="31"/>
      <c r="L130" s="456"/>
      <c r="M130" s="519"/>
      <c r="N130" s="877"/>
      <c r="O130" s="877"/>
      <c r="P130" s="1773"/>
      <c r="Q130" s="438"/>
    </row>
    <row r="131" spans="1:17" ht="15.75" thickBot="1">
      <c r="A131" s="374"/>
      <c r="B131" s="499"/>
      <c r="C131" s="500"/>
      <c r="D131" s="500"/>
      <c r="E131" s="500"/>
      <c r="F131" s="500"/>
      <c r="G131" s="520"/>
      <c r="H131" s="520"/>
      <c r="I131" s="520"/>
      <c r="J131" s="520"/>
      <c r="K131" s="520"/>
      <c r="L131" s="520"/>
      <c r="M131" s="521"/>
      <c r="N131" s="878"/>
      <c r="O131" s="878"/>
      <c r="P131" s="1773"/>
      <c r="Q131" s="438"/>
    </row>
    <row r="136" spans="1:17" ht="15" thickBot="1">
      <c r="B136" s="1779" t="s">
        <v>1738</v>
      </c>
    </row>
    <row r="137" spans="1:17" ht="15">
      <c r="B137" s="1780" t="s">
        <v>1739</v>
      </c>
      <c r="C137" s="1781"/>
      <c r="D137" s="1781"/>
      <c r="E137" s="1781"/>
      <c r="F137" s="1781"/>
      <c r="G137" s="1782"/>
      <c r="H137" s="1783"/>
      <c r="I137" s="1784" t="s">
        <v>1740</v>
      </c>
      <c r="J137" s="1781"/>
      <c r="K137" s="1785"/>
    </row>
    <row r="138" spans="1:17" ht="15">
      <c r="B138" s="1786"/>
      <c r="C138" s="128" t="s">
        <v>1741</v>
      </c>
      <c r="D138" s="128" t="s">
        <v>1742</v>
      </c>
      <c r="E138" s="1787" t="s">
        <v>1743</v>
      </c>
      <c r="F138" s="1788" t="s">
        <v>1744</v>
      </c>
      <c r="G138" s="128" t="s">
        <v>1742</v>
      </c>
      <c r="H138" s="129" t="s">
        <v>1743</v>
      </c>
      <c r="I138" s="1789"/>
      <c r="J138" s="128" t="s">
        <v>1745</v>
      </c>
      <c r="K138" s="129" t="s">
        <v>1746</v>
      </c>
    </row>
    <row r="139" spans="1:17" ht="15">
      <c r="B139" s="812">
        <v>6</v>
      </c>
      <c r="C139" s="813">
        <v>96</v>
      </c>
      <c r="D139" s="1790" t="s">
        <v>1747</v>
      </c>
      <c r="E139" s="814">
        <v>100</v>
      </c>
      <c r="F139" s="815">
        <v>102.5</v>
      </c>
      <c r="G139" s="1790" t="s">
        <v>1747</v>
      </c>
      <c r="H139" s="816">
        <v>105</v>
      </c>
      <c r="I139" s="1791" t="s">
        <v>1748</v>
      </c>
      <c r="J139" s="813">
        <v>20</v>
      </c>
      <c r="K139" s="817">
        <f>C145/(J139-2)</f>
        <v>4.0555555555555553E-3</v>
      </c>
    </row>
    <row r="140" spans="1:17" ht="15">
      <c r="B140" s="818">
        <v>5</v>
      </c>
      <c r="C140" s="819">
        <v>100</v>
      </c>
      <c r="D140" s="819"/>
      <c r="E140" s="820"/>
      <c r="F140" s="821">
        <v>102</v>
      </c>
      <c r="G140" s="819"/>
      <c r="H140" s="822"/>
      <c r="I140" s="1792" t="s">
        <v>1749</v>
      </c>
      <c r="J140" s="262">
        <f>ROUNDUP((J139-1)/2,0)</f>
        <v>10</v>
      </c>
      <c r="K140" s="823">
        <v>100</v>
      </c>
    </row>
    <row r="141" spans="1:17" ht="15">
      <c r="B141" s="818">
        <v>4</v>
      </c>
      <c r="C141" s="819">
        <v>102</v>
      </c>
      <c r="D141" s="819"/>
      <c r="E141" s="820"/>
      <c r="F141" s="821">
        <v>101.5</v>
      </c>
      <c r="G141" s="819"/>
      <c r="H141" s="822"/>
      <c r="I141" s="1792" t="s">
        <v>1750</v>
      </c>
      <c r="J141" s="262">
        <v>1</v>
      </c>
      <c r="K141" s="824">
        <f>ROUND(100+(J141-J140)*K139*100,1)</f>
        <v>96.4</v>
      </c>
    </row>
    <row r="142" spans="1:17" ht="15">
      <c r="B142" s="818">
        <v>3</v>
      </c>
      <c r="C142" s="819">
        <v>103</v>
      </c>
      <c r="D142" s="819"/>
      <c r="E142" s="820"/>
      <c r="F142" s="821">
        <v>101</v>
      </c>
      <c r="G142" s="819"/>
      <c r="H142" s="822"/>
      <c r="I142" s="1792" t="s">
        <v>1751</v>
      </c>
      <c r="J142" s="262">
        <f>J139</f>
        <v>20</v>
      </c>
      <c r="K142" s="825">
        <v>95</v>
      </c>
    </row>
    <row r="143" spans="1:17" ht="15">
      <c r="B143" s="818">
        <v>2</v>
      </c>
      <c r="C143" s="819">
        <v>100</v>
      </c>
      <c r="D143" s="819"/>
      <c r="E143" s="820"/>
      <c r="F143" s="821">
        <v>100.5</v>
      </c>
      <c r="G143" s="819"/>
      <c r="H143" s="822"/>
      <c r="I143" s="1792" t="s">
        <v>1752</v>
      </c>
      <c r="J143" s="819">
        <v>15</v>
      </c>
      <c r="K143" s="824">
        <f>ROUND(100+(J143-J140)*K139*100,1)</f>
        <v>102</v>
      </c>
    </row>
    <row r="144" spans="1:17" ht="15">
      <c r="B144" s="818">
        <v>1</v>
      </c>
      <c r="C144" s="819">
        <v>98</v>
      </c>
      <c r="D144" s="1793" t="s">
        <v>1753</v>
      </c>
      <c r="E144" s="820">
        <v>102</v>
      </c>
      <c r="F144" s="826">
        <v>100</v>
      </c>
      <c r="G144" s="1793" t="s">
        <v>1753</v>
      </c>
      <c r="H144" s="822">
        <v>105</v>
      </c>
      <c r="I144" s="1792" t="s">
        <v>1752</v>
      </c>
      <c r="J144" s="819">
        <v>18</v>
      </c>
      <c r="K144" s="824">
        <f>ROUND(100+(J144-J140)*K139*100,1)</f>
        <v>103.2</v>
      </c>
    </row>
    <row r="145" spans="2:11" ht="15.75" thickBot="1">
      <c r="B145" s="1794" t="s">
        <v>1754</v>
      </c>
      <c r="C145" s="827">
        <f>ROUND(MAX(C139:C144)/MIN(C139:C144)-1,3)</f>
        <v>7.2999999999999995E-2</v>
      </c>
      <c r="D145" s="828"/>
      <c r="E145" s="828"/>
      <c r="F145" s="1795" t="s">
        <v>1755</v>
      </c>
      <c r="G145" s="1796"/>
      <c r="H145" s="1797"/>
      <c r="I145" s="1798" t="s">
        <v>1752</v>
      </c>
      <c r="J145" s="829">
        <v>8</v>
      </c>
      <c r="K145" s="830">
        <f>ROUND(100+(J145-J140)*K139*100,1)</f>
        <v>99.2</v>
      </c>
    </row>
    <row r="147" spans="2:11">
      <c r="B147" s="1779" t="s">
        <v>1756</v>
      </c>
    </row>
    <row r="148" spans="2:11">
      <c r="B148" s="1779" t="s">
        <v>1757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1652</v>
      </c>
      <c r="B1" s="1732" t="s">
        <v>1758</v>
      </c>
      <c r="C1" s="1153" t="s">
        <v>1654</v>
      </c>
      <c r="D1" s="1140"/>
      <c r="E1" s="3121"/>
      <c r="F1" s="1733"/>
      <c r="G1" s="1150" t="s">
        <v>1759</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1" customFormat="1" ht="28.5" customHeight="1" thickTop="1">
      <c r="A2" s="1136" t="s">
        <v>1454</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1455</v>
      </c>
      <c r="F2" s="1737"/>
      <c r="G2" s="853"/>
      <c r="H2" s="853"/>
      <c r="I2" s="853"/>
      <c r="J2" s="853"/>
      <c r="K2" s="853"/>
      <c r="L2" s="2501"/>
      <c r="M2" s="2502"/>
      <c r="N2" s="2502"/>
      <c r="O2" s="2502"/>
      <c r="P2" s="1802"/>
      <c r="Q2" s="857"/>
      <c r="R2" s="857"/>
      <c r="S2" s="857"/>
      <c r="T2" s="857"/>
      <c r="U2" s="857"/>
      <c r="V2" s="857"/>
      <c r="W2" s="857"/>
      <c r="X2" s="857"/>
      <c r="Y2" s="857"/>
      <c r="Z2" s="857"/>
      <c r="AA2" s="857"/>
      <c r="AB2" s="857"/>
      <c r="AC2" s="1803"/>
    </row>
    <row r="3" spans="1:29" s="341" customFormat="1" ht="28.5" customHeight="1" thickBot="1">
      <c r="A3" s="194" t="s">
        <v>1456</v>
      </c>
      <c r="B3" s="535">
        <f>IF(C2="——",C49,ROUND(B2*10000/D3,0))</f>
        <v>0</v>
      </c>
      <c r="C3" s="343" t="s">
        <v>1760</v>
      </c>
      <c r="D3" s="342">
        <f>IF(D1="",'数据-汇总表'!E3,SUMIF('数据-汇总表'!$C19:$C33,D1,'数据-汇总表'!$E19:$E33))</f>
        <v>23997.3</v>
      </c>
      <c r="E3" s="1803"/>
      <c r="F3" s="854"/>
      <c r="G3" s="853"/>
      <c r="H3" s="853"/>
      <c r="I3" s="853"/>
      <c r="J3" s="853"/>
      <c r="K3" s="855"/>
      <c r="L3" s="2501"/>
      <c r="M3" s="2502"/>
      <c r="N3" s="2502"/>
      <c r="O3" s="2502"/>
      <c r="P3" s="1802"/>
      <c r="Q3" s="857"/>
      <c r="R3" s="857"/>
      <c r="S3" s="857"/>
      <c r="T3" s="857"/>
      <c r="U3" s="857"/>
      <c r="V3" s="857"/>
      <c r="W3" s="857"/>
      <c r="X3" s="857"/>
      <c r="Y3" s="857"/>
      <c r="Z3" s="857"/>
      <c r="AA3" s="857"/>
      <c r="AB3" s="857"/>
      <c r="AC3" s="1803"/>
    </row>
    <row r="4" spans="1:29" ht="15">
      <c r="A4" s="344" t="s">
        <v>1761</v>
      </c>
      <c r="B4" s="345"/>
      <c r="C4" s="3449" t="s">
        <v>1762</v>
      </c>
      <c r="D4" s="3461"/>
      <c r="E4" s="3462" t="s">
        <v>1763</v>
      </c>
      <c r="F4" s="3463"/>
      <c r="G4" s="3449" t="s">
        <v>1764</v>
      </c>
      <c r="H4" s="3461"/>
      <c r="I4" s="3449" t="s">
        <v>1765</v>
      </c>
      <c r="J4" s="3461"/>
      <c r="K4" s="536" t="s">
        <v>1766</v>
      </c>
      <c r="L4" s="2484"/>
      <c r="M4" s="2485"/>
      <c r="N4" s="2485"/>
      <c r="O4" s="2485"/>
      <c r="P4" s="3464" t="s">
        <v>1767</v>
      </c>
      <c r="Q4" s="3465"/>
      <c r="R4" s="3470" t="s">
        <v>1763</v>
      </c>
      <c r="S4" s="3471"/>
      <c r="T4" s="3470" t="s">
        <v>1764</v>
      </c>
      <c r="U4" s="3471"/>
      <c r="V4" s="3457" t="s">
        <v>1765</v>
      </c>
      <c r="W4" s="3457"/>
      <c r="X4" s="1263"/>
      <c r="Y4" s="3470" t="s">
        <v>1767</v>
      </c>
      <c r="Z4" s="3471"/>
      <c r="AA4" s="3458" t="s">
        <v>1763</v>
      </c>
      <c r="AB4" s="3457" t="s">
        <v>1764</v>
      </c>
      <c r="AC4" s="3458" t="s">
        <v>1765</v>
      </c>
    </row>
    <row r="5" spans="1:29" ht="15">
      <c r="A5" s="347"/>
      <c r="B5" s="348"/>
      <c r="C5" s="3478" t="s">
        <v>1665</v>
      </c>
      <c r="D5" s="3479"/>
      <c r="E5" s="3485" t="s">
        <v>1666</v>
      </c>
      <c r="F5" s="3486"/>
      <c r="G5" s="3478" t="s">
        <v>1667</v>
      </c>
      <c r="H5" s="3479"/>
      <c r="I5" s="3478" t="s">
        <v>1668</v>
      </c>
      <c r="J5" s="3479"/>
      <c r="K5" s="536"/>
      <c r="L5" s="2484"/>
      <c r="M5" s="2485"/>
      <c r="N5" s="2485"/>
      <c r="O5" s="2485"/>
      <c r="P5" s="3466"/>
      <c r="Q5" s="3467"/>
      <c r="R5" s="3472"/>
      <c r="S5" s="3473"/>
      <c r="T5" s="3472"/>
      <c r="U5" s="3473"/>
      <c r="V5" s="3457"/>
      <c r="W5" s="3457"/>
      <c r="X5" s="1263"/>
      <c r="Y5" s="3472"/>
      <c r="Z5" s="3473"/>
      <c r="AA5" s="3459"/>
      <c r="AB5" s="3457"/>
      <c r="AC5" s="3459"/>
    </row>
    <row r="6" spans="1:29" ht="15.75" thickBot="1">
      <c r="A6" s="349"/>
      <c r="B6" s="350"/>
      <c r="C6" s="3476" t="s">
        <v>1669</v>
      </c>
      <c r="D6" s="3477"/>
      <c r="E6" s="3483" t="s">
        <v>1669</v>
      </c>
      <c r="F6" s="3484"/>
      <c r="G6" s="3476" t="s">
        <v>1669</v>
      </c>
      <c r="H6" s="3477"/>
      <c r="I6" s="3476" t="s">
        <v>1669</v>
      </c>
      <c r="J6" s="3477"/>
      <c r="K6" s="536" t="s">
        <v>1670</v>
      </c>
      <c r="L6" s="2484"/>
      <c r="M6" s="2485"/>
      <c r="N6" s="2485"/>
      <c r="O6" s="2485"/>
      <c r="P6" s="3468"/>
      <c r="Q6" s="3469"/>
      <c r="R6" s="3472"/>
      <c r="S6" s="3473"/>
      <c r="T6" s="3474"/>
      <c r="U6" s="3475"/>
      <c r="V6" s="3457"/>
      <c r="W6" s="3457"/>
      <c r="X6" s="1263"/>
      <c r="Y6" s="3474"/>
      <c r="Z6" s="3475"/>
      <c r="AA6" s="3460"/>
      <c r="AB6" s="3457"/>
      <c r="AC6" s="3460"/>
    </row>
    <row r="7" spans="1:29" s="101" customFormat="1" ht="15.75" thickBot="1">
      <c r="A7" s="351" t="s">
        <v>1671</v>
      </c>
      <c r="B7" s="352"/>
      <c r="C7" s="353">
        <f>'数据-取费表'!B2</f>
        <v>45709</v>
      </c>
      <c r="D7" s="354">
        <v>100</v>
      </c>
      <c r="E7" s="355"/>
      <c r="F7" s="356">
        <f>SUMIF(58:58,YEAR(E7)&amp;"-"&amp;MONTH(E7),59:59)</f>
        <v>0</v>
      </c>
      <c r="G7" s="355"/>
      <c r="H7" s="354">
        <f>SUMIF(58:58,YEAR(G7)&amp;"-"&amp;MONTH(G7),59:59)</f>
        <v>0</v>
      </c>
      <c r="I7" s="355"/>
      <c r="J7" s="354">
        <f>SUMIF(58:58,YEAR(I7)&amp;"-"&amp;MONTH(I7),59:59)</f>
        <v>0</v>
      </c>
      <c r="K7" s="38"/>
      <c r="L7" s="2486"/>
      <c r="M7" s="2437"/>
      <c r="N7" s="2437"/>
      <c r="O7" s="2437"/>
      <c r="P7" s="3480" t="s">
        <v>1672</v>
      </c>
      <c r="Q7" s="3482"/>
      <c r="R7" s="663" t="s">
        <v>14</v>
      </c>
      <c r="S7" s="664">
        <f t="shared" ref="S7:S15" si="0">F7</f>
        <v>0</v>
      </c>
      <c r="T7" s="663" t="s">
        <v>14</v>
      </c>
      <c r="U7" s="664">
        <f t="shared" ref="U7:U15" si="1">H7</f>
        <v>0</v>
      </c>
      <c r="V7" s="663" t="s">
        <v>14</v>
      </c>
      <c r="W7" s="664">
        <f t="shared" ref="W7:W15" si="2">J7</f>
        <v>0</v>
      </c>
      <c r="X7" s="665"/>
      <c r="Y7" s="3480" t="s">
        <v>1672</v>
      </c>
      <c r="Z7" s="3481"/>
      <c r="AA7" s="50" t="e">
        <f>D7/F7</f>
        <v>#DIV/0!</v>
      </c>
      <c r="AB7" s="50" t="e">
        <f>D7/H7</f>
        <v>#DIV/0!</v>
      </c>
      <c r="AC7" s="50" t="e">
        <f>D7/J7</f>
        <v>#DIV/0!</v>
      </c>
    </row>
    <row r="8" spans="1:29" s="101" customFormat="1" ht="15.75" thickBot="1">
      <c r="A8" s="351" t="s">
        <v>1673</v>
      </c>
      <c r="B8" s="352"/>
      <c r="C8" s="357"/>
      <c r="D8" s="354">
        <v>100</v>
      </c>
      <c r="E8" s="357"/>
      <c r="F8" s="356">
        <f>SUMIF(61:61,E8,62:62)-SUMIF(61:61,C8,62:62)+100</f>
        <v>100</v>
      </c>
      <c r="G8" s="357"/>
      <c r="H8" s="354">
        <f>SUMIF(61:61,G8,62:62)-SUMIF(61:61,C8,62:62)+100</f>
        <v>100</v>
      </c>
      <c r="I8" s="357"/>
      <c r="J8" s="354">
        <f>SUMIF(61:61,I8,62:62)-SUMIF(61:61,C8,62:62)+100</f>
        <v>100</v>
      </c>
      <c r="K8" s="38"/>
      <c r="L8" s="2486"/>
      <c r="M8" s="2437"/>
      <c r="N8" s="2437"/>
      <c r="O8" s="2437"/>
      <c r="P8" s="3480" t="s">
        <v>1675</v>
      </c>
      <c r="Q8" s="3481"/>
      <c r="R8" s="663" t="s">
        <v>14</v>
      </c>
      <c r="S8" s="664">
        <f t="shared" si="0"/>
        <v>100</v>
      </c>
      <c r="T8" s="663" t="s">
        <v>14</v>
      </c>
      <c r="U8" s="664">
        <f t="shared" si="1"/>
        <v>100</v>
      </c>
      <c r="V8" s="663" t="s">
        <v>14</v>
      </c>
      <c r="W8" s="664">
        <f t="shared" si="2"/>
        <v>100</v>
      </c>
      <c r="X8" s="665"/>
      <c r="Y8" s="3480" t="s">
        <v>1675</v>
      </c>
      <c r="Z8" s="3481"/>
      <c r="AA8" s="50">
        <f t="shared" ref="AA8:AA46" si="3">D8/F8</f>
        <v>1</v>
      </c>
      <c r="AB8" s="50">
        <f t="shared" ref="AB8:AB46" si="4">D8/H8</f>
        <v>1</v>
      </c>
      <c r="AC8" s="50">
        <f t="shared" ref="AC8:AC46" si="5">D8/J8</f>
        <v>1</v>
      </c>
    </row>
    <row r="9" spans="1:29" s="101" customFormat="1">
      <c r="A9" s="358" t="s">
        <v>1676</v>
      </c>
      <c r="B9" s="60" t="s">
        <v>1677</v>
      </c>
      <c r="C9" s="359"/>
      <c r="D9" s="59">
        <v>100</v>
      </c>
      <c r="E9" s="360"/>
      <c r="F9" s="60">
        <f>SUMIF(63:63,E9,64:64)-SUMIF(63:63,C9,64:64)+100</f>
        <v>100</v>
      </c>
      <c r="G9" s="360"/>
      <c r="H9" s="59">
        <f>SUMIF(63:63,G9,64:64)-SUMIF(63:63,C9,64:64)+100</f>
        <v>100</v>
      </c>
      <c r="I9" s="360"/>
      <c r="J9" s="59">
        <f>SUMIF(63:63,I9,64:64)-SUMIF(63:63,C9,64:64)+100</f>
        <v>100</v>
      </c>
      <c r="K9" s="38"/>
      <c r="L9" s="2486"/>
      <c r="M9" s="2437"/>
      <c r="N9" s="2437"/>
      <c r="O9" s="2437"/>
      <c r="P9" s="3451" t="s">
        <v>1678</v>
      </c>
      <c r="Q9" s="529" t="str">
        <f t="shared" ref="Q9:Q15" si="6">B9</f>
        <v>用途</v>
      </c>
      <c r="R9" s="663" t="s">
        <v>14</v>
      </c>
      <c r="S9" s="664">
        <f t="shared" si="0"/>
        <v>100</v>
      </c>
      <c r="T9" s="663" t="s">
        <v>14</v>
      </c>
      <c r="U9" s="664">
        <f t="shared" si="1"/>
        <v>100</v>
      </c>
      <c r="V9" s="663" t="s">
        <v>14</v>
      </c>
      <c r="W9" s="664">
        <f t="shared" si="2"/>
        <v>100</v>
      </c>
      <c r="X9" s="665"/>
      <c r="Y9" s="3328" t="s">
        <v>1679</v>
      </c>
      <c r="Z9" s="50" t="str">
        <f t="shared" ref="Z9:Z15" si="7">Q9</f>
        <v>用途</v>
      </c>
      <c r="AA9" s="50">
        <f t="shared" si="3"/>
        <v>1</v>
      </c>
      <c r="AB9" s="50">
        <f t="shared" si="4"/>
        <v>1</v>
      </c>
      <c r="AC9" s="50">
        <f t="shared" si="5"/>
        <v>1</v>
      </c>
    </row>
    <row r="10" spans="1:29" s="365" customFormat="1" ht="27">
      <c r="A10" s="362"/>
      <c r="B10" s="363" t="s">
        <v>1680</v>
      </c>
      <c r="C10" s="3129"/>
      <c r="D10" s="118">
        <v>100</v>
      </c>
      <c r="E10" s="3130"/>
      <c r="F10" s="363">
        <f>SUMIF(65:65,E10,66:66)-SUMIF(65:65,C10,66:66)+100</f>
        <v>100</v>
      </c>
      <c r="G10" s="3129"/>
      <c r="H10" s="118">
        <f>SUMIF(65:65,G10,66:66)-SUMIF(65:65,C10,66:66)+100</f>
        <v>100</v>
      </c>
      <c r="I10" s="3129"/>
      <c r="J10" s="118">
        <f>SUMIF(65:65,I10,66:66)-SUMIF(65:65,C10,66:66)+100</f>
        <v>100</v>
      </c>
      <c r="K10" s="38"/>
      <c r="L10" s="2487"/>
      <c r="M10" s="2488"/>
      <c r="N10" s="2488"/>
      <c r="O10" s="2488"/>
      <c r="P10" s="3451"/>
      <c r="Q10" s="529"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366"/>
      <c r="B11" s="363" t="s">
        <v>1681</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9"/>
      <c r="M11" s="2485"/>
      <c r="N11" s="2485"/>
      <c r="O11" s="2485"/>
      <c r="P11" s="3451"/>
      <c r="Q11" s="529" t="str">
        <f t="shared" si="6"/>
        <v>容积率</v>
      </c>
      <c r="R11" s="663" t="s">
        <v>14</v>
      </c>
      <c r="S11" s="664" t="e">
        <f t="shared" si="0"/>
        <v>#N/A</v>
      </c>
      <c r="T11" s="663" t="s">
        <v>14</v>
      </c>
      <c r="U11" s="664" t="e">
        <f t="shared" si="1"/>
        <v>#N/A</v>
      </c>
      <c r="V11" s="663" t="s">
        <v>14</v>
      </c>
      <c r="W11" s="664" t="e">
        <f t="shared" si="2"/>
        <v>#N/A</v>
      </c>
      <c r="X11" s="665"/>
      <c r="Y11" s="3328"/>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7"/>
      <c r="N12" s="2437"/>
      <c r="O12" s="2437"/>
      <c r="P12" s="3451"/>
      <c r="Q12" s="529">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451"/>
      <c r="Q13" s="529">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15.75" thickBot="1">
      <c r="A14" s="374"/>
      <c r="B14" s="1747">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451"/>
      <c r="Q14" s="529">
        <f t="shared" si="6"/>
        <v>111</v>
      </c>
      <c r="R14" s="663" t="s">
        <v>14</v>
      </c>
      <c r="S14" s="664">
        <f t="shared" si="0"/>
        <v>100</v>
      </c>
      <c r="T14" s="663" t="s">
        <v>14</v>
      </c>
      <c r="U14" s="664">
        <f t="shared" si="1"/>
        <v>100</v>
      </c>
      <c r="V14" s="663" t="s">
        <v>14</v>
      </c>
      <c r="W14" s="664">
        <f t="shared" si="2"/>
        <v>100</v>
      </c>
      <c r="X14" s="665"/>
      <c r="Y14" s="3328"/>
      <c r="Z14" s="50">
        <f t="shared" si="7"/>
        <v>111</v>
      </c>
      <c r="AA14" s="50">
        <f t="shared" si="3"/>
        <v>1</v>
      </c>
      <c r="AB14" s="50">
        <f t="shared" si="4"/>
        <v>1</v>
      </c>
      <c r="AC14" s="50">
        <f t="shared" si="5"/>
        <v>1</v>
      </c>
    </row>
    <row r="15" spans="1:29" ht="71.25">
      <c r="A15" s="378" t="s">
        <v>1682</v>
      </c>
      <c r="B15" s="58" t="s">
        <v>1769</v>
      </c>
      <c r="C15" s="1748"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519" t="s">
        <v>1683</v>
      </c>
      <c r="Q15" s="1261" t="str">
        <f t="shared" si="6"/>
        <v>商业繁华度</v>
      </c>
      <c r="R15" s="666" t="s">
        <v>14</v>
      </c>
      <c r="S15" s="667">
        <f t="shared" si="0"/>
        <v>100</v>
      </c>
      <c r="T15" s="666" t="s">
        <v>14</v>
      </c>
      <c r="U15" s="667">
        <f t="shared" si="1"/>
        <v>100</v>
      </c>
      <c r="V15" s="666" t="s">
        <v>14</v>
      </c>
      <c r="W15" s="667">
        <f t="shared" si="2"/>
        <v>100</v>
      </c>
      <c r="X15" s="1263"/>
      <c r="Y15" s="3453" t="s">
        <v>1683</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90"/>
      <c r="M16" s="2485"/>
      <c r="N16" s="2485"/>
      <c r="O16" s="2485"/>
      <c r="P16" s="3520"/>
      <c r="Q16" s="1261"/>
      <c r="R16" s="666"/>
      <c r="S16" s="667"/>
      <c r="T16" s="666"/>
      <c r="U16" s="667"/>
      <c r="V16" s="666"/>
      <c r="W16" s="667"/>
      <c r="X16" s="1263"/>
      <c r="Y16" s="3454"/>
      <c r="Z16" s="1262"/>
      <c r="AA16" s="1262">
        <v>1</v>
      </c>
      <c r="AB16" s="1262">
        <v>1</v>
      </c>
      <c r="AC16" s="1262">
        <v>1</v>
      </c>
    </row>
    <row r="17" spans="1:29" ht="85.5">
      <c r="A17" s="366"/>
      <c r="B17" s="389" t="s">
        <v>1253</v>
      </c>
      <c r="C17" s="1752"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520"/>
      <c r="Q17" s="1261" t="str">
        <f>B17</f>
        <v>交通便捷度</v>
      </c>
      <c r="R17" s="666" t="s">
        <v>14</v>
      </c>
      <c r="S17" s="667">
        <f>F17</f>
        <v>100</v>
      </c>
      <c r="T17" s="666" t="s">
        <v>14</v>
      </c>
      <c r="U17" s="667">
        <f>H17</f>
        <v>100</v>
      </c>
      <c r="V17" s="666" t="s">
        <v>14</v>
      </c>
      <c r="W17" s="667">
        <f>J17</f>
        <v>100</v>
      </c>
      <c r="X17" s="1263"/>
      <c r="Y17" s="3454"/>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2490"/>
      <c r="M18" s="2485"/>
      <c r="N18" s="2485"/>
      <c r="O18" s="2485"/>
      <c r="P18" s="3520"/>
      <c r="Q18" s="1261"/>
      <c r="R18" s="666"/>
      <c r="S18" s="667"/>
      <c r="T18" s="666"/>
      <c r="U18" s="667"/>
      <c r="V18" s="666"/>
      <c r="W18" s="667"/>
      <c r="X18" s="1263"/>
      <c r="Y18" s="3454"/>
      <c r="Z18" s="1262"/>
      <c r="AA18" s="1262">
        <v>1</v>
      </c>
      <c r="AB18" s="1262">
        <v>1</v>
      </c>
      <c r="AC18" s="1262">
        <v>1</v>
      </c>
    </row>
    <row r="19" spans="1:29" ht="42.75">
      <c r="A19" s="366"/>
      <c r="B19" s="389" t="s">
        <v>1770</v>
      </c>
      <c r="C19" s="1752"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520"/>
      <c r="Q19" s="1261" t="str">
        <f>B19</f>
        <v>公共配套设施</v>
      </c>
      <c r="R19" s="666" t="s">
        <v>14</v>
      </c>
      <c r="S19" s="667">
        <f>F19</f>
        <v>100</v>
      </c>
      <c r="T19" s="666" t="s">
        <v>14</v>
      </c>
      <c r="U19" s="667">
        <f>H19</f>
        <v>100</v>
      </c>
      <c r="V19" s="666" t="s">
        <v>14</v>
      </c>
      <c r="W19" s="667">
        <f>J19</f>
        <v>100</v>
      </c>
      <c r="X19" s="1263"/>
      <c r="Y19" s="3454"/>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2490"/>
      <c r="M20" s="2485"/>
      <c r="N20" s="2485"/>
      <c r="O20" s="2485"/>
      <c r="P20" s="3520"/>
      <c r="Q20" s="1261"/>
      <c r="R20" s="666"/>
      <c r="S20" s="667"/>
      <c r="T20" s="666"/>
      <c r="U20" s="667"/>
      <c r="V20" s="666"/>
      <c r="W20" s="667"/>
      <c r="X20" s="1263"/>
      <c r="Y20" s="3454"/>
      <c r="Z20" s="1262"/>
      <c r="AA20" s="1262">
        <v>1</v>
      </c>
      <c r="AB20" s="1262">
        <v>1</v>
      </c>
      <c r="AC20" s="1262">
        <v>1</v>
      </c>
    </row>
    <row r="21" spans="1:29" ht="28.5">
      <c r="A21" s="366"/>
      <c r="B21" s="585" t="s">
        <v>1771</v>
      </c>
      <c r="C21" s="1752"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520"/>
      <c r="Q21" s="1261" t="str">
        <f>B21</f>
        <v>基础设施水平</v>
      </c>
      <c r="R21" s="666" t="s">
        <v>14</v>
      </c>
      <c r="S21" s="667">
        <f>F21</f>
        <v>100</v>
      </c>
      <c r="T21" s="666" t="s">
        <v>14</v>
      </c>
      <c r="U21" s="667">
        <f>H21</f>
        <v>100</v>
      </c>
      <c r="V21" s="666" t="s">
        <v>14</v>
      </c>
      <c r="W21" s="667">
        <f>J21</f>
        <v>100</v>
      </c>
      <c r="X21" s="1263"/>
      <c r="Y21" s="3454"/>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2"/>
      <c r="L22" s="2490"/>
      <c r="M22" s="2485"/>
      <c r="N22" s="2485"/>
      <c r="O22" s="2485"/>
      <c r="P22" s="3520"/>
      <c r="Q22" s="1261"/>
      <c r="R22" s="666"/>
      <c r="S22" s="667"/>
      <c r="T22" s="666"/>
      <c r="U22" s="667"/>
      <c r="V22" s="666"/>
      <c r="W22" s="667"/>
      <c r="X22" s="1263"/>
      <c r="Y22" s="3454"/>
      <c r="Z22" s="1262"/>
      <c r="AA22" s="1262">
        <v>1</v>
      </c>
      <c r="AB22" s="1262">
        <v>1</v>
      </c>
      <c r="AC22" s="1262">
        <v>1</v>
      </c>
    </row>
    <row r="23" spans="1:29" ht="57">
      <c r="A23" s="366"/>
      <c r="B23" s="389" t="s">
        <v>1255</v>
      </c>
      <c r="C23" s="1804"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520"/>
      <c r="Q23" s="1261" t="str">
        <f>B23</f>
        <v>自然及人文环境</v>
      </c>
      <c r="R23" s="666" t="s">
        <v>14</v>
      </c>
      <c r="S23" s="667">
        <f>F23</f>
        <v>100</v>
      </c>
      <c r="T23" s="666" t="s">
        <v>14</v>
      </c>
      <c r="U23" s="667">
        <f>H23</f>
        <v>100</v>
      </c>
      <c r="V23" s="666" t="s">
        <v>14</v>
      </c>
      <c r="W23" s="667">
        <f>J23</f>
        <v>100</v>
      </c>
      <c r="X23" s="1263"/>
      <c r="Y23" s="3454"/>
      <c r="Z23" s="1262" t="str">
        <f>Q23</f>
        <v>自然及人文环境</v>
      </c>
      <c r="AA23" s="1262">
        <f t="shared" si="3"/>
        <v>1</v>
      </c>
      <c r="AB23" s="1262">
        <f t="shared" si="4"/>
        <v>1</v>
      </c>
      <c r="AC23" s="1262">
        <f t="shared" si="5"/>
        <v>1</v>
      </c>
    </row>
    <row r="24" spans="1:29" ht="15">
      <c r="A24" s="366"/>
      <c r="B24" s="394"/>
      <c r="C24" s="385"/>
      <c r="D24" s="386"/>
      <c r="E24" s="1750"/>
      <c r="F24" s="387"/>
      <c r="G24" s="1749"/>
      <c r="H24" s="386"/>
      <c r="I24" s="1750"/>
      <c r="J24" s="386"/>
      <c r="K24" s="540"/>
      <c r="L24" s="2490"/>
      <c r="M24" s="2485"/>
      <c r="N24" s="2485"/>
      <c r="O24" s="2485"/>
      <c r="P24" s="3520"/>
      <c r="Q24" s="1261"/>
      <c r="R24" s="666"/>
      <c r="S24" s="667"/>
      <c r="T24" s="666"/>
      <c r="U24" s="667"/>
      <c r="V24" s="666"/>
      <c r="W24" s="667"/>
      <c r="X24" s="1263"/>
      <c r="Y24" s="3454"/>
      <c r="Z24" s="1262"/>
      <c r="AA24" s="1262">
        <v>1</v>
      </c>
      <c r="AB24" s="1262">
        <v>1</v>
      </c>
      <c r="AC24" s="1262">
        <v>1</v>
      </c>
    </row>
    <row r="25" spans="1:29" ht="15">
      <c r="A25" s="366"/>
      <c r="B25" s="363" t="s">
        <v>1772</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520"/>
      <c r="Q25" s="1261" t="str">
        <f t="shared" ref="Q25:Q46" si="11">B25</f>
        <v>临街状况</v>
      </c>
      <c r="R25" s="666" t="s">
        <v>14</v>
      </c>
      <c r="S25" s="667">
        <f>F25</f>
        <v>100</v>
      </c>
      <c r="T25" s="666" t="s">
        <v>14</v>
      </c>
      <c r="U25" s="667">
        <f>H25</f>
        <v>100</v>
      </c>
      <c r="V25" s="666" t="s">
        <v>14</v>
      </c>
      <c r="W25" s="667">
        <f>J25</f>
        <v>100</v>
      </c>
      <c r="X25" s="1263"/>
      <c r="Y25" s="3454"/>
      <c r="Z25" s="1262" t="str">
        <f>Q25</f>
        <v>临街状况</v>
      </c>
      <c r="AA25" s="1262">
        <f t="shared" si="3"/>
        <v>1</v>
      </c>
      <c r="AB25" s="1262">
        <f t="shared" si="4"/>
        <v>1</v>
      </c>
      <c r="AC25" s="1262">
        <f t="shared" si="5"/>
        <v>1</v>
      </c>
    </row>
    <row r="26" spans="1:29" ht="15">
      <c r="A26" s="366"/>
      <c r="B26" s="1064" t="s">
        <v>1773</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520"/>
      <c r="Q26" s="1261" t="str">
        <f t="shared" si="11"/>
        <v>平面位置/可视性</v>
      </c>
      <c r="R26" s="666" t="s">
        <v>14</v>
      </c>
      <c r="S26" s="667">
        <f>F26</f>
        <v>100</v>
      </c>
      <c r="T26" s="666" t="s">
        <v>14</v>
      </c>
      <c r="U26" s="667">
        <f>H26</f>
        <v>100</v>
      </c>
      <c r="V26" s="666" t="s">
        <v>14</v>
      </c>
      <c r="W26" s="667">
        <f>J26</f>
        <v>100</v>
      </c>
      <c r="X26" s="1263"/>
      <c r="Y26" s="3454"/>
      <c r="Z26" s="1262" t="str">
        <f>Q26</f>
        <v>平面位置/可视性</v>
      </c>
      <c r="AA26" s="1262">
        <f t="shared" si="3"/>
        <v>1</v>
      </c>
      <c r="AB26" s="1262">
        <f t="shared" si="4"/>
        <v>1</v>
      </c>
      <c r="AC26" s="1262">
        <f t="shared" si="5"/>
        <v>1</v>
      </c>
    </row>
    <row r="27" spans="1:29" s="101" customFormat="1" ht="15">
      <c r="A27" s="369"/>
      <c r="B27" s="389" t="s">
        <v>1774</v>
      </c>
      <c r="C27" s="1805"/>
      <c r="D27" s="400">
        <v>100</v>
      </c>
      <c r="E27" s="1805"/>
      <c r="F27" s="394">
        <f>SUMIF(90:90,E27,91:91)-SUMIF(90:90,C27,91:91)+100</f>
        <v>100</v>
      </c>
      <c r="G27" s="1805"/>
      <c r="H27" s="400">
        <f>SUMIF(90:90,G27,91:91)-SUMIF(90:90,C27,91:91)+100</f>
        <v>100</v>
      </c>
      <c r="I27" s="1805"/>
      <c r="J27" s="400">
        <f>SUMIF(90:90,I27,91:91)-SUMIF(90:90,C27,91:91)+100</f>
        <v>100</v>
      </c>
      <c r="K27" s="537"/>
      <c r="L27" s="2486"/>
      <c r="M27" s="2437"/>
      <c r="N27" s="2437"/>
      <c r="O27" s="2437"/>
      <c r="P27" s="3520"/>
      <c r="Q27" s="529" t="str">
        <f t="shared" si="11"/>
        <v>人流量</v>
      </c>
      <c r="R27" s="663" t="s">
        <v>14</v>
      </c>
      <c r="S27" s="664">
        <f>F27</f>
        <v>100</v>
      </c>
      <c r="T27" s="663" t="s">
        <v>14</v>
      </c>
      <c r="U27" s="664">
        <f>H27</f>
        <v>100</v>
      </c>
      <c r="V27" s="663" t="s">
        <v>14</v>
      </c>
      <c r="W27" s="664">
        <f>J27</f>
        <v>100</v>
      </c>
      <c r="X27" s="665"/>
      <c r="Y27" s="3454"/>
      <c r="Z27" s="50" t="str">
        <f>Q27</f>
        <v>人流量</v>
      </c>
      <c r="AA27" s="1262">
        <f>D27/F27</f>
        <v>1</v>
      </c>
      <c r="AB27" s="1262">
        <f>D27/H27</f>
        <v>1</v>
      </c>
      <c r="AC27" s="1262">
        <f>D27/J27</f>
        <v>1</v>
      </c>
    </row>
    <row r="28" spans="1:29" ht="15">
      <c r="A28" s="366"/>
      <c r="B28" s="363" t="s">
        <v>1775</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520"/>
      <c r="Q28" s="1261" t="str">
        <f t="shared" si="11"/>
        <v>楼层</v>
      </c>
      <c r="R28" s="666" t="s">
        <v>14</v>
      </c>
      <c r="S28" s="667">
        <f t="shared" ref="S28:S46" si="12">F28</f>
        <v>100</v>
      </c>
      <c r="T28" s="666" t="s">
        <v>14</v>
      </c>
      <c r="U28" s="667">
        <f t="shared" ref="U28:U46" si="13">H28</f>
        <v>100</v>
      </c>
      <c r="V28" s="666" t="s">
        <v>14</v>
      </c>
      <c r="W28" s="667">
        <f t="shared" ref="W28:W46" si="14">J28</f>
        <v>100</v>
      </c>
      <c r="X28" s="1263"/>
      <c r="Y28" s="3454"/>
      <c r="Z28" s="1262" t="str">
        <f t="shared" ref="Z28:Z46" si="15">Q28</f>
        <v>楼层</v>
      </c>
      <c r="AA28" s="1262">
        <f t="shared" si="3"/>
        <v>1</v>
      </c>
      <c r="AB28" s="1262">
        <f t="shared" si="4"/>
        <v>1</v>
      </c>
      <c r="AC28" s="1262">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520"/>
      <c r="Q29" s="1261">
        <f t="shared" si="11"/>
        <v>111</v>
      </c>
      <c r="R29" s="666" t="s">
        <v>14</v>
      </c>
      <c r="S29" s="667">
        <f t="shared" si="12"/>
        <v>100</v>
      </c>
      <c r="T29" s="666" t="s">
        <v>14</v>
      </c>
      <c r="U29" s="667">
        <f t="shared" si="13"/>
        <v>100</v>
      </c>
      <c r="V29" s="666" t="s">
        <v>14</v>
      </c>
      <c r="W29" s="667">
        <f t="shared" si="14"/>
        <v>100</v>
      </c>
      <c r="X29" s="1263"/>
      <c r="Y29" s="3454"/>
      <c r="Z29" s="1262">
        <f t="shared" si="15"/>
        <v>111</v>
      </c>
      <c r="AA29" s="1262">
        <f t="shared" si="3"/>
        <v>1</v>
      </c>
      <c r="AB29" s="1262">
        <f t="shared" si="4"/>
        <v>1</v>
      </c>
      <c r="AC29" s="1262">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520"/>
      <c r="Q30" s="1261">
        <f t="shared" si="11"/>
        <v>111</v>
      </c>
      <c r="R30" s="666" t="s">
        <v>14</v>
      </c>
      <c r="S30" s="667">
        <f t="shared" si="12"/>
        <v>100</v>
      </c>
      <c r="T30" s="666" t="s">
        <v>14</v>
      </c>
      <c r="U30" s="667">
        <f t="shared" si="13"/>
        <v>100</v>
      </c>
      <c r="V30" s="666" t="s">
        <v>14</v>
      </c>
      <c r="W30" s="667">
        <f t="shared" si="14"/>
        <v>100</v>
      </c>
      <c r="X30" s="1263"/>
      <c r="Y30" s="3454"/>
      <c r="Z30" s="1262">
        <f t="shared" si="15"/>
        <v>111</v>
      </c>
      <c r="AA30" s="1262">
        <f t="shared" si="3"/>
        <v>1</v>
      </c>
      <c r="AB30" s="1262">
        <f t="shared" si="4"/>
        <v>1</v>
      </c>
      <c r="AC30" s="1262">
        <f t="shared" si="5"/>
        <v>1</v>
      </c>
    </row>
    <row r="31" spans="1:29" ht="15.75"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520"/>
      <c r="Q31" s="1261">
        <f t="shared" si="11"/>
        <v>111</v>
      </c>
      <c r="R31" s="666" t="s">
        <v>14</v>
      </c>
      <c r="S31" s="667">
        <f t="shared" si="12"/>
        <v>100</v>
      </c>
      <c r="T31" s="666" t="s">
        <v>14</v>
      </c>
      <c r="U31" s="667">
        <f t="shared" si="13"/>
        <v>100</v>
      </c>
      <c r="V31" s="666" t="s">
        <v>14</v>
      </c>
      <c r="W31" s="667">
        <f t="shared" si="14"/>
        <v>100</v>
      </c>
      <c r="X31" s="1263"/>
      <c r="Y31" s="3454"/>
      <c r="Z31" s="1262">
        <f t="shared" si="15"/>
        <v>111</v>
      </c>
      <c r="AA31" s="1262">
        <f t="shared" si="3"/>
        <v>1</v>
      </c>
      <c r="AB31" s="1262">
        <f t="shared" si="4"/>
        <v>1</v>
      </c>
      <c r="AC31" s="1262">
        <f t="shared" si="5"/>
        <v>1</v>
      </c>
    </row>
    <row r="32" spans="1:29" ht="15">
      <c r="A32" s="378" t="s">
        <v>1686</v>
      </c>
      <c r="B32" s="60" t="s">
        <v>1776</v>
      </c>
      <c r="C32" s="1762"/>
      <c r="D32" s="404">
        <v>100</v>
      </c>
      <c r="E32" s="1762"/>
      <c r="F32" s="399">
        <f>SUMIF(100:100,E32,101:101)-SUMIF(100:100,C32,101:101)+100</f>
        <v>100</v>
      </c>
      <c r="G32" s="1762"/>
      <c r="H32" s="373">
        <f>SUMIF(100:100,G32,101:101)-SUMIF(100:100,C32,101:101)+100</f>
        <v>100</v>
      </c>
      <c r="I32" s="1762"/>
      <c r="J32" s="404">
        <f>SUMIF(100:100,I32,101:101)-SUMIF(100:100,C32,101:101)+100</f>
        <v>100</v>
      </c>
      <c r="K32" s="537"/>
      <c r="L32" s="2490"/>
      <c r="M32" s="2485"/>
      <c r="N32" s="2485"/>
      <c r="O32" s="2485"/>
      <c r="P32" s="3515" t="s">
        <v>1688</v>
      </c>
      <c r="Q32" s="1261" t="str">
        <f t="shared" si="11"/>
        <v>商业类型</v>
      </c>
      <c r="R32" s="666" t="s">
        <v>14</v>
      </c>
      <c r="S32" s="667">
        <f t="shared" si="12"/>
        <v>100</v>
      </c>
      <c r="T32" s="666" t="s">
        <v>14</v>
      </c>
      <c r="U32" s="667">
        <f t="shared" si="13"/>
        <v>100</v>
      </c>
      <c r="V32" s="666" t="s">
        <v>14</v>
      </c>
      <c r="W32" s="667">
        <f t="shared" si="14"/>
        <v>100</v>
      </c>
      <c r="X32" s="1263"/>
      <c r="Y32" s="3456" t="s">
        <v>1688</v>
      </c>
      <c r="Z32" s="1262" t="str">
        <f t="shared" si="15"/>
        <v>商业类型</v>
      </c>
      <c r="AA32" s="1262">
        <f t="shared" si="3"/>
        <v>1</v>
      </c>
      <c r="AB32" s="1262">
        <f t="shared" si="4"/>
        <v>1</v>
      </c>
      <c r="AC32" s="1262">
        <f t="shared" si="5"/>
        <v>1</v>
      </c>
    </row>
    <row r="33" spans="1:29" s="407" customFormat="1" ht="15">
      <c r="A33" s="405"/>
      <c r="B33" s="363" t="s">
        <v>1689</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9"/>
      <c r="M33" s="2491"/>
      <c r="N33" s="2491"/>
      <c r="O33" s="2491"/>
      <c r="P33" s="3516"/>
      <c r="Q33" s="530" t="str">
        <f t="shared" si="11"/>
        <v>项目建筑规模</v>
      </c>
      <c r="R33" s="668" t="s">
        <v>14</v>
      </c>
      <c r="S33" s="669" t="e">
        <f t="shared" si="12"/>
        <v>#N/A</v>
      </c>
      <c r="T33" s="668" t="s">
        <v>14</v>
      </c>
      <c r="U33" s="669" t="e">
        <f t="shared" si="13"/>
        <v>#N/A</v>
      </c>
      <c r="V33" s="668" t="s">
        <v>14</v>
      </c>
      <c r="W33" s="669" t="e">
        <f t="shared" si="14"/>
        <v>#N/A</v>
      </c>
      <c r="X33" s="670"/>
      <c r="Y33" s="3456"/>
      <c r="Z33" s="671" t="str">
        <f t="shared" si="15"/>
        <v>项目建筑规模</v>
      </c>
      <c r="AA33" s="1262" t="e">
        <f t="shared" si="3"/>
        <v>#N/A</v>
      </c>
      <c r="AB33" s="1262" t="e">
        <f t="shared" si="4"/>
        <v>#N/A</v>
      </c>
      <c r="AC33" s="1262" t="e">
        <f t="shared" si="5"/>
        <v>#N/A</v>
      </c>
    </row>
    <row r="34" spans="1:29" ht="15">
      <c r="A34" s="408"/>
      <c r="B34" s="363" t="s">
        <v>1690</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516"/>
      <c r="Q34" s="1261" t="str">
        <f t="shared" si="11"/>
        <v>建筑结构</v>
      </c>
      <c r="R34" s="666" t="s">
        <v>14</v>
      </c>
      <c r="S34" s="667">
        <f t="shared" si="12"/>
        <v>100</v>
      </c>
      <c r="T34" s="666" t="s">
        <v>14</v>
      </c>
      <c r="U34" s="667">
        <f t="shared" si="13"/>
        <v>100</v>
      </c>
      <c r="V34" s="666" t="s">
        <v>14</v>
      </c>
      <c r="W34" s="667">
        <f t="shared" si="14"/>
        <v>100</v>
      </c>
      <c r="X34" s="1263"/>
      <c r="Y34" s="3456"/>
      <c r="Z34" s="1262" t="str">
        <f t="shared" si="15"/>
        <v>建筑结构</v>
      </c>
      <c r="AA34" s="1262">
        <f t="shared" si="3"/>
        <v>1</v>
      </c>
      <c r="AB34" s="1262">
        <f t="shared" si="4"/>
        <v>1</v>
      </c>
      <c r="AC34" s="1262">
        <f t="shared" si="5"/>
        <v>1</v>
      </c>
    </row>
    <row r="35" spans="1:29" ht="15">
      <c r="A35" s="408"/>
      <c r="B35" s="363" t="s">
        <v>1777</v>
      </c>
      <c r="C35" s="1758"/>
      <c r="D35" s="373">
        <v>100</v>
      </c>
      <c r="E35" s="1758"/>
      <c r="F35" s="399">
        <f>SUMIF(107:107,E35,108:108)-SUMIF(107:107,C35,108:108)+100</f>
        <v>100</v>
      </c>
      <c r="G35" s="1758"/>
      <c r="H35" s="373">
        <f>SUMIF(107:107,G35,108:108)-SUMIF(107:107,C35,108:108)+100</f>
        <v>100</v>
      </c>
      <c r="I35" s="1758"/>
      <c r="J35" s="373">
        <f>SUMIF(107:107,I35,108:108)-SUMIF(107:107,C35,108:108)+100</f>
        <v>100</v>
      </c>
      <c r="K35" s="537"/>
      <c r="L35" s="2490"/>
      <c r="M35" s="2485"/>
      <c r="N35" s="2485"/>
      <c r="O35" s="2485"/>
      <c r="P35" s="3516"/>
      <c r="Q35" s="1261" t="str">
        <f t="shared" si="11"/>
        <v>公共部分装修</v>
      </c>
      <c r="R35" s="666" t="s">
        <v>14</v>
      </c>
      <c r="S35" s="667">
        <f t="shared" si="12"/>
        <v>100</v>
      </c>
      <c r="T35" s="666" t="s">
        <v>14</v>
      </c>
      <c r="U35" s="667">
        <f t="shared" si="13"/>
        <v>100</v>
      </c>
      <c r="V35" s="666" t="s">
        <v>14</v>
      </c>
      <c r="W35" s="667">
        <f t="shared" si="14"/>
        <v>100</v>
      </c>
      <c r="X35" s="1263"/>
      <c r="Y35" s="3456"/>
      <c r="Z35" s="1262" t="str">
        <f t="shared" si="15"/>
        <v>公共部分装修</v>
      </c>
      <c r="AA35" s="1262">
        <f t="shared" si="3"/>
        <v>1</v>
      </c>
      <c r="AB35" s="1262">
        <f t="shared" si="4"/>
        <v>1</v>
      </c>
      <c r="AC35" s="1262">
        <f t="shared" si="5"/>
        <v>1</v>
      </c>
    </row>
    <row r="36" spans="1:29" ht="15">
      <c r="A36" s="408"/>
      <c r="B36" s="363" t="s">
        <v>1778</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516"/>
      <c r="Q36" s="1261" t="str">
        <f t="shared" si="11"/>
        <v>成新度</v>
      </c>
      <c r="R36" s="666" t="s">
        <v>14</v>
      </c>
      <c r="S36" s="667" t="e">
        <f t="shared" si="12"/>
        <v>#N/A</v>
      </c>
      <c r="T36" s="666" t="s">
        <v>14</v>
      </c>
      <c r="U36" s="667" t="e">
        <f t="shared" si="13"/>
        <v>#N/A</v>
      </c>
      <c r="V36" s="666" t="s">
        <v>14</v>
      </c>
      <c r="W36" s="667" t="e">
        <f t="shared" si="14"/>
        <v>#N/A</v>
      </c>
      <c r="X36" s="1263"/>
      <c r="Y36" s="3456"/>
      <c r="Z36" s="1262" t="str">
        <f t="shared" si="15"/>
        <v>成新度</v>
      </c>
      <c r="AA36" s="1262" t="e">
        <f t="shared" si="3"/>
        <v>#N/A</v>
      </c>
      <c r="AB36" s="1262" t="e">
        <f t="shared" si="4"/>
        <v>#N/A</v>
      </c>
      <c r="AC36" s="1262" t="e">
        <f t="shared" si="5"/>
        <v>#N/A</v>
      </c>
    </row>
    <row r="37" spans="1:29" s="101" customFormat="1" ht="15">
      <c r="A37" s="409"/>
      <c r="B37" s="363" t="s">
        <v>1779</v>
      </c>
      <c r="C37" s="1758"/>
      <c r="D37" s="118">
        <v>100</v>
      </c>
      <c r="E37" s="1758"/>
      <c r="F37" s="399">
        <f>SUMIF(112:112,E37,113:113)-SUMIF(112:112,C37,113:113)+100</f>
        <v>100</v>
      </c>
      <c r="G37" s="1758"/>
      <c r="H37" s="373">
        <f>SUMIF(112:112,G37,113:113)-SUMIF(112:112,C37,113:113)+100</f>
        <v>100</v>
      </c>
      <c r="I37" s="1758"/>
      <c r="J37" s="373">
        <f>SUMIF(112:112,I37,113:113)-SUMIF(112:112,C37,113:113)+100</f>
        <v>100</v>
      </c>
      <c r="K37" s="537"/>
      <c r="L37" s="2486"/>
      <c r="M37" s="2437"/>
      <c r="N37" s="2437"/>
      <c r="O37" s="2437"/>
      <c r="P37" s="3516"/>
      <c r="Q37" s="529" t="str">
        <f t="shared" si="11"/>
        <v>市政基础设施</v>
      </c>
      <c r="R37" s="663" t="s">
        <v>14</v>
      </c>
      <c r="S37" s="664">
        <f t="shared" si="12"/>
        <v>100</v>
      </c>
      <c r="T37" s="663" t="s">
        <v>14</v>
      </c>
      <c r="U37" s="664">
        <f t="shared" si="13"/>
        <v>100</v>
      </c>
      <c r="V37" s="663" t="s">
        <v>14</v>
      </c>
      <c r="W37" s="664">
        <f t="shared" si="14"/>
        <v>100</v>
      </c>
      <c r="X37" s="665"/>
      <c r="Y37" s="3456"/>
      <c r="Z37" s="50" t="str">
        <f t="shared" si="15"/>
        <v>市政基础设施</v>
      </c>
      <c r="AA37" s="50">
        <f t="shared" si="3"/>
        <v>1</v>
      </c>
      <c r="AB37" s="50">
        <f t="shared" si="4"/>
        <v>1</v>
      </c>
      <c r="AC37" s="50">
        <f t="shared" si="5"/>
        <v>1</v>
      </c>
    </row>
    <row r="38" spans="1:29" ht="15">
      <c r="A38" s="408"/>
      <c r="B38" s="363" t="s">
        <v>1780</v>
      </c>
      <c r="C38" s="1758"/>
      <c r="D38" s="373">
        <v>100</v>
      </c>
      <c r="E38" s="1758"/>
      <c r="F38" s="399">
        <f>SUMIF(114:114,E38,115:115)-SUMIF(114:114,C38,115:115)+100</f>
        <v>100</v>
      </c>
      <c r="G38" s="1758"/>
      <c r="H38" s="373">
        <f>SUMIF(114:114,G38,115:115)-SUMIF(114:114,C38,115:115)+100</f>
        <v>100</v>
      </c>
      <c r="I38" s="1758"/>
      <c r="J38" s="373">
        <f>SUMIF(114:114,I38,115:115)-SUMIF(114:114,C38,115:115)+100</f>
        <v>100</v>
      </c>
      <c r="K38" s="537"/>
      <c r="L38" s="2490"/>
      <c r="M38" s="2485"/>
      <c r="N38" s="2485"/>
      <c r="O38" s="2485"/>
      <c r="P38" s="3516" t="s">
        <v>1688</v>
      </c>
      <c r="Q38" s="1261" t="str">
        <f t="shared" si="11"/>
        <v>业态</v>
      </c>
      <c r="R38" s="666" t="s">
        <v>14</v>
      </c>
      <c r="S38" s="667">
        <f t="shared" si="12"/>
        <v>100</v>
      </c>
      <c r="T38" s="666" t="s">
        <v>14</v>
      </c>
      <c r="U38" s="667">
        <f t="shared" si="13"/>
        <v>100</v>
      </c>
      <c r="V38" s="666" t="s">
        <v>14</v>
      </c>
      <c r="W38" s="667">
        <f t="shared" si="14"/>
        <v>100</v>
      </c>
      <c r="X38" s="1263"/>
      <c r="Y38" s="3456" t="s">
        <v>1688</v>
      </c>
      <c r="Z38" s="1262" t="str">
        <f t="shared" si="15"/>
        <v>业态</v>
      </c>
      <c r="AA38" s="1262">
        <f t="shared" si="3"/>
        <v>1</v>
      </c>
      <c r="AB38" s="1262">
        <f t="shared" si="4"/>
        <v>1</v>
      </c>
      <c r="AC38" s="1262">
        <f t="shared" si="5"/>
        <v>1</v>
      </c>
    </row>
    <row r="39" spans="1:29" ht="15">
      <c r="A39" s="408"/>
      <c r="B39" s="363" t="s">
        <v>1781</v>
      </c>
      <c r="C39" s="1758"/>
      <c r="D39" s="373">
        <v>100</v>
      </c>
      <c r="E39" s="1758"/>
      <c r="F39" s="399">
        <f>SUMIF(116:116,E39,117:117)-SUMIF(116:116,C39,117:117)+100</f>
        <v>100</v>
      </c>
      <c r="G39" s="1758"/>
      <c r="H39" s="373">
        <f>SUMIF(116:116,G39,117:117)-SUMIF(116:116,C39,117:117)+100</f>
        <v>100</v>
      </c>
      <c r="I39" s="1758"/>
      <c r="J39" s="373">
        <f>SUMIF(116:116,I39,117:117)-SUMIF(116:116,C39,117:117)+100</f>
        <v>100</v>
      </c>
      <c r="K39" s="537"/>
      <c r="L39" s="2490"/>
      <c r="M39" s="2485"/>
      <c r="N39" s="2485"/>
      <c r="O39" s="2485"/>
      <c r="P39" s="3516"/>
      <c r="Q39" s="1261" t="str">
        <f t="shared" si="11"/>
        <v>层高</v>
      </c>
      <c r="R39" s="666" t="s">
        <v>14</v>
      </c>
      <c r="S39" s="667">
        <f t="shared" si="12"/>
        <v>100</v>
      </c>
      <c r="T39" s="666" t="s">
        <v>14</v>
      </c>
      <c r="U39" s="667">
        <f t="shared" si="13"/>
        <v>100</v>
      </c>
      <c r="V39" s="666" t="s">
        <v>14</v>
      </c>
      <c r="W39" s="667">
        <f t="shared" si="14"/>
        <v>100</v>
      </c>
      <c r="X39" s="1263"/>
      <c r="Y39" s="3456"/>
      <c r="Z39" s="1262" t="str">
        <f t="shared" si="15"/>
        <v>层高</v>
      </c>
      <c r="AA39" s="1262">
        <f t="shared" si="3"/>
        <v>1</v>
      </c>
      <c r="AB39" s="1262">
        <f t="shared" si="4"/>
        <v>1</v>
      </c>
      <c r="AC39" s="1262">
        <f t="shared" si="5"/>
        <v>1</v>
      </c>
    </row>
    <row r="40" spans="1:29" ht="15">
      <c r="A40" s="408"/>
      <c r="B40" s="363" t="s">
        <v>1782</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516"/>
      <c r="Q40" s="1261" t="str">
        <f t="shared" si="11"/>
        <v>单套建筑面积</v>
      </c>
      <c r="R40" s="666" t="s">
        <v>14</v>
      </c>
      <c r="S40" s="667">
        <f t="shared" si="12"/>
        <v>100</v>
      </c>
      <c r="T40" s="666" t="s">
        <v>14</v>
      </c>
      <c r="U40" s="667">
        <f t="shared" si="13"/>
        <v>100</v>
      </c>
      <c r="V40" s="666" t="s">
        <v>14</v>
      </c>
      <c r="W40" s="667">
        <f t="shared" si="14"/>
        <v>100</v>
      </c>
      <c r="X40" s="1263"/>
      <c r="Y40" s="3456"/>
      <c r="Z40" s="1262" t="str">
        <f t="shared" si="15"/>
        <v>单套建筑面积</v>
      </c>
      <c r="AA40" s="1262">
        <f t="shared" si="3"/>
        <v>1</v>
      </c>
      <c r="AB40" s="1262">
        <f t="shared" si="4"/>
        <v>1</v>
      </c>
      <c r="AC40" s="1262">
        <f t="shared" si="5"/>
        <v>1</v>
      </c>
    </row>
    <row r="41" spans="1:29" s="407" customFormat="1" ht="15">
      <c r="A41" s="405"/>
      <c r="B41" s="399" t="s">
        <v>1783</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516"/>
      <c r="Q41" s="530" t="str">
        <f t="shared" si="11"/>
        <v>进深比</v>
      </c>
      <c r="R41" s="668" t="s">
        <v>14</v>
      </c>
      <c r="S41" s="669">
        <f t="shared" si="12"/>
        <v>100</v>
      </c>
      <c r="T41" s="668" t="s">
        <v>14</v>
      </c>
      <c r="U41" s="669">
        <f t="shared" si="13"/>
        <v>100</v>
      </c>
      <c r="V41" s="668" t="s">
        <v>14</v>
      </c>
      <c r="W41" s="669">
        <f t="shared" si="14"/>
        <v>100</v>
      </c>
      <c r="X41" s="670"/>
      <c r="Y41" s="3456"/>
      <c r="Z41" s="671" t="str">
        <f t="shared" si="15"/>
        <v>进深比</v>
      </c>
      <c r="AA41" s="1262">
        <f t="shared" si="3"/>
        <v>1</v>
      </c>
      <c r="AB41" s="1262">
        <f t="shared" si="4"/>
        <v>1</v>
      </c>
      <c r="AC41" s="1262">
        <f t="shared" si="5"/>
        <v>1</v>
      </c>
    </row>
    <row r="42" spans="1:29" ht="15">
      <c r="A42" s="408"/>
      <c r="B42" s="363" t="s">
        <v>1784</v>
      </c>
      <c r="C42" s="1758"/>
      <c r="D42" s="373">
        <v>100</v>
      </c>
      <c r="E42" s="1758"/>
      <c r="F42" s="399">
        <f>SUMIF(122:122,E42,123:123)-SUMIF(122:122,C42,123:123)+100</f>
        <v>100</v>
      </c>
      <c r="G42" s="1758"/>
      <c r="H42" s="373">
        <f>SUMIF(122:122,G42,123:123)-SUMIF(122:122,C42,123:123)+100</f>
        <v>100</v>
      </c>
      <c r="I42" s="1758"/>
      <c r="J42" s="373">
        <f>SUMIF(122:122,I42,123:123)-SUMIF(122:122,C42,123:123)+100</f>
        <v>100</v>
      </c>
      <c r="K42" s="537"/>
      <c r="L42" s="2490"/>
      <c r="M42" s="2485"/>
      <c r="N42" s="2485"/>
      <c r="O42" s="2485"/>
      <c r="P42" s="3516"/>
      <c r="Q42" s="1261" t="str">
        <f t="shared" si="11"/>
        <v>内部装修</v>
      </c>
      <c r="R42" s="666" t="s">
        <v>14</v>
      </c>
      <c r="S42" s="667">
        <f t="shared" si="12"/>
        <v>100</v>
      </c>
      <c r="T42" s="666" t="s">
        <v>14</v>
      </c>
      <c r="U42" s="667">
        <f t="shared" si="13"/>
        <v>100</v>
      </c>
      <c r="V42" s="666" t="s">
        <v>14</v>
      </c>
      <c r="W42" s="667">
        <f t="shared" si="14"/>
        <v>100</v>
      </c>
      <c r="X42" s="1263"/>
      <c r="Y42" s="3456"/>
      <c r="Z42" s="1262" t="str">
        <f t="shared" si="15"/>
        <v>内部装修</v>
      </c>
      <c r="AA42" s="1262">
        <f t="shared" si="3"/>
        <v>1</v>
      </c>
      <c r="AB42" s="1262">
        <f t="shared" si="4"/>
        <v>1</v>
      </c>
      <c r="AC42" s="1262">
        <f t="shared" si="5"/>
        <v>1</v>
      </c>
    </row>
    <row r="43" spans="1:29" ht="15">
      <c r="A43" s="408"/>
      <c r="B43" s="363" t="s">
        <v>1699</v>
      </c>
      <c r="C43" s="1758"/>
      <c r="D43" s="373">
        <v>100</v>
      </c>
      <c r="E43" s="1758"/>
      <c r="F43" s="399">
        <f>SUMIF(124:124,E43,125:125)-SUMIF(124:124,C43,125:125)+100</f>
        <v>100</v>
      </c>
      <c r="G43" s="1758"/>
      <c r="H43" s="373">
        <f>SUMIF(124:124,G43,125:125)-SUMIF(124:124,C43,125:125)+100</f>
        <v>100</v>
      </c>
      <c r="I43" s="1758"/>
      <c r="J43" s="373">
        <f>SUMIF(124:124,I43,125:125)-SUMIF(124:124,C43,125:125)+100</f>
        <v>100</v>
      </c>
      <c r="K43" s="537"/>
      <c r="L43" s="2490"/>
      <c r="M43" s="2485"/>
      <c r="N43" s="2485"/>
      <c r="O43" s="2485"/>
      <c r="P43" s="3516"/>
      <c r="Q43" s="1261" t="str">
        <f t="shared" si="11"/>
        <v>内部装修维护情况</v>
      </c>
      <c r="R43" s="666" t="s">
        <v>14</v>
      </c>
      <c r="S43" s="667">
        <f t="shared" si="12"/>
        <v>100</v>
      </c>
      <c r="T43" s="666" t="s">
        <v>14</v>
      </c>
      <c r="U43" s="667">
        <f t="shared" si="13"/>
        <v>100</v>
      </c>
      <c r="V43" s="666" t="s">
        <v>14</v>
      </c>
      <c r="W43" s="667">
        <f t="shared" si="14"/>
        <v>100</v>
      </c>
      <c r="X43" s="1263"/>
      <c r="Y43" s="3456"/>
      <c r="Z43" s="1262" t="str">
        <f t="shared" si="15"/>
        <v>内部装修维护情况</v>
      </c>
      <c r="AA43" s="1262">
        <f t="shared" si="3"/>
        <v>1</v>
      </c>
      <c r="AB43" s="1262">
        <f t="shared" si="4"/>
        <v>1</v>
      </c>
      <c r="AC43" s="1262">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7"/>
      <c r="N44" s="2437"/>
      <c r="O44" s="2437"/>
      <c r="P44" s="3516"/>
      <c r="Q44" s="529">
        <f t="shared" si="11"/>
        <v>111</v>
      </c>
      <c r="R44" s="663" t="s">
        <v>14</v>
      </c>
      <c r="S44" s="664">
        <f t="shared" si="12"/>
        <v>100</v>
      </c>
      <c r="T44" s="663" t="s">
        <v>14</v>
      </c>
      <c r="U44" s="664">
        <f t="shared" si="13"/>
        <v>100</v>
      </c>
      <c r="V44" s="663" t="s">
        <v>14</v>
      </c>
      <c r="W44" s="664">
        <f t="shared" si="14"/>
        <v>100</v>
      </c>
      <c r="X44" s="665"/>
      <c r="Y44" s="3456"/>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516"/>
      <c r="Q45" s="1261">
        <f t="shared" si="11"/>
        <v>111</v>
      </c>
      <c r="R45" s="666" t="s">
        <v>14</v>
      </c>
      <c r="S45" s="667">
        <f t="shared" si="12"/>
        <v>100</v>
      </c>
      <c r="T45" s="666" t="s">
        <v>14</v>
      </c>
      <c r="U45" s="667">
        <f t="shared" si="13"/>
        <v>100</v>
      </c>
      <c r="V45" s="666" t="s">
        <v>14</v>
      </c>
      <c r="W45" s="667">
        <f t="shared" si="14"/>
        <v>100</v>
      </c>
      <c r="X45" s="1263"/>
      <c r="Y45" s="3456"/>
      <c r="Z45" s="1262">
        <f t="shared" si="15"/>
        <v>111</v>
      </c>
      <c r="AA45" s="1262">
        <f t="shared" si="3"/>
        <v>1</v>
      </c>
      <c r="AB45" s="1262">
        <f t="shared" si="4"/>
        <v>1</v>
      </c>
      <c r="AC45" s="1262">
        <f t="shared" si="5"/>
        <v>1</v>
      </c>
    </row>
    <row r="46" spans="1:29" ht="15.75" thickBot="1">
      <c r="A46" s="414"/>
      <c r="B46" s="1747">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517"/>
      <c r="Q46" s="1261">
        <f t="shared" si="11"/>
        <v>111</v>
      </c>
      <c r="R46" s="666" t="s">
        <v>14</v>
      </c>
      <c r="S46" s="667">
        <f t="shared" si="12"/>
        <v>100</v>
      </c>
      <c r="T46" s="666" t="s">
        <v>14</v>
      </c>
      <c r="U46" s="667">
        <f t="shared" si="13"/>
        <v>100</v>
      </c>
      <c r="V46" s="666" t="s">
        <v>14</v>
      </c>
      <c r="W46" s="667">
        <f t="shared" si="14"/>
        <v>100</v>
      </c>
      <c r="X46" s="1263"/>
      <c r="Y46" s="3518"/>
      <c r="Z46" s="1262">
        <f t="shared" si="15"/>
        <v>111</v>
      </c>
      <c r="AA46" s="1262">
        <f t="shared" si="3"/>
        <v>1</v>
      </c>
      <c r="AB46" s="1262">
        <f t="shared" si="4"/>
        <v>1</v>
      </c>
      <c r="AC46" s="1262">
        <f t="shared" si="5"/>
        <v>1</v>
      </c>
    </row>
    <row r="47" spans="1:29" ht="15">
      <c r="A47" s="415" t="s">
        <v>1700</v>
      </c>
      <c r="B47" s="416"/>
      <c r="C47" s="1079" t="s">
        <v>0</v>
      </c>
      <c r="D47" s="417"/>
      <c r="E47" s="418"/>
      <c r="F47" s="419"/>
      <c r="G47" s="420"/>
      <c r="H47" s="421"/>
      <c r="I47" s="418"/>
      <c r="J47" s="421"/>
      <c r="K47" s="673"/>
      <c r="L47" s="2492"/>
      <c r="M47" s="2485"/>
      <c r="N47" s="2485"/>
      <c r="O47" s="2485"/>
      <c r="P47" s="3452" t="str">
        <f>A47</f>
        <v>成交单价（元/平方米）</v>
      </c>
      <c r="Q47" s="3452"/>
      <c r="R47" s="3457">
        <f>E47</f>
        <v>0</v>
      </c>
      <c r="S47" s="3457"/>
      <c r="T47" s="3457">
        <f>G47</f>
        <v>0</v>
      </c>
      <c r="U47" s="3457"/>
      <c r="V47" s="3457">
        <f>I47</f>
        <v>0</v>
      </c>
      <c r="W47" s="3457"/>
      <c r="X47" s="384"/>
      <c r="Y47" s="672"/>
      <c r="Z47" s="384"/>
      <c r="AA47" s="384"/>
      <c r="AB47" s="384"/>
      <c r="AC47" s="384"/>
    </row>
    <row r="48" spans="1:29" ht="15.75" thickBot="1">
      <c r="A48" s="422" t="s">
        <v>1785</v>
      </c>
      <c r="B48" s="423"/>
      <c r="C48" s="1080" t="e">
        <f>R49</f>
        <v>#DIV/0!</v>
      </c>
      <c r="D48" s="2139" t="s">
        <v>2128</v>
      </c>
      <c r="E48" s="1081" t="e">
        <f>R48</f>
        <v>#DIV/0!</v>
      </c>
      <c r="F48" s="2140"/>
      <c r="G48" s="1080" t="e">
        <f>T48</f>
        <v>#DIV/0!</v>
      </c>
      <c r="H48" s="2140"/>
      <c r="I48" s="1081" t="e">
        <f>V48</f>
        <v>#DIV/0!</v>
      </c>
      <c r="J48" s="2140"/>
      <c r="K48" s="2142">
        <f>F48+H48+J48</f>
        <v>0</v>
      </c>
      <c r="L48" s="2492"/>
      <c r="M48" s="2485"/>
      <c r="N48" s="2485"/>
      <c r="O48" s="2485"/>
      <c r="P48" s="3452" t="str">
        <f>A48</f>
        <v>比较价值（元/平方米）</v>
      </c>
      <c r="Q48" s="3452"/>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384"/>
      <c r="Y48" s="384"/>
      <c r="Z48" s="384"/>
      <c r="AA48" s="384"/>
      <c r="AB48" s="384"/>
      <c r="AC48" s="384"/>
    </row>
    <row r="49" spans="1:29" ht="15.75" thickBot="1">
      <c r="A49" s="426" t="s">
        <v>1786</v>
      </c>
      <c r="B49" s="427"/>
      <c r="C49" s="350" t="e">
        <f>R49</f>
        <v>#DIV/0!</v>
      </c>
      <c r="D49" s="350"/>
      <c r="E49" s="350"/>
      <c r="F49" s="350"/>
      <c r="G49" s="350"/>
      <c r="H49" s="350"/>
      <c r="I49" s="350"/>
      <c r="J49" s="350"/>
      <c r="K49" s="674"/>
      <c r="L49" s="2492"/>
      <c r="M49" s="2485"/>
      <c r="N49" s="2485"/>
      <c r="O49" s="2485"/>
      <c r="P49" s="3446" t="str">
        <f>A49</f>
        <v>估价对象XX用房的比较价值（楼面单价，元/平方米）</v>
      </c>
      <c r="Q49" s="3447"/>
      <c r="R49" s="3514" t="e">
        <f>IF(F1="售价",ROUND(IF(D48="简单平均",AVERAGE(R48:V48),R48*F48+T48*H48+V48*J48),0),ROUND(IF(D48="简单平均",AVERAGE(R48:V48),R48*F48+T48*H48+V48*J48),1))</f>
        <v>#DIV/0!</v>
      </c>
      <c r="S49" s="3514"/>
      <c r="T49" s="3514"/>
      <c r="U49" s="3514"/>
      <c r="V49" s="3514"/>
      <c r="W49" s="3514"/>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1787</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1788</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1789</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7" t="s">
        <v>1790</v>
      </c>
      <c r="B57" s="384"/>
      <c r="C57" s="658"/>
      <c r="D57" s="658"/>
      <c r="E57" s="658"/>
      <c r="F57" s="659"/>
      <c r="G57" s="659"/>
      <c r="H57" s="658"/>
      <c r="I57" s="658"/>
      <c r="J57" s="658"/>
      <c r="K57" s="660"/>
      <c r="L57" s="886"/>
      <c r="M57" s="884"/>
      <c r="N57" s="884"/>
      <c r="O57" s="884"/>
      <c r="P57" s="2505"/>
      <c r="Q57" s="2506"/>
      <c r="R57" s="2485"/>
      <c r="S57" s="2485"/>
      <c r="T57" s="2485"/>
      <c r="U57" s="2485"/>
      <c r="V57" s="2485"/>
      <c r="W57" s="2485"/>
      <c r="X57" s="2485"/>
      <c r="Y57" s="2485"/>
      <c r="Z57" s="2485"/>
      <c r="AA57" s="2485"/>
      <c r="AB57" s="2485"/>
      <c r="AC57" s="2485"/>
    </row>
    <row r="58" spans="1:29" s="441" customFormat="1" ht="15">
      <c r="A58" s="439" t="s">
        <v>1671</v>
      </c>
      <c r="B58" s="440"/>
      <c r="C58" s="1101" t="str">
        <f>YEAR(C7)&amp;"-"&amp;MONTH(C7)</f>
        <v>2025-2</v>
      </c>
      <c r="D58" s="1102">
        <f>EDATE(C58,-1)</f>
        <v>45658</v>
      </c>
      <c r="E58" s="1102">
        <f t="shared" ref="E58:N58" si="16">EDATE(D58,-1)</f>
        <v>45627</v>
      </c>
      <c r="F58" s="1102">
        <f t="shared" si="16"/>
        <v>45597</v>
      </c>
      <c r="G58" s="1102">
        <f t="shared" si="16"/>
        <v>45566</v>
      </c>
      <c r="H58" s="1102">
        <f t="shared" si="16"/>
        <v>45536</v>
      </c>
      <c r="I58" s="1102">
        <f t="shared" si="16"/>
        <v>45505</v>
      </c>
      <c r="J58" s="1102">
        <f t="shared" si="16"/>
        <v>45474</v>
      </c>
      <c r="K58" s="1102">
        <f t="shared" si="16"/>
        <v>45444</v>
      </c>
      <c r="L58" s="1102">
        <f t="shared" si="16"/>
        <v>45413</v>
      </c>
      <c r="M58" s="1102">
        <f t="shared" si="16"/>
        <v>45383</v>
      </c>
      <c r="N58" s="1102">
        <f t="shared" si="16"/>
        <v>45352</v>
      </c>
      <c r="O58" s="1102">
        <f>EDATE(N58,-1)</f>
        <v>45323</v>
      </c>
      <c r="P58" s="2507"/>
      <c r="Q58" s="2508"/>
      <c r="R58" s="2508"/>
      <c r="S58" s="2508"/>
      <c r="T58" s="2508"/>
      <c r="U58" s="2508"/>
      <c r="V58" s="2508"/>
      <c r="W58" s="2508"/>
      <c r="X58" s="2508"/>
      <c r="Y58" s="2508"/>
      <c r="Z58" s="2508"/>
      <c r="AA58" s="2508"/>
      <c r="AB58" s="2508"/>
      <c r="AC58" s="2508"/>
    </row>
    <row r="59" spans="1:29" s="101" customFormat="1" ht="15">
      <c r="A59" s="442"/>
      <c r="B59" s="443"/>
      <c r="C59" s="1100">
        <v>100</v>
      </c>
      <c r="D59" s="445"/>
      <c r="E59" s="445"/>
      <c r="F59" s="445"/>
      <c r="G59" s="445"/>
      <c r="H59" s="445"/>
      <c r="I59" s="445"/>
      <c r="J59" s="445"/>
      <c r="K59" s="445"/>
      <c r="L59" s="445"/>
      <c r="M59" s="446"/>
      <c r="N59" s="445"/>
      <c r="O59" s="446"/>
      <c r="P59" s="2509"/>
      <c r="Q59" s="2437"/>
      <c r="R59" s="2437"/>
      <c r="S59" s="2437"/>
      <c r="T59" s="2437"/>
      <c r="U59" s="2437"/>
      <c r="V59" s="2437"/>
      <c r="W59" s="2437"/>
      <c r="X59" s="2437"/>
      <c r="Y59" s="2437"/>
      <c r="Z59" s="2437"/>
      <c r="AA59" s="2437"/>
      <c r="AB59" s="2437"/>
      <c r="AC59" s="2437"/>
    </row>
    <row r="60" spans="1:29" s="101" customFormat="1" ht="15.75" thickBot="1">
      <c r="A60" s="448" t="s">
        <v>1708</v>
      </c>
      <c r="B60" s="449"/>
      <c r="C60" s="450"/>
      <c r="D60" s="451"/>
      <c r="E60" s="451"/>
      <c r="F60" s="451"/>
      <c r="G60" s="451"/>
      <c r="H60" s="451"/>
      <c r="I60" s="451"/>
      <c r="J60" s="451"/>
      <c r="K60" s="451"/>
      <c r="L60" s="451"/>
      <c r="M60" s="452"/>
      <c r="N60" s="451"/>
      <c r="O60" s="452"/>
      <c r="P60" s="2509"/>
      <c r="Q60" s="2506"/>
      <c r="R60" s="2437"/>
      <c r="S60" s="2437"/>
      <c r="T60" s="2437"/>
      <c r="U60" s="2437"/>
      <c r="V60" s="2437"/>
      <c r="W60" s="2437"/>
      <c r="X60" s="2437"/>
      <c r="Y60" s="2437"/>
      <c r="Z60" s="2437"/>
      <c r="AA60" s="2437"/>
      <c r="AB60" s="2437"/>
      <c r="AC60" s="2437"/>
    </row>
    <row r="61" spans="1:29" s="101" customFormat="1" ht="15">
      <c r="A61" s="454" t="s">
        <v>1673</v>
      </c>
      <c r="B61" s="443"/>
      <c r="C61" s="455" t="s">
        <v>1768</v>
      </c>
      <c r="D61" s="31"/>
      <c r="E61" s="31"/>
      <c r="F61" s="31"/>
      <c r="G61" s="31"/>
      <c r="H61" s="31"/>
      <c r="I61" s="31"/>
      <c r="J61" s="31"/>
      <c r="K61" s="31"/>
      <c r="L61" s="456"/>
      <c r="M61" s="457"/>
      <c r="N61" s="2518"/>
      <c r="O61" s="2518"/>
      <c r="P61" s="2510"/>
      <c r="Q61" s="2506"/>
      <c r="R61" s="2437"/>
      <c r="S61" s="2437"/>
      <c r="T61" s="2437"/>
      <c r="U61" s="2437"/>
      <c r="V61" s="2437"/>
      <c r="W61" s="2437"/>
      <c r="X61" s="2437"/>
      <c r="Y61" s="2437"/>
      <c r="Z61" s="2437"/>
      <c r="AA61" s="2437"/>
      <c r="AB61" s="2437"/>
      <c r="AC61" s="2437"/>
    </row>
    <row r="62" spans="1:29" s="101" customFormat="1" ht="15.75" thickBot="1">
      <c r="A62" s="454"/>
      <c r="B62" s="443"/>
      <c r="C62" s="444">
        <v>100</v>
      </c>
      <c r="D62" s="445"/>
      <c r="E62" s="445"/>
      <c r="F62" s="445"/>
      <c r="G62" s="445"/>
      <c r="H62" s="445"/>
      <c r="I62" s="445"/>
      <c r="J62" s="445"/>
      <c r="K62" s="445"/>
      <c r="L62" s="445"/>
      <c r="M62" s="447"/>
      <c r="N62" s="2518"/>
      <c r="O62" s="2518"/>
      <c r="P62" s="2509"/>
      <c r="Q62" s="2506"/>
      <c r="R62" s="2437"/>
      <c r="S62" s="2437"/>
      <c r="T62" s="2437"/>
      <c r="U62" s="2437"/>
      <c r="V62" s="2437"/>
      <c r="W62" s="2437"/>
      <c r="X62" s="2437"/>
      <c r="Y62" s="2437"/>
      <c r="Z62" s="2437"/>
      <c r="AA62" s="2437"/>
      <c r="AB62" s="2437"/>
      <c r="AC62" s="2437"/>
    </row>
    <row r="63" spans="1:29">
      <c r="A63" s="378" t="s">
        <v>1711</v>
      </c>
      <c r="B63" s="459" t="s">
        <v>1677</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5.75"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7.75" thickTop="1">
      <c r="A65" s="366"/>
      <c r="B65" s="468" t="s">
        <v>1680</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5.75"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75" thickTop="1">
      <c r="A67" s="366"/>
      <c r="B67" s="476" t="s">
        <v>1681</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5.75"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5.75"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5.75"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5.75"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5.75"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5.75"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c r="A76" s="378" t="s">
        <v>1682</v>
      </c>
      <c r="B76" s="459" t="s">
        <v>1712</v>
      </c>
      <c r="C76" s="503" t="s">
        <v>1713</v>
      </c>
      <c r="D76" s="503" t="s">
        <v>1714</v>
      </c>
      <c r="E76" s="503" t="s">
        <v>1715</v>
      </c>
      <c r="F76" s="503" t="s">
        <v>1716</v>
      </c>
      <c r="G76" s="503" t="s">
        <v>1717</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75" thickTop="1">
      <c r="A78" s="366"/>
      <c r="B78" s="468" t="s">
        <v>1718</v>
      </c>
      <c r="C78" s="508" t="s">
        <v>1713</v>
      </c>
      <c r="D78" s="508" t="s">
        <v>1714</v>
      </c>
      <c r="E78" s="508" t="s">
        <v>1715</v>
      </c>
      <c r="F78" s="508" t="s">
        <v>1716</v>
      </c>
      <c r="G78" s="508" t="s">
        <v>1717</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75" thickTop="1">
      <c r="A80" s="366"/>
      <c r="B80" s="468" t="s">
        <v>1719</v>
      </c>
      <c r="C80" s="508" t="s">
        <v>1713</v>
      </c>
      <c r="D80" s="508" t="s">
        <v>1714</v>
      </c>
      <c r="E80" s="508" t="s">
        <v>1715</v>
      </c>
      <c r="F80" s="508" t="s">
        <v>1716</v>
      </c>
      <c r="G80" s="508" t="s">
        <v>1717</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75" thickTop="1">
      <c r="A82" s="366"/>
      <c r="B82" s="476" t="s">
        <v>1771</v>
      </c>
      <c r="C82" s="580" t="s">
        <v>1791</v>
      </c>
      <c r="D82" s="580" t="s">
        <v>1792</v>
      </c>
      <c r="E82" s="580" t="s">
        <v>1793</v>
      </c>
      <c r="F82" s="580" t="s">
        <v>1794</v>
      </c>
      <c r="G82" s="580" t="s">
        <v>1795</v>
      </c>
      <c r="H82" s="469"/>
      <c r="I82" s="469"/>
      <c r="J82" s="469"/>
      <c r="K82" s="469"/>
      <c r="L82" s="469"/>
      <c r="M82" s="1061"/>
      <c r="N82" s="2520"/>
      <c r="O82" s="2520"/>
      <c r="P82" s="2511"/>
      <c r="Q82" s="2506"/>
      <c r="R82" s="2485"/>
      <c r="S82" s="2485"/>
      <c r="T82" s="2485"/>
      <c r="U82" s="2485"/>
      <c r="V82" s="2485"/>
      <c r="W82" s="2485"/>
      <c r="X82" s="2485"/>
      <c r="Y82" s="2485"/>
      <c r="Z82" s="2485"/>
      <c r="AA82" s="2485"/>
      <c r="AB82" s="2485"/>
      <c r="AC82" s="2485"/>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75" thickTop="1">
      <c r="A84" s="366"/>
      <c r="B84" s="468" t="s">
        <v>1725</v>
      </c>
      <c r="C84" s="508" t="s">
        <v>1713</v>
      </c>
      <c r="D84" s="508" t="s">
        <v>1714</v>
      </c>
      <c r="E84" s="508" t="s">
        <v>1715</v>
      </c>
      <c r="F84" s="508" t="s">
        <v>1716</v>
      </c>
      <c r="G84" s="508" t="s">
        <v>1717</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75" thickTop="1">
      <c r="A86" s="369"/>
      <c r="B86" s="468" t="s">
        <v>1796</v>
      </c>
      <c r="C86" s="484"/>
      <c r="D86" s="484"/>
      <c r="E86" s="484"/>
      <c r="F86" s="484"/>
      <c r="G86" s="484"/>
      <c r="H86" s="484"/>
      <c r="I86" s="484"/>
      <c r="J86" s="484"/>
      <c r="K86" s="484"/>
      <c r="L86" s="509"/>
      <c r="M86" s="510"/>
      <c r="N86" s="2518"/>
      <c r="O86" s="2518"/>
      <c r="P86" s="2511"/>
      <c r="Q86" s="2506"/>
      <c r="R86" s="2437"/>
      <c r="S86" s="2437"/>
      <c r="T86" s="2437"/>
      <c r="U86" s="2437"/>
      <c r="V86" s="2437"/>
      <c r="W86" s="2437"/>
      <c r="X86" s="2437"/>
      <c r="Y86" s="2437"/>
      <c r="Z86" s="2437"/>
      <c r="AA86" s="2437"/>
      <c r="AB86" s="2437"/>
      <c r="AC86" s="2437"/>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7"/>
      <c r="S87" s="2437"/>
      <c r="T87" s="2437"/>
      <c r="U87" s="2437"/>
      <c r="V87" s="2437"/>
      <c r="W87" s="2437"/>
      <c r="X87" s="2437"/>
      <c r="Y87" s="2437"/>
      <c r="Z87" s="2437"/>
      <c r="AA87" s="2437"/>
      <c r="AB87" s="2437"/>
      <c r="AC87" s="2437"/>
    </row>
    <row r="88" spans="1:29" s="101" customFormat="1" ht="15.75" thickTop="1">
      <c r="A88" s="369"/>
      <c r="B88" s="468" t="str">
        <f>B26</f>
        <v>平面位置/可视性</v>
      </c>
      <c r="C88" s="484"/>
      <c r="D88" s="484"/>
      <c r="E88" s="484"/>
      <c r="F88" s="1778"/>
      <c r="G88" s="484"/>
      <c r="H88" s="484"/>
      <c r="I88" s="484"/>
      <c r="J88" s="484"/>
      <c r="K88" s="484"/>
      <c r="L88" s="484"/>
      <c r="M88" s="510"/>
      <c r="N88" s="2518"/>
      <c r="O88" s="2518"/>
      <c r="P88" s="2511"/>
      <c r="Q88" s="2506"/>
      <c r="R88" s="2437"/>
      <c r="S88" s="2437"/>
      <c r="T88" s="2437"/>
      <c r="U88" s="2437"/>
      <c r="V88" s="2437"/>
      <c r="W88" s="2437"/>
      <c r="X88" s="2437"/>
      <c r="Y88" s="2437"/>
      <c r="Z88" s="2437"/>
      <c r="AA88" s="2437"/>
      <c r="AB88" s="2437"/>
      <c r="AC88" s="2437"/>
    </row>
    <row r="89" spans="1:29" s="101" customFormat="1" ht="15.75" thickBot="1">
      <c r="A89" s="369"/>
      <c r="B89" s="473"/>
      <c r="C89" s="490"/>
      <c r="D89" s="466"/>
      <c r="E89" s="466"/>
      <c r="F89" s="466"/>
      <c r="G89" s="466"/>
      <c r="H89" s="466"/>
      <c r="I89" s="466"/>
      <c r="J89" s="466"/>
      <c r="K89" s="466"/>
      <c r="L89" s="466"/>
      <c r="M89" s="466"/>
      <c r="N89" s="2520"/>
      <c r="O89" s="2520"/>
      <c r="P89" s="2511"/>
      <c r="Q89" s="2506"/>
      <c r="R89" s="2437"/>
      <c r="S89" s="2437"/>
      <c r="T89" s="2437"/>
      <c r="U89" s="2437"/>
      <c r="V89" s="2437"/>
      <c r="W89" s="2437"/>
      <c r="X89" s="2437"/>
      <c r="Y89" s="2437"/>
      <c r="Z89" s="2437"/>
      <c r="AA89" s="2437"/>
      <c r="AB89" s="2437"/>
      <c r="AC89" s="2437"/>
    </row>
    <row r="90" spans="1:29" s="407" customFormat="1" ht="15.75"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5.75"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5.75"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5.75"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5.75"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5.75"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5.75"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5.75"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c r="A100" s="378" t="s">
        <v>1686</v>
      </c>
      <c r="B100" s="459" t="s">
        <v>1797</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6"/>
      <c r="B102" s="468" t="s">
        <v>1729</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5.75"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1730</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1732</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1184</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1734</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1798</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1799</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1800</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5.75"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1801</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1736</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8"/>
      <c r="B124" s="468" t="s">
        <v>1737</v>
      </c>
      <c r="C124" s="508" t="s">
        <v>1713</v>
      </c>
      <c r="D124" s="508" t="s">
        <v>1714</v>
      </c>
      <c r="E124" s="508" t="s">
        <v>1715</v>
      </c>
      <c r="F124" s="508" t="s">
        <v>1716</v>
      </c>
      <c r="G124" s="508" t="s">
        <v>1717</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5"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5.75"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5"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5.75"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5"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5.75"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1652</v>
      </c>
      <c r="B1" s="1806" t="s">
        <v>1802</v>
      </c>
      <c r="C1" s="1139" t="s">
        <v>1654</v>
      </c>
      <c r="D1" s="1140"/>
      <c r="E1" s="3128"/>
      <c r="F1" s="1733"/>
      <c r="G1" s="1150" t="s">
        <v>1759</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1454</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1455</v>
      </c>
      <c r="F2" s="1737"/>
      <c r="G2" s="853"/>
      <c r="H2" s="853"/>
      <c r="I2" s="853"/>
      <c r="J2" s="853"/>
      <c r="K2" s="853"/>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1456</v>
      </c>
      <c r="B3" s="535">
        <f>IF(C2="——",C50,ROUND(B2*10000/D3,0))</f>
        <v>0</v>
      </c>
      <c r="C3" s="343" t="s">
        <v>1760</v>
      </c>
      <c r="D3" s="342">
        <f>IF(D1="",'数据-汇总表'!E3,SUMIF('数据-汇总表'!$C19:$C33,D1,'数据-汇总表'!$E19:$E33))</f>
        <v>23997.3</v>
      </c>
      <c r="E3" s="1803"/>
      <c r="F3" s="854"/>
      <c r="G3" s="853"/>
      <c r="H3" s="853"/>
      <c r="I3" s="853"/>
      <c r="J3" s="853"/>
      <c r="K3" s="855"/>
      <c r="L3" s="2501"/>
      <c r="M3" s="2502"/>
      <c r="N3" s="2502"/>
      <c r="O3" s="2502"/>
      <c r="P3" s="340"/>
      <c r="Q3" s="340"/>
      <c r="R3" s="340"/>
      <c r="S3" s="340"/>
      <c r="T3" s="340"/>
      <c r="U3" s="340"/>
      <c r="V3" s="340"/>
      <c r="W3" s="340"/>
      <c r="X3" s="340"/>
      <c r="Y3" s="340"/>
      <c r="Z3" s="340"/>
      <c r="AA3" s="340"/>
      <c r="AB3" s="340"/>
      <c r="AC3" s="662"/>
    </row>
    <row r="4" spans="1:29" ht="15">
      <c r="A4" s="344" t="s">
        <v>1761</v>
      </c>
      <c r="B4" s="345"/>
      <c r="C4" s="3449" t="s">
        <v>1762</v>
      </c>
      <c r="D4" s="3461"/>
      <c r="E4" s="3462" t="s">
        <v>1763</v>
      </c>
      <c r="F4" s="3463"/>
      <c r="G4" s="3449" t="s">
        <v>1764</v>
      </c>
      <c r="H4" s="3461"/>
      <c r="I4" s="3449" t="s">
        <v>1765</v>
      </c>
      <c r="J4" s="3461"/>
      <c r="K4" s="536" t="s">
        <v>1766</v>
      </c>
      <c r="L4" s="2484"/>
      <c r="M4" s="2485"/>
      <c r="N4" s="2485"/>
      <c r="O4" s="2485"/>
      <c r="P4" s="3527" t="s">
        <v>1767</v>
      </c>
      <c r="Q4" s="3528"/>
      <c r="R4" s="3531" t="s">
        <v>1763</v>
      </c>
      <c r="S4" s="3532"/>
      <c r="T4" s="3531" t="s">
        <v>1764</v>
      </c>
      <c r="U4" s="3532"/>
      <c r="V4" s="3533" t="s">
        <v>1765</v>
      </c>
      <c r="W4" s="3533"/>
      <c r="X4" s="1807"/>
      <c r="Y4" s="3531" t="s">
        <v>1767</v>
      </c>
      <c r="Z4" s="3532"/>
      <c r="AA4" s="3535" t="s">
        <v>1763</v>
      </c>
      <c r="AB4" s="3535" t="s">
        <v>1764</v>
      </c>
      <c r="AC4" s="3524" t="s">
        <v>1765</v>
      </c>
    </row>
    <row r="5" spans="1:29" ht="15">
      <c r="A5" s="347"/>
      <c r="B5" s="348"/>
      <c r="C5" s="3478" t="s">
        <v>1665</v>
      </c>
      <c r="D5" s="3479"/>
      <c r="E5" s="3485" t="s">
        <v>1666</v>
      </c>
      <c r="F5" s="3486"/>
      <c r="G5" s="3478" t="s">
        <v>1667</v>
      </c>
      <c r="H5" s="3479"/>
      <c r="I5" s="3478" t="s">
        <v>1668</v>
      </c>
      <c r="J5" s="3479"/>
      <c r="K5" s="536"/>
      <c r="L5" s="2484"/>
      <c r="M5" s="2485"/>
      <c r="N5" s="2485"/>
      <c r="O5" s="2485"/>
      <c r="P5" s="3529"/>
      <c r="Q5" s="3467"/>
      <c r="R5" s="3472"/>
      <c r="S5" s="3473"/>
      <c r="T5" s="3472"/>
      <c r="U5" s="3473"/>
      <c r="V5" s="3457"/>
      <c r="W5" s="3457"/>
      <c r="X5" s="1263"/>
      <c r="Y5" s="3472"/>
      <c r="Z5" s="3473"/>
      <c r="AA5" s="3459"/>
      <c r="AB5" s="3459"/>
      <c r="AC5" s="3525"/>
    </row>
    <row r="6" spans="1:29" ht="15.75" thickBot="1">
      <c r="A6" s="349"/>
      <c r="B6" s="350"/>
      <c r="C6" s="3476" t="s">
        <v>1669</v>
      </c>
      <c r="D6" s="3477"/>
      <c r="E6" s="3483" t="s">
        <v>1669</v>
      </c>
      <c r="F6" s="3484"/>
      <c r="G6" s="3476" t="s">
        <v>1669</v>
      </c>
      <c r="H6" s="3477"/>
      <c r="I6" s="3476" t="s">
        <v>1669</v>
      </c>
      <c r="J6" s="3477"/>
      <c r="K6" s="536" t="s">
        <v>1670</v>
      </c>
      <c r="L6" s="2484"/>
      <c r="M6" s="2485"/>
      <c r="N6" s="2485"/>
      <c r="O6" s="2485"/>
      <c r="P6" s="3530"/>
      <c r="Q6" s="3469"/>
      <c r="R6" s="3472"/>
      <c r="S6" s="3473"/>
      <c r="T6" s="3474"/>
      <c r="U6" s="3475"/>
      <c r="V6" s="3457"/>
      <c r="W6" s="3457"/>
      <c r="X6" s="1263"/>
      <c r="Y6" s="3474"/>
      <c r="Z6" s="3475"/>
      <c r="AA6" s="3460"/>
      <c r="AB6" s="3460"/>
      <c r="AC6" s="3526"/>
    </row>
    <row r="7" spans="1:29" s="101" customFormat="1" ht="15.75" thickBot="1">
      <c r="A7" s="351" t="s">
        <v>1671</v>
      </c>
      <c r="B7" s="352"/>
      <c r="C7" s="353">
        <f>'数据-取费表'!B2</f>
        <v>45709</v>
      </c>
      <c r="D7" s="354">
        <v>100</v>
      </c>
      <c r="E7" s="355"/>
      <c r="F7" s="356">
        <f>SUMIF(59:59,YEAR(E7)&amp;"-"&amp;MONTH(E7),60:60)</f>
        <v>0</v>
      </c>
      <c r="G7" s="355"/>
      <c r="H7" s="354">
        <f>SUMIF(59:59,YEAR(G7)&amp;"-"&amp;MONTH(G7),60:60)</f>
        <v>0</v>
      </c>
      <c r="I7" s="355"/>
      <c r="J7" s="354">
        <f>SUMIF(59:59,YEAR(I7)&amp;"-"&amp;MONTH(I7),60:60)</f>
        <v>0</v>
      </c>
      <c r="K7" s="38"/>
      <c r="L7" s="2486"/>
      <c r="M7" s="2437"/>
      <c r="N7" s="2437"/>
      <c r="O7" s="2437"/>
      <c r="P7" s="3534" t="s">
        <v>1672</v>
      </c>
      <c r="Q7" s="3482"/>
      <c r="R7" s="663" t="s">
        <v>14</v>
      </c>
      <c r="S7" s="664">
        <f t="shared" ref="S7:S15" si="0">F7</f>
        <v>0</v>
      </c>
      <c r="T7" s="663" t="s">
        <v>14</v>
      </c>
      <c r="U7" s="664">
        <f t="shared" ref="U7:U15" si="1">H7</f>
        <v>0</v>
      </c>
      <c r="V7" s="663" t="s">
        <v>14</v>
      </c>
      <c r="W7" s="664">
        <f t="shared" ref="W7:W15" si="2">J7</f>
        <v>0</v>
      </c>
      <c r="X7" s="665"/>
      <c r="Y7" s="3480" t="s">
        <v>1672</v>
      </c>
      <c r="Z7" s="3481"/>
      <c r="AA7" s="50" t="e">
        <f>D7/F7</f>
        <v>#DIV/0!</v>
      </c>
      <c r="AB7" s="50" t="e">
        <f>D7/H7</f>
        <v>#DIV/0!</v>
      </c>
      <c r="AC7" s="800" t="e">
        <f>D7/J7</f>
        <v>#DIV/0!</v>
      </c>
    </row>
    <row r="8" spans="1:29" s="101" customFormat="1" ht="15.75" thickBot="1">
      <c r="A8" s="351" t="s">
        <v>1673</v>
      </c>
      <c r="B8" s="352"/>
      <c r="C8" s="357"/>
      <c r="D8" s="354">
        <v>100</v>
      </c>
      <c r="E8" s="357"/>
      <c r="F8" s="356">
        <f>SUMIF(62:62,E8,63:63)-SUMIF(62:62,C8,63:63)+100</f>
        <v>100</v>
      </c>
      <c r="G8" s="357"/>
      <c r="H8" s="354">
        <f>SUMIF(62:62,G8,63:63)-SUMIF(62:62,C8,63:63)+100</f>
        <v>100</v>
      </c>
      <c r="I8" s="357"/>
      <c r="J8" s="354">
        <f>SUMIF(62:62,I8,63:63)-SUMIF(62:62,C8,63:63)+100</f>
        <v>100</v>
      </c>
      <c r="K8" s="38"/>
      <c r="L8" s="2486"/>
      <c r="M8" s="2437"/>
      <c r="N8" s="2437"/>
      <c r="O8" s="2437"/>
      <c r="P8" s="3534" t="s">
        <v>1675</v>
      </c>
      <c r="Q8" s="3481"/>
      <c r="R8" s="663" t="s">
        <v>14</v>
      </c>
      <c r="S8" s="664">
        <f t="shared" si="0"/>
        <v>100</v>
      </c>
      <c r="T8" s="663" t="s">
        <v>14</v>
      </c>
      <c r="U8" s="664">
        <f t="shared" si="1"/>
        <v>100</v>
      </c>
      <c r="V8" s="663" t="s">
        <v>14</v>
      </c>
      <c r="W8" s="664">
        <f t="shared" si="2"/>
        <v>100</v>
      </c>
      <c r="X8" s="665"/>
      <c r="Y8" s="3480" t="s">
        <v>1675</v>
      </c>
      <c r="Z8" s="3481"/>
      <c r="AA8" s="50">
        <f t="shared" ref="AA8:AA47" si="3">D8/F8</f>
        <v>1</v>
      </c>
      <c r="AB8" s="50">
        <f t="shared" ref="AB8:AB47" si="4">D8/H8</f>
        <v>1</v>
      </c>
      <c r="AC8" s="800">
        <f t="shared" ref="AC8:AC47" si="5">D8/J8</f>
        <v>1</v>
      </c>
    </row>
    <row r="9" spans="1:29" s="101" customFormat="1">
      <c r="A9" s="358" t="s">
        <v>1676</v>
      </c>
      <c r="B9" s="60" t="s">
        <v>1677</v>
      </c>
      <c r="C9" s="359"/>
      <c r="D9" s="59">
        <v>100</v>
      </c>
      <c r="E9" s="361"/>
      <c r="F9" s="59">
        <f>SUMIF(64:64,E9,65:65)-SUMIF(64:64,C9,65:65)+100</f>
        <v>100</v>
      </c>
      <c r="G9" s="360"/>
      <c r="H9" s="59">
        <f>SUMIF(64:64,G9,65:65)-SUMIF(64:64,C9,65:65)+100</f>
        <v>100</v>
      </c>
      <c r="I9" s="360"/>
      <c r="J9" s="59">
        <f>SUMIF(64:64,I9,65:65)-SUMIF(64:64,C9,65:65)+100</f>
        <v>100</v>
      </c>
      <c r="K9" s="38"/>
      <c r="L9" s="2486"/>
      <c r="M9" s="2437"/>
      <c r="N9" s="2437"/>
      <c r="O9" s="2437"/>
      <c r="P9" s="3451" t="s">
        <v>1678</v>
      </c>
      <c r="Q9" s="529" t="str">
        <f t="shared" ref="Q9:Q15" si="6">B9</f>
        <v>用途</v>
      </c>
      <c r="R9" s="663" t="s">
        <v>14</v>
      </c>
      <c r="S9" s="664">
        <f t="shared" si="0"/>
        <v>100</v>
      </c>
      <c r="T9" s="663" t="s">
        <v>14</v>
      </c>
      <c r="U9" s="664">
        <f t="shared" si="1"/>
        <v>100</v>
      </c>
      <c r="V9" s="663" t="s">
        <v>14</v>
      </c>
      <c r="W9" s="664">
        <f t="shared" si="2"/>
        <v>100</v>
      </c>
      <c r="X9" s="665"/>
      <c r="Y9" s="3328" t="s">
        <v>1679</v>
      </c>
      <c r="Z9" s="50" t="str">
        <f t="shared" ref="Z9:Z15" si="7">Q9</f>
        <v>用途</v>
      </c>
      <c r="AA9" s="50">
        <f t="shared" si="3"/>
        <v>1</v>
      </c>
      <c r="AB9" s="50">
        <f t="shared" si="4"/>
        <v>1</v>
      </c>
      <c r="AC9" s="800">
        <f t="shared" si="5"/>
        <v>1</v>
      </c>
    </row>
    <row r="10" spans="1:29" s="365" customFormat="1" ht="27">
      <c r="A10" s="362"/>
      <c r="B10" s="363" t="s">
        <v>1680</v>
      </c>
      <c r="C10" s="3129"/>
      <c r="D10" s="118">
        <v>100</v>
      </c>
      <c r="E10" s="3129"/>
      <c r="F10" s="118">
        <f>SUMIF(66:66,E10,67:67)-SUMIF(66:66,C10,67:67)+100</f>
        <v>100</v>
      </c>
      <c r="G10" s="3130"/>
      <c r="H10" s="118">
        <f>SUMIF(66:66,G10,67:67)-SUMIF(66:66,C10,67:67)+100</f>
        <v>100</v>
      </c>
      <c r="I10" s="3129"/>
      <c r="J10" s="118">
        <f>SUMIF(66:66,I10,67:67)-SUMIF(66:66,C10,67:67)+100</f>
        <v>100</v>
      </c>
      <c r="K10" s="38"/>
      <c r="L10" s="2487"/>
      <c r="M10" s="2488"/>
      <c r="N10" s="2488"/>
      <c r="O10" s="2488"/>
      <c r="P10" s="3451"/>
      <c r="Q10" s="529"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800">
        <f t="shared" si="5"/>
        <v>1</v>
      </c>
    </row>
    <row r="11" spans="1:29" ht="15">
      <c r="A11" s="366"/>
      <c r="B11" s="363" t="s">
        <v>1681</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451"/>
      <c r="Q11" s="529" t="str">
        <f t="shared" si="6"/>
        <v>容积率</v>
      </c>
      <c r="R11" s="663" t="s">
        <v>14</v>
      </c>
      <c r="S11" s="664">
        <f t="shared" si="0"/>
        <v>100</v>
      </c>
      <c r="T11" s="663" t="s">
        <v>14</v>
      </c>
      <c r="U11" s="664">
        <f t="shared" si="1"/>
        <v>100</v>
      </c>
      <c r="V11" s="663" t="s">
        <v>14</v>
      </c>
      <c r="W11" s="664">
        <f t="shared" si="2"/>
        <v>100</v>
      </c>
      <c r="X11" s="665"/>
      <c r="Y11" s="3328"/>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8"/>
      <c r="H12" s="118">
        <f>SUMIF(71:71,G12,72:72)-SUMIF(71:71,C12,72:72)+100</f>
        <v>100</v>
      </c>
      <c r="I12" s="370"/>
      <c r="J12" s="118">
        <f>SUMIF(71:71,I12,72:72)-SUMIF(71:71,C12,72:72)+100</f>
        <v>100</v>
      </c>
      <c r="K12" s="538"/>
      <c r="L12" s="2486"/>
      <c r="M12" s="2437"/>
      <c r="N12" s="2437"/>
      <c r="O12" s="2437"/>
      <c r="P12" s="3451"/>
      <c r="Q12" s="529">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8"/>
      <c r="H13" s="373">
        <f>SUMIF(73:73,G13,74:74)-SUMIF(73:73,C13,74:74)+100</f>
        <v>100</v>
      </c>
      <c r="I13" s="370"/>
      <c r="J13" s="373">
        <f>SUMIF(73:73,I13,74:74)-SUMIF(73:73,C13,74:74)+100</f>
        <v>100</v>
      </c>
      <c r="K13" s="538"/>
      <c r="L13" s="2490"/>
      <c r="M13" s="2485"/>
      <c r="N13" s="2485"/>
      <c r="O13" s="2485"/>
      <c r="P13" s="3451"/>
      <c r="Q13" s="529">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800">
        <f t="shared" si="5"/>
        <v>1</v>
      </c>
    </row>
    <row r="14" spans="1:29" ht="15.75" thickBot="1">
      <c r="A14" s="374"/>
      <c r="B14" s="1747">
        <v>111</v>
      </c>
      <c r="C14" s="375"/>
      <c r="D14" s="376">
        <v>100</v>
      </c>
      <c r="E14" s="552"/>
      <c r="F14" s="376">
        <f>SUMIF(75:75,E14,76:76)-SUMIF(75:75,C14,76:76)+100</f>
        <v>100</v>
      </c>
      <c r="G14" s="1808"/>
      <c r="H14" s="376">
        <f>SUMIF(75:75,G14,76:76)-SUMIF(75:75,C14,76:76)+100</f>
        <v>100</v>
      </c>
      <c r="I14" s="370"/>
      <c r="J14" s="376">
        <f>SUMIF(75:75,I14,76:76)-SUMIF(75:75,C14,76:76)+100</f>
        <v>100</v>
      </c>
      <c r="K14" s="538"/>
      <c r="L14" s="2490"/>
      <c r="M14" s="2485"/>
      <c r="N14" s="2485"/>
      <c r="O14" s="2485"/>
      <c r="P14" s="3451"/>
      <c r="Q14" s="529">
        <f t="shared" si="6"/>
        <v>111</v>
      </c>
      <c r="R14" s="663" t="s">
        <v>14</v>
      </c>
      <c r="S14" s="664">
        <f t="shared" si="0"/>
        <v>100</v>
      </c>
      <c r="T14" s="663" t="s">
        <v>14</v>
      </c>
      <c r="U14" s="664">
        <f t="shared" si="1"/>
        <v>100</v>
      </c>
      <c r="V14" s="663" t="s">
        <v>14</v>
      </c>
      <c r="W14" s="664">
        <f t="shared" si="2"/>
        <v>100</v>
      </c>
      <c r="X14" s="665"/>
      <c r="Y14" s="3328"/>
      <c r="Z14" s="50">
        <f t="shared" si="7"/>
        <v>111</v>
      </c>
      <c r="AA14" s="50">
        <f t="shared" si="3"/>
        <v>1</v>
      </c>
      <c r="AB14" s="50">
        <f t="shared" si="4"/>
        <v>1</v>
      </c>
      <c r="AC14" s="800">
        <f t="shared" si="5"/>
        <v>1</v>
      </c>
    </row>
    <row r="15" spans="1:29" ht="71.25">
      <c r="A15" s="378" t="s">
        <v>1682</v>
      </c>
      <c r="B15" s="553" t="s">
        <v>1803</v>
      </c>
      <c r="C15" s="1809"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519" t="s">
        <v>1683</v>
      </c>
      <c r="Q15" s="1261" t="str">
        <f t="shared" si="6"/>
        <v>办公集聚程度</v>
      </c>
      <c r="R15" s="666" t="s">
        <v>14</v>
      </c>
      <c r="S15" s="667">
        <f t="shared" si="0"/>
        <v>100</v>
      </c>
      <c r="T15" s="666" t="s">
        <v>14</v>
      </c>
      <c r="U15" s="667">
        <f t="shared" si="1"/>
        <v>100</v>
      </c>
      <c r="V15" s="666" t="s">
        <v>14</v>
      </c>
      <c r="W15" s="667">
        <f t="shared" si="2"/>
        <v>100</v>
      </c>
      <c r="X15" s="1263"/>
      <c r="Y15" s="3453" t="s">
        <v>1683</v>
      </c>
      <c r="Z15" s="1262" t="str">
        <f t="shared" si="7"/>
        <v>办公集聚程度</v>
      </c>
      <c r="AA15" s="1262">
        <f t="shared" si="3"/>
        <v>1</v>
      </c>
      <c r="AB15" s="1262">
        <f t="shared" si="4"/>
        <v>1</v>
      </c>
      <c r="AC15" s="1810">
        <f t="shared" si="5"/>
        <v>1</v>
      </c>
    </row>
    <row r="16" spans="1:29" ht="15">
      <c r="A16" s="366"/>
      <c r="B16" s="554"/>
      <c r="C16" s="1756"/>
      <c r="D16" s="386"/>
      <c r="E16" s="385"/>
      <c r="F16" s="386"/>
      <c r="G16" s="1756"/>
      <c r="H16" s="388"/>
      <c r="I16" s="385"/>
      <c r="J16" s="386"/>
      <c r="K16" s="540"/>
      <c r="L16" s="2490"/>
      <c r="M16" s="2485"/>
      <c r="N16" s="2485"/>
      <c r="O16" s="2485"/>
      <c r="P16" s="3520"/>
      <c r="Q16" s="1261"/>
      <c r="R16" s="666"/>
      <c r="S16" s="667"/>
      <c r="T16" s="666"/>
      <c r="U16" s="667"/>
      <c r="V16" s="666"/>
      <c r="W16" s="667"/>
      <c r="X16" s="1263"/>
      <c r="Y16" s="3454"/>
      <c r="Z16" s="1262"/>
      <c r="AA16" s="1262">
        <v>1</v>
      </c>
      <c r="AB16" s="1262">
        <v>1</v>
      </c>
      <c r="AC16" s="1810">
        <v>1</v>
      </c>
    </row>
    <row r="17" spans="1:29" ht="71.25">
      <c r="A17" s="366"/>
      <c r="B17" s="555" t="s">
        <v>1253</v>
      </c>
      <c r="C17" s="1811"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520"/>
      <c r="Q17" s="1261" t="str">
        <f>B17</f>
        <v>交通便捷度</v>
      </c>
      <c r="R17" s="666" t="s">
        <v>14</v>
      </c>
      <c r="S17" s="667">
        <f>F17</f>
        <v>100</v>
      </c>
      <c r="T17" s="666" t="s">
        <v>14</v>
      </c>
      <c r="U17" s="667">
        <f>H17</f>
        <v>100</v>
      </c>
      <c r="V17" s="666" t="s">
        <v>14</v>
      </c>
      <c r="W17" s="667">
        <f>J17</f>
        <v>100</v>
      </c>
      <c r="X17" s="1263"/>
      <c r="Y17" s="3454"/>
      <c r="Z17" s="1262" t="str">
        <f>Q17</f>
        <v>交通便捷度</v>
      </c>
      <c r="AA17" s="1262">
        <f t="shared" si="3"/>
        <v>1</v>
      </c>
      <c r="AB17" s="1262">
        <f t="shared" si="4"/>
        <v>1</v>
      </c>
      <c r="AC17" s="1810">
        <f t="shared" si="5"/>
        <v>1</v>
      </c>
    </row>
    <row r="18" spans="1:29" ht="15">
      <c r="A18" s="366"/>
      <c r="B18" s="400"/>
      <c r="C18" s="1812"/>
      <c r="D18" s="388"/>
      <c r="E18" s="1754"/>
      <c r="F18" s="388"/>
      <c r="G18" s="1755"/>
      <c r="H18" s="386"/>
      <c r="I18" s="1755"/>
      <c r="J18" s="386"/>
      <c r="K18" s="540"/>
      <c r="L18" s="2490"/>
      <c r="M18" s="2485"/>
      <c r="N18" s="2485"/>
      <c r="O18" s="2485"/>
      <c r="P18" s="3520"/>
      <c r="Q18" s="1261"/>
      <c r="R18" s="666"/>
      <c r="S18" s="667"/>
      <c r="T18" s="666"/>
      <c r="U18" s="667"/>
      <c r="V18" s="666"/>
      <c r="W18" s="667"/>
      <c r="X18" s="1263"/>
      <c r="Y18" s="3454"/>
      <c r="Z18" s="1262"/>
      <c r="AA18" s="1262">
        <v>1</v>
      </c>
      <c r="AB18" s="1262">
        <v>1</v>
      </c>
      <c r="AC18" s="1810">
        <v>1</v>
      </c>
    </row>
    <row r="19" spans="1:29" ht="42.75">
      <c r="A19" s="366"/>
      <c r="B19" s="555" t="s">
        <v>1804</v>
      </c>
      <c r="C19" s="1811"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520"/>
      <c r="Q19" s="1261" t="str">
        <f>B19</f>
        <v>公共配套设施</v>
      </c>
      <c r="R19" s="666" t="s">
        <v>14</v>
      </c>
      <c r="S19" s="667">
        <f>F19</f>
        <v>100</v>
      </c>
      <c r="T19" s="666" t="s">
        <v>14</v>
      </c>
      <c r="U19" s="667">
        <f>H19</f>
        <v>100</v>
      </c>
      <c r="V19" s="666" t="s">
        <v>14</v>
      </c>
      <c r="W19" s="667">
        <f>J19</f>
        <v>100</v>
      </c>
      <c r="X19" s="1263"/>
      <c r="Y19" s="3454"/>
      <c r="Z19" s="1262" t="str">
        <f>Q19</f>
        <v>公共配套设施</v>
      </c>
      <c r="AA19" s="1262">
        <f t="shared" si="3"/>
        <v>1</v>
      </c>
      <c r="AB19" s="1262">
        <f t="shared" si="4"/>
        <v>1</v>
      </c>
      <c r="AC19" s="1810">
        <f t="shared" si="5"/>
        <v>1</v>
      </c>
    </row>
    <row r="20" spans="1:29" ht="15">
      <c r="A20" s="366"/>
      <c r="B20" s="400"/>
      <c r="C20" s="1756"/>
      <c r="D20" s="386"/>
      <c r="E20" s="1749"/>
      <c r="F20" s="386"/>
      <c r="G20" s="1750"/>
      <c r="H20" s="386"/>
      <c r="I20" s="1750"/>
      <c r="J20" s="386"/>
      <c r="K20" s="540"/>
      <c r="L20" s="2490"/>
      <c r="M20" s="2485"/>
      <c r="N20" s="2485"/>
      <c r="O20" s="2485"/>
      <c r="P20" s="3520"/>
      <c r="Q20" s="1261"/>
      <c r="R20" s="666"/>
      <c r="S20" s="667"/>
      <c r="T20" s="666"/>
      <c r="U20" s="667"/>
      <c r="V20" s="666"/>
      <c r="W20" s="667"/>
      <c r="X20" s="1263"/>
      <c r="Y20" s="3454"/>
      <c r="Z20" s="1262"/>
      <c r="AA20" s="1262">
        <v>1</v>
      </c>
      <c r="AB20" s="1262">
        <v>1</v>
      </c>
      <c r="AC20" s="1810">
        <v>1</v>
      </c>
    </row>
    <row r="21" spans="1:29" ht="28.5">
      <c r="A21" s="366"/>
      <c r="B21" s="556" t="s">
        <v>1805</v>
      </c>
      <c r="C21" s="1811"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520"/>
      <c r="Q21" s="1261" t="str">
        <f>B21</f>
        <v>基础设施水平</v>
      </c>
      <c r="R21" s="666" t="s">
        <v>14</v>
      </c>
      <c r="S21" s="667">
        <f>F21</f>
        <v>100</v>
      </c>
      <c r="T21" s="666" t="s">
        <v>14</v>
      </c>
      <c r="U21" s="667">
        <f>H21</f>
        <v>100</v>
      </c>
      <c r="V21" s="666" t="s">
        <v>14</v>
      </c>
      <c r="W21" s="667">
        <f>J21</f>
        <v>100</v>
      </c>
      <c r="X21" s="1263"/>
      <c r="Y21" s="3454"/>
      <c r="Z21" s="1262" t="str">
        <f>Q21</f>
        <v>基础设施水平</v>
      </c>
      <c r="AA21" s="1262">
        <f t="shared" ref="AA21" si="8">D21/F21</f>
        <v>1</v>
      </c>
      <c r="AB21" s="1262">
        <f t="shared" ref="AB21" si="9">D21/H21</f>
        <v>1</v>
      </c>
      <c r="AC21" s="1810">
        <f t="shared" ref="AC21" si="10">D21/J21</f>
        <v>1</v>
      </c>
    </row>
    <row r="22" spans="1:29" ht="15">
      <c r="A22" s="366"/>
      <c r="B22" s="556"/>
      <c r="C22" s="1812"/>
      <c r="D22" s="386"/>
      <c r="E22" s="385"/>
      <c r="F22" s="386"/>
      <c r="G22" s="1756"/>
      <c r="H22" s="386"/>
      <c r="I22" s="1756"/>
      <c r="J22" s="386"/>
      <c r="K22" s="1062"/>
      <c r="L22" s="2490"/>
      <c r="M22" s="2485"/>
      <c r="N22" s="2485"/>
      <c r="O22" s="2485"/>
      <c r="P22" s="3520"/>
      <c r="Q22" s="1261"/>
      <c r="R22" s="666"/>
      <c r="S22" s="667"/>
      <c r="T22" s="666"/>
      <c r="U22" s="667"/>
      <c r="V22" s="666"/>
      <c r="W22" s="667"/>
      <c r="X22" s="1263"/>
      <c r="Y22" s="3454"/>
      <c r="Z22" s="1262"/>
      <c r="AA22" s="1262">
        <v>1</v>
      </c>
      <c r="AB22" s="1262">
        <v>1</v>
      </c>
      <c r="AC22" s="1810">
        <v>1</v>
      </c>
    </row>
    <row r="23" spans="1:29" ht="42.75">
      <c r="A23" s="366"/>
      <c r="B23" s="555" t="s">
        <v>1806</v>
      </c>
      <c r="C23" s="1811"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520"/>
      <c r="Q23" s="1261" t="str">
        <f>B23</f>
        <v>环境质量</v>
      </c>
      <c r="R23" s="666" t="s">
        <v>14</v>
      </c>
      <c r="S23" s="667">
        <f>F23</f>
        <v>100</v>
      </c>
      <c r="T23" s="666" t="s">
        <v>14</v>
      </c>
      <c r="U23" s="667">
        <f>H23</f>
        <v>100</v>
      </c>
      <c r="V23" s="666" t="s">
        <v>14</v>
      </c>
      <c r="W23" s="667">
        <f>J23</f>
        <v>100</v>
      </c>
      <c r="X23" s="1263"/>
      <c r="Y23" s="3454"/>
      <c r="Z23" s="1262" t="str">
        <f>Q23</f>
        <v>环境质量</v>
      </c>
      <c r="AA23" s="1262">
        <f t="shared" si="3"/>
        <v>1</v>
      </c>
      <c r="AB23" s="1262">
        <f t="shared" si="4"/>
        <v>1</v>
      </c>
      <c r="AC23" s="1810">
        <f t="shared" si="5"/>
        <v>1</v>
      </c>
    </row>
    <row r="24" spans="1:29" ht="15">
      <c r="A24" s="366"/>
      <c r="B24" s="556"/>
      <c r="C24" s="1756"/>
      <c r="D24" s="386"/>
      <c r="E24" s="1749"/>
      <c r="F24" s="386"/>
      <c r="G24" s="1750"/>
      <c r="H24" s="386"/>
      <c r="I24" s="1750"/>
      <c r="J24" s="386"/>
      <c r="K24" s="540"/>
      <c r="L24" s="2490"/>
      <c r="M24" s="2485"/>
      <c r="N24" s="2485"/>
      <c r="O24" s="2485"/>
      <c r="P24" s="3520"/>
      <c r="Q24" s="1261"/>
      <c r="R24" s="666"/>
      <c r="S24" s="667"/>
      <c r="T24" s="666"/>
      <c r="U24" s="667"/>
      <c r="V24" s="666"/>
      <c r="W24" s="667"/>
      <c r="X24" s="1263"/>
      <c r="Y24" s="3454"/>
      <c r="Z24" s="1262"/>
      <c r="AA24" s="1262">
        <v>1</v>
      </c>
      <c r="AB24" s="1262">
        <v>1</v>
      </c>
      <c r="AC24" s="1810">
        <v>1</v>
      </c>
    </row>
    <row r="25" spans="1:29" ht="27">
      <c r="A25" s="347"/>
      <c r="B25" s="555" t="s">
        <v>1807</v>
      </c>
      <c r="C25" s="1760"/>
      <c r="D25" s="373">
        <v>100</v>
      </c>
      <c r="E25" s="372"/>
      <c r="F25" s="373">
        <f>SUMIF(87:87,E26,88:88)-SUMIF(87:87,C26,88:88)+100</f>
        <v>100</v>
      </c>
      <c r="G25" s="1760"/>
      <c r="H25" s="373">
        <f>SUMIF(87:87,G26,88:88)-SUMIF(87:87,C26,88:88)+100</f>
        <v>100</v>
      </c>
      <c r="I25" s="372"/>
      <c r="J25" s="373">
        <f>SUMIF(87:87,I26,88:88)-SUMIF(87:87,C26,88:88)+100</f>
        <v>100</v>
      </c>
      <c r="K25" s="539"/>
      <c r="L25" s="2490"/>
      <c r="M25" s="2485"/>
      <c r="N25" s="2485"/>
      <c r="O25" s="2485"/>
      <c r="P25" s="3520"/>
      <c r="Q25" s="1261" t="str">
        <f>B25</f>
        <v>毗邻道路的类型与等级</v>
      </c>
      <c r="R25" s="666" t="s">
        <v>14</v>
      </c>
      <c r="S25" s="667">
        <f>F25</f>
        <v>100</v>
      </c>
      <c r="T25" s="666" t="s">
        <v>14</v>
      </c>
      <c r="U25" s="667">
        <f>H25</f>
        <v>100</v>
      </c>
      <c r="V25" s="666" t="s">
        <v>14</v>
      </c>
      <c r="W25" s="667">
        <f>J25</f>
        <v>100</v>
      </c>
      <c r="X25" s="1263"/>
      <c r="Y25" s="3454"/>
      <c r="Z25" s="1262" t="str">
        <f>Q25</f>
        <v>毗邻道路的类型与等级</v>
      </c>
      <c r="AA25" s="1262">
        <f t="shared" si="3"/>
        <v>1</v>
      </c>
      <c r="AB25" s="1262">
        <f t="shared" si="4"/>
        <v>1</v>
      </c>
      <c r="AC25" s="1810">
        <f t="shared" si="5"/>
        <v>1</v>
      </c>
    </row>
    <row r="26" spans="1:29" ht="15">
      <c r="A26" s="347"/>
      <c r="B26" s="400"/>
      <c r="C26" s="557"/>
      <c r="D26" s="373"/>
      <c r="E26" s="541"/>
      <c r="F26" s="373"/>
      <c r="G26" s="557"/>
      <c r="H26" s="373"/>
      <c r="I26" s="541"/>
      <c r="J26" s="373"/>
      <c r="K26" s="540"/>
      <c r="L26" s="2490"/>
      <c r="M26" s="2485"/>
      <c r="N26" s="2485"/>
      <c r="O26" s="2485"/>
      <c r="P26" s="3520"/>
      <c r="Q26" s="1261"/>
      <c r="R26" s="666"/>
      <c r="S26" s="667"/>
      <c r="T26" s="666"/>
      <c r="U26" s="667"/>
      <c r="V26" s="666"/>
      <c r="W26" s="667"/>
      <c r="X26" s="1263"/>
      <c r="Y26" s="3454"/>
      <c r="Z26" s="1262"/>
      <c r="AA26" s="1262">
        <v>1</v>
      </c>
      <c r="AB26" s="1262">
        <v>1</v>
      </c>
      <c r="AC26" s="1810">
        <v>1</v>
      </c>
    </row>
    <row r="27" spans="1:29" ht="15">
      <c r="A27" s="366"/>
      <c r="B27" s="400" t="s">
        <v>1775</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520"/>
      <c r="Q27" s="1261" t="str">
        <f t="shared" ref="Q27:Q47" si="11">B27</f>
        <v>楼层</v>
      </c>
      <c r="R27" s="666" t="s">
        <v>14</v>
      </c>
      <c r="S27" s="667">
        <f>F27</f>
        <v>100</v>
      </c>
      <c r="T27" s="666" t="s">
        <v>14</v>
      </c>
      <c r="U27" s="667">
        <f>H27</f>
        <v>100</v>
      </c>
      <c r="V27" s="666" t="s">
        <v>14</v>
      </c>
      <c r="W27" s="667">
        <f>J27</f>
        <v>100</v>
      </c>
      <c r="X27" s="1263"/>
      <c r="Y27" s="3454"/>
      <c r="Z27" s="1262" t="str">
        <f>Q27</f>
        <v>楼层</v>
      </c>
      <c r="AA27" s="1262">
        <f t="shared" si="3"/>
        <v>1</v>
      </c>
      <c r="AB27" s="1262">
        <f t="shared" si="4"/>
        <v>1</v>
      </c>
      <c r="AC27" s="1810">
        <f t="shared" si="5"/>
        <v>1</v>
      </c>
    </row>
    <row r="28" spans="1:29" s="101" customFormat="1" ht="15">
      <c r="A28" s="369"/>
      <c r="B28" s="555" t="s">
        <v>1808</v>
      </c>
      <c r="C28" s="1813"/>
      <c r="D28" s="400">
        <v>100</v>
      </c>
      <c r="E28" s="1805"/>
      <c r="F28" s="400">
        <f>SUMIF(91:91,E28,92:92)-SUMIF(91:91,C28,92:92)+100</f>
        <v>100</v>
      </c>
      <c r="G28" s="1813"/>
      <c r="H28" s="400">
        <f>SUMIF(91:91,G28,92:92)-SUMIF(91:91,C28,92:92)+100</f>
        <v>100</v>
      </c>
      <c r="I28" s="1805"/>
      <c r="J28" s="400">
        <f>SUMIF(91:91,I28,92:92)-SUMIF(91:91,C28,92:92)+100</f>
        <v>100</v>
      </c>
      <c r="K28" s="537"/>
      <c r="L28" s="2486"/>
      <c r="M28" s="2437"/>
      <c r="N28" s="2437"/>
      <c r="O28" s="2437"/>
      <c r="P28" s="3520"/>
      <c r="Q28" s="529" t="str">
        <f t="shared" si="11"/>
        <v>朝向</v>
      </c>
      <c r="R28" s="663" t="s">
        <v>14</v>
      </c>
      <c r="S28" s="664">
        <f>F28</f>
        <v>100</v>
      </c>
      <c r="T28" s="663" t="s">
        <v>14</v>
      </c>
      <c r="U28" s="664">
        <f>H28</f>
        <v>100</v>
      </c>
      <c r="V28" s="663" t="s">
        <v>14</v>
      </c>
      <c r="W28" s="664">
        <f>J28</f>
        <v>100</v>
      </c>
      <c r="X28" s="665"/>
      <c r="Y28" s="3454"/>
      <c r="Z28" s="50" t="str">
        <f>Q28</f>
        <v>朝向</v>
      </c>
      <c r="AA28" s="1262">
        <f>D28/F28</f>
        <v>1</v>
      </c>
      <c r="AB28" s="1262">
        <f>D28/H28</f>
        <v>1</v>
      </c>
      <c r="AC28" s="1810">
        <f>D28/J28</f>
        <v>1</v>
      </c>
    </row>
    <row r="29" spans="1:29" ht="15">
      <c r="A29" s="366"/>
      <c r="B29" s="1097">
        <v>111</v>
      </c>
      <c r="C29" s="1760"/>
      <c r="D29" s="373">
        <v>100</v>
      </c>
      <c r="E29" s="370"/>
      <c r="F29" s="373">
        <f>SUMIF(93:93,E29,94:94)-SUMIF(93:93,C29,94:94)+100</f>
        <v>100</v>
      </c>
      <c r="G29" s="1808"/>
      <c r="H29" s="373">
        <f>SUMIF(93:93,G29,94:94)-SUMIF(93:93,C29,94:94)+100</f>
        <v>100</v>
      </c>
      <c r="I29" s="370"/>
      <c r="J29" s="373">
        <f>SUMIF(93:93,I29,94:94)-SUMIF(93:93,C29,94:94)+100</f>
        <v>100</v>
      </c>
      <c r="K29" s="538"/>
      <c r="L29" s="2490"/>
      <c r="M29" s="2485"/>
      <c r="N29" s="2485"/>
      <c r="O29" s="2485"/>
      <c r="P29" s="3520"/>
      <c r="Q29" s="1261">
        <f t="shared" si="11"/>
        <v>111</v>
      </c>
      <c r="R29" s="666" t="s">
        <v>14</v>
      </c>
      <c r="S29" s="667">
        <f t="shared" ref="S29:S47" si="12">F29</f>
        <v>100</v>
      </c>
      <c r="T29" s="666" t="s">
        <v>14</v>
      </c>
      <c r="U29" s="667">
        <f t="shared" ref="U29:U47" si="13">H29</f>
        <v>100</v>
      </c>
      <c r="V29" s="666" t="s">
        <v>14</v>
      </c>
      <c r="W29" s="667">
        <f t="shared" ref="W29:W47" si="14">J29</f>
        <v>100</v>
      </c>
      <c r="X29" s="1263"/>
      <c r="Y29" s="3454"/>
      <c r="Z29" s="1262">
        <f t="shared" ref="Z29:Z47" si="15">Q29</f>
        <v>111</v>
      </c>
      <c r="AA29" s="1262">
        <f t="shared" si="3"/>
        <v>1</v>
      </c>
      <c r="AB29" s="1262">
        <f t="shared" si="4"/>
        <v>1</v>
      </c>
      <c r="AC29" s="1810">
        <f t="shared" si="5"/>
        <v>1</v>
      </c>
    </row>
    <row r="30" spans="1:29" ht="15">
      <c r="A30" s="366"/>
      <c r="B30" s="1097">
        <v>111</v>
      </c>
      <c r="C30" s="1760"/>
      <c r="D30" s="373">
        <v>100</v>
      </c>
      <c r="E30" s="370"/>
      <c r="F30" s="373">
        <f>SUMIF(95:95,E30,96:96)-SUMIF(95:95,C30,96:96)+100</f>
        <v>100</v>
      </c>
      <c r="G30" s="1808"/>
      <c r="H30" s="373">
        <f>SUMIF(95:95,G30,96:96)-SUMIF(95:95,C30,96:96)+100</f>
        <v>100</v>
      </c>
      <c r="I30" s="370"/>
      <c r="J30" s="373">
        <f>SUMIF(95:95,I30,96:96)-SUMIF(95:95,C30,96:96)+100</f>
        <v>100</v>
      </c>
      <c r="K30" s="538"/>
      <c r="L30" s="2490"/>
      <c r="M30" s="2485"/>
      <c r="N30" s="2485"/>
      <c r="O30" s="2485"/>
      <c r="P30" s="3520"/>
      <c r="Q30" s="1261">
        <f t="shared" si="11"/>
        <v>111</v>
      </c>
      <c r="R30" s="666" t="s">
        <v>14</v>
      </c>
      <c r="S30" s="667">
        <f t="shared" si="12"/>
        <v>100</v>
      </c>
      <c r="T30" s="666" t="s">
        <v>14</v>
      </c>
      <c r="U30" s="667">
        <f t="shared" si="13"/>
        <v>100</v>
      </c>
      <c r="V30" s="666" t="s">
        <v>14</v>
      </c>
      <c r="W30" s="667">
        <f t="shared" si="14"/>
        <v>100</v>
      </c>
      <c r="X30" s="1263"/>
      <c r="Y30" s="3454"/>
      <c r="Z30" s="1262">
        <f t="shared" si="15"/>
        <v>111</v>
      </c>
      <c r="AA30" s="1262">
        <f t="shared" si="3"/>
        <v>1</v>
      </c>
      <c r="AB30" s="1262">
        <f t="shared" si="4"/>
        <v>1</v>
      </c>
      <c r="AC30" s="1810">
        <f t="shared" si="5"/>
        <v>1</v>
      </c>
    </row>
    <row r="31" spans="1:29" ht="15">
      <c r="A31" s="366"/>
      <c r="B31" s="1097">
        <v>111</v>
      </c>
      <c r="C31" s="1760"/>
      <c r="D31" s="373">
        <v>100</v>
      </c>
      <c r="E31" s="370"/>
      <c r="F31" s="373">
        <f>SUMIF(97:97,E31,98:98)-SUMIF(97:97,C31,98:98)+100</f>
        <v>100</v>
      </c>
      <c r="G31" s="1808"/>
      <c r="H31" s="373">
        <f>SUMIF(97:97,G31,98:98)-SUMIF(97:97,C31,98:98)+100</f>
        <v>100</v>
      </c>
      <c r="I31" s="370"/>
      <c r="J31" s="373">
        <f>SUMIF(97:97,I31,98:98)-SUMIF(97:97,C31,98:98)+100</f>
        <v>100</v>
      </c>
      <c r="K31" s="538"/>
      <c r="L31" s="2490"/>
      <c r="M31" s="2485"/>
      <c r="N31" s="2485"/>
      <c r="O31" s="2485"/>
      <c r="P31" s="3520"/>
      <c r="Q31" s="1261">
        <f t="shared" si="11"/>
        <v>111</v>
      </c>
      <c r="R31" s="666" t="s">
        <v>14</v>
      </c>
      <c r="S31" s="667">
        <f t="shared" si="12"/>
        <v>100</v>
      </c>
      <c r="T31" s="666" t="s">
        <v>14</v>
      </c>
      <c r="U31" s="667">
        <f t="shared" si="13"/>
        <v>100</v>
      </c>
      <c r="V31" s="666" t="s">
        <v>14</v>
      </c>
      <c r="W31" s="667">
        <f t="shared" si="14"/>
        <v>100</v>
      </c>
      <c r="X31" s="1263"/>
      <c r="Y31" s="3454"/>
      <c r="Z31" s="1262">
        <f t="shared" si="15"/>
        <v>111</v>
      </c>
      <c r="AA31" s="1262">
        <f t="shared" si="3"/>
        <v>1</v>
      </c>
      <c r="AB31" s="1262">
        <f t="shared" si="4"/>
        <v>1</v>
      </c>
      <c r="AC31" s="1810">
        <f t="shared" si="5"/>
        <v>1</v>
      </c>
    </row>
    <row r="32" spans="1:29" ht="15.75" thickBot="1">
      <c r="A32" s="374"/>
      <c r="B32" s="558">
        <v>111</v>
      </c>
      <c r="C32" s="1761"/>
      <c r="D32" s="376">
        <v>100</v>
      </c>
      <c r="E32" s="552"/>
      <c r="F32" s="376">
        <f>SUMIF(99:99,E32,100:100)-SUMIF(99:99,C32,100:100)+100</f>
        <v>100</v>
      </c>
      <c r="G32" s="1808"/>
      <c r="H32" s="376">
        <f>SUMIF(99:99,G32,100:100)-SUMIF(99:99,C32,100:100)+100</f>
        <v>100</v>
      </c>
      <c r="I32" s="370"/>
      <c r="J32" s="376">
        <f>SUMIF(99:99,I32,100:100)-SUMIF(99:99,C32,100:100)+100</f>
        <v>100</v>
      </c>
      <c r="K32" s="538"/>
      <c r="L32" s="2490"/>
      <c r="M32" s="2485"/>
      <c r="N32" s="2485"/>
      <c r="O32" s="2485"/>
      <c r="P32" s="3520"/>
      <c r="Q32" s="1261">
        <f t="shared" si="11"/>
        <v>111</v>
      </c>
      <c r="R32" s="666" t="s">
        <v>14</v>
      </c>
      <c r="S32" s="667">
        <f t="shared" si="12"/>
        <v>100</v>
      </c>
      <c r="T32" s="666" t="s">
        <v>14</v>
      </c>
      <c r="U32" s="667">
        <f t="shared" si="13"/>
        <v>100</v>
      </c>
      <c r="V32" s="666" t="s">
        <v>14</v>
      </c>
      <c r="W32" s="667">
        <f t="shared" si="14"/>
        <v>100</v>
      </c>
      <c r="X32" s="1263"/>
      <c r="Y32" s="3454"/>
      <c r="Z32" s="1262">
        <f t="shared" si="15"/>
        <v>111</v>
      </c>
      <c r="AA32" s="1262">
        <f t="shared" si="3"/>
        <v>1</v>
      </c>
      <c r="AB32" s="1262">
        <f t="shared" si="4"/>
        <v>1</v>
      </c>
      <c r="AC32" s="1810">
        <f t="shared" si="5"/>
        <v>1</v>
      </c>
    </row>
    <row r="33" spans="1:29" ht="15">
      <c r="A33" s="378" t="s">
        <v>1686</v>
      </c>
      <c r="B33" s="60" t="s">
        <v>1809</v>
      </c>
      <c r="C33" s="1762"/>
      <c r="D33" s="404">
        <v>100</v>
      </c>
      <c r="E33" s="1762"/>
      <c r="F33" s="399">
        <f>SUMIF(101:101,E33,102:102)-SUMIF(101:101,C33,102:102)+100</f>
        <v>100</v>
      </c>
      <c r="G33" s="1762"/>
      <c r="H33" s="373">
        <f>SUMIF(101:101,G33,102:102)-SUMIF(101:101,C33,102:102)+100</f>
        <v>100</v>
      </c>
      <c r="I33" s="1762"/>
      <c r="J33" s="404">
        <f>SUMIF(101:101,I33,102:102)-SUMIF(101:101,C33,102:102)+100</f>
        <v>100</v>
      </c>
      <c r="K33" s="537"/>
      <c r="L33" s="2490"/>
      <c r="M33" s="2485"/>
      <c r="N33" s="2485"/>
      <c r="O33" s="2485"/>
      <c r="P33" s="3515" t="s">
        <v>1688</v>
      </c>
      <c r="Q33" s="1261" t="str">
        <f t="shared" si="11"/>
        <v>建筑类型</v>
      </c>
      <c r="R33" s="666" t="s">
        <v>14</v>
      </c>
      <c r="S33" s="667">
        <f t="shared" si="12"/>
        <v>100</v>
      </c>
      <c r="T33" s="666" t="s">
        <v>14</v>
      </c>
      <c r="U33" s="667">
        <f t="shared" si="13"/>
        <v>100</v>
      </c>
      <c r="V33" s="666" t="s">
        <v>14</v>
      </c>
      <c r="W33" s="667">
        <f t="shared" si="14"/>
        <v>100</v>
      </c>
      <c r="X33" s="1263"/>
      <c r="Y33" s="3456" t="s">
        <v>1688</v>
      </c>
      <c r="Z33" s="1262" t="str">
        <f t="shared" si="15"/>
        <v>建筑类型</v>
      </c>
      <c r="AA33" s="1262">
        <f t="shared" si="3"/>
        <v>1</v>
      </c>
      <c r="AB33" s="1262">
        <f t="shared" si="4"/>
        <v>1</v>
      </c>
      <c r="AC33" s="1810">
        <f t="shared" si="5"/>
        <v>1</v>
      </c>
    </row>
    <row r="34" spans="1:29" s="407" customFormat="1" ht="15">
      <c r="A34" s="405"/>
      <c r="B34" s="363" t="s">
        <v>1689</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516"/>
      <c r="Q34" s="530" t="str">
        <f t="shared" si="11"/>
        <v>项目建筑规模</v>
      </c>
      <c r="R34" s="668" t="s">
        <v>14</v>
      </c>
      <c r="S34" s="669" t="e">
        <f t="shared" si="12"/>
        <v>#N/A</v>
      </c>
      <c r="T34" s="668" t="s">
        <v>14</v>
      </c>
      <c r="U34" s="669" t="e">
        <f t="shared" si="13"/>
        <v>#N/A</v>
      </c>
      <c r="V34" s="668" t="s">
        <v>14</v>
      </c>
      <c r="W34" s="669" t="e">
        <f t="shared" si="14"/>
        <v>#N/A</v>
      </c>
      <c r="X34" s="670"/>
      <c r="Y34" s="3456"/>
      <c r="Z34" s="671" t="str">
        <f t="shared" si="15"/>
        <v>项目建筑规模</v>
      </c>
      <c r="AA34" s="1262" t="e">
        <f t="shared" si="3"/>
        <v>#N/A</v>
      </c>
      <c r="AB34" s="1262" t="e">
        <f t="shared" si="4"/>
        <v>#N/A</v>
      </c>
      <c r="AC34" s="1810" t="e">
        <f t="shared" si="5"/>
        <v>#N/A</v>
      </c>
    </row>
    <row r="35" spans="1:29" ht="15">
      <c r="A35" s="408"/>
      <c r="B35" s="363" t="s">
        <v>1690</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516"/>
      <c r="Q35" s="1261" t="str">
        <f t="shared" si="11"/>
        <v>建筑结构</v>
      </c>
      <c r="R35" s="666" t="s">
        <v>14</v>
      </c>
      <c r="S35" s="667">
        <f t="shared" si="12"/>
        <v>100</v>
      </c>
      <c r="T35" s="666" t="s">
        <v>14</v>
      </c>
      <c r="U35" s="667">
        <f t="shared" si="13"/>
        <v>100</v>
      </c>
      <c r="V35" s="666" t="s">
        <v>14</v>
      </c>
      <c r="W35" s="667">
        <f t="shared" si="14"/>
        <v>100</v>
      </c>
      <c r="X35" s="1263"/>
      <c r="Y35" s="3456"/>
      <c r="Z35" s="1262" t="str">
        <f t="shared" si="15"/>
        <v>建筑结构</v>
      </c>
      <c r="AA35" s="1262">
        <f t="shared" si="3"/>
        <v>1</v>
      </c>
      <c r="AB35" s="1262">
        <f t="shared" si="4"/>
        <v>1</v>
      </c>
      <c r="AC35" s="1810">
        <f t="shared" si="5"/>
        <v>1</v>
      </c>
    </row>
    <row r="36" spans="1:29" ht="15">
      <c r="A36" s="408"/>
      <c r="B36" s="363" t="s">
        <v>1777</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516"/>
      <c r="Q36" s="1261" t="str">
        <f t="shared" si="11"/>
        <v>公共部分装修</v>
      </c>
      <c r="R36" s="666" t="s">
        <v>14</v>
      </c>
      <c r="S36" s="667">
        <f t="shared" si="12"/>
        <v>100</v>
      </c>
      <c r="T36" s="666" t="s">
        <v>14</v>
      </c>
      <c r="U36" s="667">
        <f t="shared" si="13"/>
        <v>100</v>
      </c>
      <c r="V36" s="666" t="s">
        <v>14</v>
      </c>
      <c r="W36" s="667">
        <f t="shared" si="14"/>
        <v>100</v>
      </c>
      <c r="X36" s="1263"/>
      <c r="Y36" s="3456"/>
      <c r="Z36" s="1262" t="str">
        <f t="shared" si="15"/>
        <v>公共部分装修</v>
      </c>
      <c r="AA36" s="1262">
        <f t="shared" si="3"/>
        <v>1</v>
      </c>
      <c r="AB36" s="1262">
        <f t="shared" si="4"/>
        <v>1</v>
      </c>
      <c r="AC36" s="1810">
        <f t="shared" si="5"/>
        <v>1</v>
      </c>
    </row>
    <row r="37" spans="1:29" ht="15">
      <c r="A37" s="408"/>
      <c r="B37" s="363" t="s">
        <v>1778</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516"/>
      <c r="Q37" s="1261" t="str">
        <f t="shared" si="11"/>
        <v>成新度</v>
      </c>
      <c r="R37" s="666" t="s">
        <v>14</v>
      </c>
      <c r="S37" s="667" t="e">
        <f t="shared" si="12"/>
        <v>#N/A</v>
      </c>
      <c r="T37" s="666" t="s">
        <v>14</v>
      </c>
      <c r="U37" s="667" t="e">
        <f t="shared" si="13"/>
        <v>#N/A</v>
      </c>
      <c r="V37" s="666" t="s">
        <v>14</v>
      </c>
      <c r="W37" s="667" t="e">
        <f t="shared" si="14"/>
        <v>#N/A</v>
      </c>
      <c r="X37" s="1263"/>
      <c r="Y37" s="3456"/>
      <c r="Z37" s="1262" t="str">
        <f t="shared" si="15"/>
        <v>成新度</v>
      </c>
      <c r="AA37" s="1262" t="e">
        <f t="shared" si="3"/>
        <v>#N/A</v>
      </c>
      <c r="AB37" s="1262" t="e">
        <f t="shared" si="4"/>
        <v>#N/A</v>
      </c>
      <c r="AC37" s="1810" t="e">
        <f t="shared" si="5"/>
        <v>#N/A</v>
      </c>
    </row>
    <row r="38" spans="1:29" s="101" customFormat="1" ht="15">
      <c r="A38" s="409"/>
      <c r="B38" s="363" t="s">
        <v>1810</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7"/>
      <c r="N38" s="2437"/>
      <c r="O38" s="2437"/>
      <c r="P38" s="3516"/>
      <c r="Q38" s="529" t="str">
        <f t="shared" si="11"/>
        <v>写字楼等级</v>
      </c>
      <c r="R38" s="663" t="s">
        <v>14</v>
      </c>
      <c r="S38" s="664">
        <f t="shared" si="12"/>
        <v>100</v>
      </c>
      <c r="T38" s="663" t="s">
        <v>14</v>
      </c>
      <c r="U38" s="664">
        <f t="shared" si="13"/>
        <v>100</v>
      </c>
      <c r="V38" s="663" t="s">
        <v>14</v>
      </c>
      <c r="W38" s="664">
        <f t="shared" si="14"/>
        <v>100</v>
      </c>
      <c r="X38" s="665"/>
      <c r="Y38" s="3456"/>
      <c r="Z38" s="50" t="str">
        <f t="shared" si="15"/>
        <v>写字楼等级</v>
      </c>
      <c r="AA38" s="50">
        <f t="shared" si="3"/>
        <v>1</v>
      </c>
      <c r="AB38" s="50">
        <f t="shared" si="4"/>
        <v>1</v>
      </c>
      <c r="AC38" s="800">
        <f t="shared" si="5"/>
        <v>1</v>
      </c>
    </row>
    <row r="39" spans="1:29" ht="15">
      <c r="A39" s="408"/>
      <c r="B39" s="363" t="s">
        <v>1811</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516" t="s">
        <v>1688</v>
      </c>
      <c r="Q39" s="1261" t="str">
        <f t="shared" si="11"/>
        <v>物业管理</v>
      </c>
      <c r="R39" s="666" t="s">
        <v>14</v>
      </c>
      <c r="S39" s="667">
        <f t="shared" si="12"/>
        <v>100</v>
      </c>
      <c r="T39" s="666" t="s">
        <v>14</v>
      </c>
      <c r="U39" s="667">
        <f t="shared" si="13"/>
        <v>100</v>
      </c>
      <c r="V39" s="666" t="s">
        <v>14</v>
      </c>
      <c r="W39" s="667">
        <f t="shared" si="14"/>
        <v>100</v>
      </c>
      <c r="X39" s="1263"/>
      <c r="Y39" s="3456" t="s">
        <v>1688</v>
      </c>
      <c r="Z39" s="1262" t="str">
        <f t="shared" si="15"/>
        <v>物业管理</v>
      </c>
      <c r="AA39" s="1262">
        <f t="shared" si="3"/>
        <v>1</v>
      </c>
      <c r="AB39" s="1262">
        <f t="shared" si="4"/>
        <v>1</v>
      </c>
      <c r="AC39" s="1810">
        <f t="shared" si="5"/>
        <v>1</v>
      </c>
    </row>
    <row r="40" spans="1:29" ht="15">
      <c r="A40" s="408"/>
      <c r="B40" s="363" t="s">
        <v>1779</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516"/>
      <c r="Q40" s="1261" t="str">
        <f t="shared" si="11"/>
        <v>市政基础设施</v>
      </c>
      <c r="R40" s="666" t="s">
        <v>14</v>
      </c>
      <c r="S40" s="667">
        <f t="shared" si="12"/>
        <v>100</v>
      </c>
      <c r="T40" s="666" t="s">
        <v>14</v>
      </c>
      <c r="U40" s="667">
        <f t="shared" si="13"/>
        <v>100</v>
      </c>
      <c r="V40" s="666" t="s">
        <v>14</v>
      </c>
      <c r="W40" s="667">
        <f t="shared" si="14"/>
        <v>100</v>
      </c>
      <c r="X40" s="1263"/>
      <c r="Y40" s="3456"/>
      <c r="Z40" s="1262" t="str">
        <f t="shared" si="15"/>
        <v>市政基础设施</v>
      </c>
      <c r="AA40" s="1262">
        <f t="shared" si="3"/>
        <v>1</v>
      </c>
      <c r="AB40" s="1262">
        <f t="shared" si="4"/>
        <v>1</v>
      </c>
      <c r="AC40" s="1810">
        <f t="shared" si="5"/>
        <v>1</v>
      </c>
    </row>
    <row r="41" spans="1:29" ht="15">
      <c r="A41" s="408"/>
      <c r="B41" s="363" t="s">
        <v>1781</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516"/>
      <c r="Q41" s="1261" t="str">
        <f t="shared" si="11"/>
        <v>层高</v>
      </c>
      <c r="R41" s="666" t="s">
        <v>14</v>
      </c>
      <c r="S41" s="667">
        <f t="shared" si="12"/>
        <v>100</v>
      </c>
      <c r="T41" s="666" t="s">
        <v>14</v>
      </c>
      <c r="U41" s="667">
        <f t="shared" si="13"/>
        <v>100</v>
      </c>
      <c r="V41" s="666" t="s">
        <v>14</v>
      </c>
      <c r="W41" s="667">
        <f t="shared" si="14"/>
        <v>100</v>
      </c>
      <c r="X41" s="1263"/>
      <c r="Y41" s="3456"/>
      <c r="Z41" s="1262" t="str">
        <f t="shared" si="15"/>
        <v>层高</v>
      </c>
      <c r="AA41" s="1262">
        <f t="shared" si="3"/>
        <v>1</v>
      </c>
      <c r="AB41" s="1262">
        <f t="shared" si="4"/>
        <v>1</v>
      </c>
      <c r="AC41" s="1810">
        <f t="shared" si="5"/>
        <v>1</v>
      </c>
    </row>
    <row r="42" spans="1:29" s="407" customFormat="1" ht="15">
      <c r="A42" s="405"/>
      <c r="B42" s="399" t="s">
        <v>1812</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516"/>
      <c r="Q42" s="530" t="str">
        <f t="shared" si="11"/>
        <v>单套建筑面积</v>
      </c>
      <c r="R42" s="668" t="s">
        <v>14</v>
      </c>
      <c r="S42" s="669">
        <f t="shared" si="12"/>
        <v>100</v>
      </c>
      <c r="T42" s="668" t="s">
        <v>14</v>
      </c>
      <c r="U42" s="669">
        <f t="shared" si="13"/>
        <v>100</v>
      </c>
      <c r="V42" s="668" t="s">
        <v>14</v>
      </c>
      <c r="W42" s="669">
        <f t="shared" si="14"/>
        <v>100</v>
      </c>
      <c r="X42" s="670"/>
      <c r="Y42" s="3456"/>
      <c r="Z42" s="671" t="str">
        <f t="shared" si="15"/>
        <v>单套建筑面积</v>
      </c>
      <c r="AA42" s="1262">
        <f t="shared" si="3"/>
        <v>1</v>
      </c>
      <c r="AB42" s="1262">
        <f t="shared" si="4"/>
        <v>1</v>
      </c>
      <c r="AC42" s="1810">
        <f t="shared" si="5"/>
        <v>1</v>
      </c>
    </row>
    <row r="43" spans="1:29" ht="15">
      <c r="A43" s="408"/>
      <c r="B43" s="363" t="s">
        <v>1784</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516"/>
      <c r="Q43" s="1261" t="str">
        <f t="shared" si="11"/>
        <v>内部装修</v>
      </c>
      <c r="R43" s="666" t="s">
        <v>14</v>
      </c>
      <c r="S43" s="667">
        <f t="shared" si="12"/>
        <v>100</v>
      </c>
      <c r="T43" s="666" t="s">
        <v>14</v>
      </c>
      <c r="U43" s="667">
        <f t="shared" si="13"/>
        <v>100</v>
      </c>
      <c r="V43" s="666" t="s">
        <v>14</v>
      </c>
      <c r="W43" s="667">
        <f t="shared" si="14"/>
        <v>100</v>
      </c>
      <c r="X43" s="1263"/>
      <c r="Y43" s="3456"/>
      <c r="Z43" s="1262" t="str">
        <f t="shared" si="15"/>
        <v>内部装修</v>
      </c>
      <c r="AA43" s="1262">
        <f t="shared" si="3"/>
        <v>1</v>
      </c>
      <c r="AB43" s="1262">
        <f t="shared" si="4"/>
        <v>1</v>
      </c>
      <c r="AC43" s="1810">
        <f t="shared" si="5"/>
        <v>1</v>
      </c>
    </row>
    <row r="44" spans="1:29" ht="15">
      <c r="A44" s="408"/>
      <c r="B44" s="363" t="s">
        <v>1699</v>
      </c>
      <c r="C44" s="398"/>
      <c r="D44" s="373">
        <v>100</v>
      </c>
      <c r="E44" s="1758"/>
      <c r="F44" s="399">
        <f>SUMIF(125:125,E44,126:126)-SUMIF(125:125,C44,126:126)+100</f>
        <v>100</v>
      </c>
      <c r="G44" s="1758"/>
      <c r="H44" s="373">
        <f>SUMIF(125:125,G44,126:126)-SUMIF(125:125,C44,126:126)+100</f>
        <v>100</v>
      </c>
      <c r="I44" s="1758"/>
      <c r="J44" s="373">
        <f>SUMIF(125:125,I44,126:126)-SUMIF(125:125,C44,126:126)+100</f>
        <v>100</v>
      </c>
      <c r="K44" s="537"/>
      <c r="L44" s="2490"/>
      <c r="M44" s="2485"/>
      <c r="N44" s="2485"/>
      <c r="O44" s="2485"/>
      <c r="P44" s="3516"/>
      <c r="Q44" s="1261" t="str">
        <f t="shared" si="11"/>
        <v>内部装修维护情况</v>
      </c>
      <c r="R44" s="666" t="s">
        <v>14</v>
      </c>
      <c r="S44" s="667">
        <f t="shared" si="12"/>
        <v>100</v>
      </c>
      <c r="T44" s="666" t="s">
        <v>14</v>
      </c>
      <c r="U44" s="667">
        <f t="shared" si="13"/>
        <v>100</v>
      </c>
      <c r="V44" s="666" t="s">
        <v>14</v>
      </c>
      <c r="W44" s="667">
        <f t="shared" si="14"/>
        <v>100</v>
      </c>
      <c r="X44" s="1263"/>
      <c r="Y44" s="3456"/>
      <c r="Z44" s="1262" t="str">
        <f t="shared" si="15"/>
        <v>内部装修维护情况</v>
      </c>
      <c r="AA44" s="1262">
        <f t="shared" si="3"/>
        <v>1</v>
      </c>
      <c r="AB44" s="1262">
        <f t="shared" si="4"/>
        <v>1</v>
      </c>
      <c r="AC44" s="1810">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7"/>
      <c r="N45" s="2437"/>
      <c r="O45" s="2437"/>
      <c r="P45" s="3516"/>
      <c r="Q45" s="529">
        <f t="shared" si="11"/>
        <v>111</v>
      </c>
      <c r="R45" s="663" t="s">
        <v>14</v>
      </c>
      <c r="S45" s="664">
        <f t="shared" si="12"/>
        <v>100</v>
      </c>
      <c r="T45" s="663" t="s">
        <v>14</v>
      </c>
      <c r="U45" s="664">
        <f t="shared" si="13"/>
        <v>100</v>
      </c>
      <c r="V45" s="663" t="s">
        <v>14</v>
      </c>
      <c r="W45" s="664">
        <f t="shared" si="14"/>
        <v>100</v>
      </c>
      <c r="X45" s="665"/>
      <c r="Y45" s="3456"/>
      <c r="Z45" s="50">
        <f t="shared" si="15"/>
        <v>111</v>
      </c>
      <c r="AA45" s="50">
        <f t="shared" si="3"/>
        <v>1</v>
      </c>
      <c r="AB45" s="50">
        <f t="shared" si="4"/>
        <v>1</v>
      </c>
      <c r="AC45" s="800">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516"/>
      <c r="Q46" s="1261">
        <f t="shared" si="11"/>
        <v>111</v>
      </c>
      <c r="R46" s="666" t="s">
        <v>14</v>
      </c>
      <c r="S46" s="667">
        <f t="shared" si="12"/>
        <v>100</v>
      </c>
      <c r="T46" s="666" t="s">
        <v>14</v>
      </c>
      <c r="U46" s="667">
        <f t="shared" si="13"/>
        <v>100</v>
      </c>
      <c r="V46" s="666" t="s">
        <v>14</v>
      </c>
      <c r="W46" s="667">
        <f t="shared" si="14"/>
        <v>100</v>
      </c>
      <c r="X46" s="1263"/>
      <c r="Y46" s="3456"/>
      <c r="Z46" s="1262">
        <f t="shared" si="15"/>
        <v>111</v>
      </c>
      <c r="AA46" s="1262">
        <f t="shared" si="3"/>
        <v>1</v>
      </c>
      <c r="AB46" s="1262">
        <f t="shared" si="4"/>
        <v>1</v>
      </c>
      <c r="AC46" s="1810">
        <f t="shared" si="5"/>
        <v>1</v>
      </c>
    </row>
    <row r="47" spans="1:29" ht="15.75" thickBot="1">
      <c r="A47" s="414"/>
      <c r="B47" s="1747">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517"/>
      <c r="Q47" s="1261">
        <f t="shared" si="11"/>
        <v>111</v>
      </c>
      <c r="R47" s="666" t="s">
        <v>14</v>
      </c>
      <c r="S47" s="667">
        <f t="shared" si="12"/>
        <v>100</v>
      </c>
      <c r="T47" s="666" t="s">
        <v>14</v>
      </c>
      <c r="U47" s="667">
        <f t="shared" si="13"/>
        <v>100</v>
      </c>
      <c r="V47" s="666" t="s">
        <v>14</v>
      </c>
      <c r="W47" s="667">
        <f t="shared" si="14"/>
        <v>100</v>
      </c>
      <c r="X47" s="1263"/>
      <c r="Y47" s="3518"/>
      <c r="Z47" s="1262">
        <f t="shared" si="15"/>
        <v>111</v>
      </c>
      <c r="AA47" s="1262">
        <f t="shared" si="3"/>
        <v>1</v>
      </c>
      <c r="AB47" s="1262">
        <f t="shared" si="4"/>
        <v>1</v>
      </c>
      <c r="AC47" s="1810">
        <f t="shared" si="5"/>
        <v>1</v>
      </c>
    </row>
    <row r="48" spans="1:29" ht="15">
      <c r="A48" s="415" t="s">
        <v>1700</v>
      </c>
      <c r="B48" s="416"/>
      <c r="C48" s="1079" t="s">
        <v>0</v>
      </c>
      <c r="D48" s="417"/>
      <c r="E48" s="418"/>
      <c r="F48" s="419"/>
      <c r="G48" s="420"/>
      <c r="H48" s="421"/>
      <c r="I48" s="418"/>
      <c r="J48" s="421"/>
      <c r="K48" s="673"/>
      <c r="L48" s="2492"/>
      <c r="M48" s="2485"/>
      <c r="N48" s="2485"/>
      <c r="O48" s="2485"/>
      <c r="P48" s="3451" t="str">
        <f>A48</f>
        <v>成交单价（元/平方米）</v>
      </c>
      <c r="Q48" s="3452"/>
      <c r="R48" s="3457">
        <f>E48</f>
        <v>0</v>
      </c>
      <c r="S48" s="3457"/>
      <c r="T48" s="3457">
        <f>G48</f>
        <v>0</v>
      </c>
      <c r="U48" s="3457"/>
      <c r="V48" s="3457">
        <f>I48</f>
        <v>0</v>
      </c>
      <c r="W48" s="3457"/>
      <c r="X48" s="384"/>
      <c r="Y48" s="672"/>
      <c r="Z48" s="384"/>
      <c r="AA48" s="384"/>
      <c r="AB48" s="384"/>
      <c r="AC48" s="554"/>
    </row>
    <row r="49" spans="1:29" ht="15.75" thickBot="1">
      <c r="A49" s="422" t="s">
        <v>1785</v>
      </c>
      <c r="B49" s="423"/>
      <c r="C49" s="1080" t="e">
        <f>R50</f>
        <v>#DIV/0!</v>
      </c>
      <c r="D49" s="2139" t="s">
        <v>2128</v>
      </c>
      <c r="E49" s="1081" t="e">
        <f>R49</f>
        <v>#DIV/0!</v>
      </c>
      <c r="F49" s="2140"/>
      <c r="G49" s="1080" t="e">
        <f>T49</f>
        <v>#DIV/0!</v>
      </c>
      <c r="H49" s="2140"/>
      <c r="I49" s="1081" t="e">
        <f>V49</f>
        <v>#DIV/0!</v>
      </c>
      <c r="J49" s="2140"/>
      <c r="K49" s="2142">
        <f>F49+H49+J49</f>
        <v>0</v>
      </c>
      <c r="L49" s="2492"/>
      <c r="M49" s="2485"/>
      <c r="N49" s="2485"/>
      <c r="O49" s="2485"/>
      <c r="P49" s="3451" t="str">
        <f>A49</f>
        <v>比较价值（元/平方米）</v>
      </c>
      <c r="Q49" s="3452"/>
      <c r="R49" s="3457" t="e">
        <f>IF(F1="售价",ROUND(PRODUCT(R48,AA7:AA47),0),ROUND(PRODUCT(R48,AA7:AA47),1))</f>
        <v>#DIV/0!</v>
      </c>
      <c r="S49" s="3457"/>
      <c r="T49" s="3457" t="e">
        <f>IF(F1="售价",ROUND(PRODUCT(T48,AB7:AB47),0),ROUND(PRODUCT(T48,AB7:AB47),1))</f>
        <v>#DIV/0!</v>
      </c>
      <c r="U49" s="3457"/>
      <c r="V49" s="3457" t="e">
        <f>IF(F1="售价",ROUND(PRODUCT(V48,AC7:AC47),0),ROUND(PRODUCT(V48,AC7:AC47),1))</f>
        <v>#DIV/0!</v>
      </c>
      <c r="W49" s="3457"/>
      <c r="X49" s="384"/>
      <c r="Y49" s="384"/>
      <c r="Z49" s="384"/>
      <c r="AA49" s="384"/>
      <c r="AB49" s="384"/>
      <c r="AC49" s="554"/>
    </row>
    <row r="50" spans="1:29" ht="15.75" thickBot="1">
      <c r="A50" s="426" t="s">
        <v>1786</v>
      </c>
      <c r="B50" s="427"/>
      <c r="C50" s="350" t="e">
        <f>R50</f>
        <v>#DIV/0!</v>
      </c>
      <c r="D50" s="350"/>
      <c r="E50" s="350"/>
      <c r="F50" s="350"/>
      <c r="G50" s="350"/>
      <c r="H50" s="350"/>
      <c r="I50" s="350"/>
      <c r="J50" s="428"/>
      <c r="K50" s="674"/>
      <c r="L50" s="2492"/>
      <c r="M50" s="2485"/>
      <c r="N50" s="2485"/>
      <c r="O50" s="2485"/>
      <c r="P50" s="3521" t="str">
        <f>A50</f>
        <v>估价对象XX用房的比较价值（楼面单价，元/平方米）</v>
      </c>
      <c r="Q50" s="3522"/>
      <c r="R50" s="3523" t="e">
        <f>IF(F1="售价",ROUND(IF(D49="简单平均",AVERAGE(R49:V49),R49*F49+T49*H49+V49*J49),0),ROUND(IF(D49="简单平均",AVERAGE(R49:V49),R49*F49+T49*H49+V49*J49),1))</f>
        <v>#DIV/0!</v>
      </c>
      <c r="S50" s="3523"/>
      <c r="T50" s="3523"/>
      <c r="U50" s="3523"/>
      <c r="V50" s="3523"/>
      <c r="W50" s="3523"/>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1787</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1788</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1789</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7" t="s">
        <v>1790</v>
      </c>
      <c r="B58" s="384"/>
      <c r="C58" s="658"/>
      <c r="D58" s="658"/>
      <c r="E58" s="658"/>
      <c r="F58" s="659"/>
      <c r="G58" s="659"/>
      <c r="H58" s="658"/>
      <c r="I58" s="658"/>
      <c r="J58" s="658"/>
      <c r="K58" s="660"/>
      <c r="L58" s="886"/>
      <c r="M58" s="884"/>
      <c r="N58" s="2535"/>
      <c r="O58" s="2535"/>
      <c r="P58" s="2524"/>
      <c r="Q58" s="2506"/>
      <c r="R58" s="2485"/>
      <c r="S58" s="2485"/>
      <c r="T58" s="2485"/>
      <c r="U58" s="2485"/>
      <c r="V58" s="2485"/>
      <c r="W58" s="2485"/>
      <c r="X58" s="2485"/>
      <c r="Y58" s="2485"/>
      <c r="Z58" s="2485"/>
      <c r="AA58" s="2485"/>
      <c r="AB58" s="2485"/>
      <c r="AC58" s="2485"/>
    </row>
    <row r="59" spans="1:29" s="441" customFormat="1" ht="15">
      <c r="A59" s="439" t="s">
        <v>1671</v>
      </c>
      <c r="B59" s="440"/>
      <c r="C59" s="1101" t="str">
        <f>YEAR(C7)&amp;"-"&amp;MONTH(C7)</f>
        <v>2025-2</v>
      </c>
      <c r="D59" s="1102">
        <f>EDATE(C59,-1)</f>
        <v>45658</v>
      </c>
      <c r="E59" s="1102">
        <f>EDATE(D59,-1)</f>
        <v>45627</v>
      </c>
      <c r="F59" s="1102">
        <f t="shared" ref="F59:O59" si="16">EDATE(E59,-1)</f>
        <v>45597</v>
      </c>
      <c r="G59" s="1102">
        <f t="shared" si="16"/>
        <v>45566</v>
      </c>
      <c r="H59" s="1102">
        <f t="shared" si="16"/>
        <v>45536</v>
      </c>
      <c r="I59" s="1102">
        <f t="shared" si="16"/>
        <v>45505</v>
      </c>
      <c r="J59" s="1102">
        <f t="shared" si="16"/>
        <v>45474</v>
      </c>
      <c r="K59" s="1102">
        <f t="shared" si="16"/>
        <v>45444</v>
      </c>
      <c r="L59" s="1102">
        <f t="shared" si="16"/>
        <v>45413</v>
      </c>
      <c r="M59" s="1102">
        <f t="shared" si="16"/>
        <v>45383</v>
      </c>
      <c r="N59" s="1102">
        <f t="shared" si="16"/>
        <v>45352</v>
      </c>
      <c r="O59" s="1102">
        <f t="shared" si="16"/>
        <v>45323</v>
      </c>
      <c r="P59" s="2525"/>
      <c r="Q59" s="2508"/>
      <c r="R59" s="2508"/>
      <c r="S59" s="2508"/>
      <c r="T59" s="2508"/>
      <c r="U59" s="2508"/>
      <c r="V59" s="2508"/>
      <c r="W59" s="2508"/>
      <c r="X59" s="2508"/>
      <c r="Y59" s="2508"/>
      <c r="Z59" s="2508"/>
      <c r="AA59" s="2508"/>
      <c r="AB59" s="2508"/>
      <c r="AC59" s="2508"/>
    </row>
    <row r="60" spans="1:29" s="101" customFormat="1" ht="15">
      <c r="A60" s="442"/>
      <c r="B60" s="443"/>
      <c r="C60" s="1100">
        <v>100</v>
      </c>
      <c r="D60" s="445"/>
      <c r="E60" s="445"/>
      <c r="F60" s="445"/>
      <c r="G60" s="445"/>
      <c r="H60" s="445"/>
      <c r="I60" s="445"/>
      <c r="J60" s="445"/>
      <c r="K60" s="445"/>
      <c r="L60" s="445"/>
      <c r="M60" s="446"/>
      <c r="N60" s="445"/>
      <c r="O60" s="446"/>
      <c r="P60" s="2526"/>
      <c r="Q60" s="2437"/>
      <c r="R60" s="2437"/>
      <c r="S60" s="2437"/>
      <c r="T60" s="2437"/>
      <c r="U60" s="2437"/>
      <c r="V60" s="2437"/>
      <c r="W60" s="2437"/>
      <c r="X60" s="2437"/>
      <c r="Y60" s="2437"/>
      <c r="Z60" s="2437"/>
      <c r="AA60" s="2437"/>
      <c r="AB60" s="2437"/>
      <c r="AC60" s="2437"/>
    </row>
    <row r="61" spans="1:29" s="101" customFormat="1" ht="15.75" thickBot="1">
      <c r="A61" s="448" t="s">
        <v>1708</v>
      </c>
      <c r="B61" s="449"/>
      <c r="C61" s="450"/>
      <c r="D61" s="451"/>
      <c r="E61" s="451"/>
      <c r="F61" s="451"/>
      <c r="G61" s="451"/>
      <c r="H61" s="451"/>
      <c r="I61" s="451"/>
      <c r="J61" s="451"/>
      <c r="K61" s="451"/>
      <c r="L61" s="451"/>
      <c r="M61" s="452"/>
      <c r="N61" s="451"/>
      <c r="O61" s="452"/>
      <c r="P61" s="2526"/>
      <c r="Q61" s="2506"/>
      <c r="R61" s="2437"/>
      <c r="S61" s="2437"/>
      <c r="T61" s="2437"/>
      <c r="U61" s="2437"/>
      <c r="V61" s="2437"/>
      <c r="W61" s="2437"/>
      <c r="X61" s="2437"/>
      <c r="Y61" s="2437"/>
      <c r="Z61" s="2437"/>
      <c r="AA61" s="2437"/>
      <c r="AB61" s="2437"/>
      <c r="AC61" s="2437"/>
    </row>
    <row r="62" spans="1:29" s="101" customFormat="1" ht="15">
      <c r="A62" s="454" t="s">
        <v>1673</v>
      </c>
      <c r="B62" s="443"/>
      <c r="C62" s="455" t="s">
        <v>1768</v>
      </c>
      <c r="D62" s="31"/>
      <c r="E62" s="31"/>
      <c r="F62" s="31"/>
      <c r="G62" s="31"/>
      <c r="H62" s="31"/>
      <c r="I62" s="31"/>
      <c r="J62" s="31"/>
      <c r="K62" s="31"/>
      <c r="L62" s="456"/>
      <c r="M62" s="457"/>
      <c r="N62" s="2518"/>
      <c r="O62" s="2518"/>
      <c r="P62" s="2527"/>
      <c r="Q62" s="2506"/>
      <c r="R62" s="2437"/>
      <c r="S62" s="2437"/>
      <c r="T62" s="2437"/>
      <c r="U62" s="2437"/>
      <c r="V62" s="2437"/>
      <c r="W62" s="2437"/>
      <c r="X62" s="2437"/>
      <c r="Y62" s="2437"/>
      <c r="Z62" s="2437"/>
      <c r="AA62" s="2437"/>
      <c r="AB62" s="2437"/>
      <c r="AC62" s="2437"/>
    </row>
    <row r="63" spans="1:29" s="101" customFormat="1" ht="15.75" thickBot="1">
      <c r="A63" s="454"/>
      <c r="B63" s="443"/>
      <c r="C63" s="444">
        <v>100</v>
      </c>
      <c r="D63" s="445"/>
      <c r="E63" s="445"/>
      <c r="F63" s="445"/>
      <c r="G63" s="445"/>
      <c r="H63" s="445"/>
      <c r="I63" s="445"/>
      <c r="J63" s="445"/>
      <c r="K63" s="445"/>
      <c r="L63" s="445"/>
      <c r="M63" s="447"/>
      <c r="N63" s="2518"/>
      <c r="O63" s="2518"/>
      <c r="P63" s="2526"/>
      <c r="Q63" s="2506"/>
      <c r="R63" s="2437"/>
      <c r="S63" s="2437"/>
      <c r="T63" s="2437"/>
      <c r="U63" s="2437"/>
      <c r="V63" s="2437"/>
      <c r="W63" s="2437"/>
      <c r="X63" s="2437"/>
      <c r="Y63" s="2437"/>
      <c r="Z63" s="2437"/>
      <c r="AA63" s="2437"/>
      <c r="AB63" s="2437"/>
      <c r="AC63" s="2437"/>
    </row>
    <row r="64" spans="1:29">
      <c r="A64" s="378" t="s">
        <v>1711</v>
      </c>
      <c r="B64" s="459" t="s">
        <v>1677</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5.75"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7.75" thickTop="1">
      <c r="A66" s="366"/>
      <c r="B66" s="468" t="s">
        <v>1680</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5.75"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75" thickTop="1">
      <c r="A68" s="366"/>
      <c r="B68" s="476" t="s">
        <v>1681</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5.75"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5.75"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5.75"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5.75"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5.75"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5.75"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c r="A77" s="378" t="s">
        <v>1682</v>
      </c>
      <c r="B77" s="459" t="s">
        <v>1813</v>
      </c>
      <c r="C77" s="503" t="s">
        <v>1713</v>
      </c>
      <c r="D77" s="503" t="s">
        <v>1714</v>
      </c>
      <c r="E77" s="503" t="s">
        <v>1715</v>
      </c>
      <c r="F77" s="503" t="s">
        <v>1716</v>
      </c>
      <c r="G77" s="503" t="s">
        <v>1717</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75" thickTop="1">
      <c r="A79" s="366"/>
      <c r="B79" s="468" t="s">
        <v>1718</v>
      </c>
      <c r="C79" s="508" t="s">
        <v>1713</v>
      </c>
      <c r="D79" s="508" t="s">
        <v>1714</v>
      </c>
      <c r="E79" s="508" t="s">
        <v>1715</v>
      </c>
      <c r="F79" s="508" t="s">
        <v>1716</v>
      </c>
      <c r="G79" s="508" t="s">
        <v>1717</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75" thickTop="1">
      <c r="A81" s="366"/>
      <c r="B81" s="468" t="s">
        <v>1719</v>
      </c>
      <c r="C81" s="508" t="s">
        <v>1713</v>
      </c>
      <c r="D81" s="508" t="s">
        <v>1714</v>
      </c>
      <c r="E81" s="508" t="s">
        <v>1715</v>
      </c>
      <c r="F81" s="508" t="s">
        <v>1716</v>
      </c>
      <c r="G81" s="508" t="s">
        <v>1717</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75" thickTop="1">
      <c r="A83" s="366"/>
      <c r="B83" s="476" t="s">
        <v>1805</v>
      </c>
      <c r="C83" s="580" t="s">
        <v>1791</v>
      </c>
      <c r="D83" s="580" t="s">
        <v>1792</v>
      </c>
      <c r="E83" s="580" t="s">
        <v>1793</v>
      </c>
      <c r="F83" s="580" t="s">
        <v>1794</v>
      </c>
      <c r="G83" s="580" t="s">
        <v>1795</v>
      </c>
      <c r="H83" s="469"/>
      <c r="I83" s="469"/>
      <c r="J83" s="469"/>
      <c r="K83" s="469"/>
      <c r="L83" s="469"/>
      <c r="M83" s="1061"/>
      <c r="N83" s="2520"/>
      <c r="O83" s="2520"/>
      <c r="P83" s="2528"/>
      <c r="Q83" s="2506"/>
      <c r="R83" s="2485"/>
      <c r="S83" s="2485"/>
      <c r="T83" s="2485"/>
      <c r="U83" s="2485"/>
      <c r="V83" s="2485"/>
      <c r="W83" s="2485"/>
      <c r="X83" s="2485"/>
      <c r="Y83" s="2485"/>
      <c r="Z83" s="2485"/>
      <c r="AA83" s="2485"/>
      <c r="AB83" s="2485"/>
      <c r="AC83" s="2485"/>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75" thickTop="1">
      <c r="A85" s="366"/>
      <c r="B85" s="468" t="s">
        <v>1814</v>
      </c>
      <c r="C85" s="508" t="s">
        <v>1713</v>
      </c>
      <c r="D85" s="508" t="s">
        <v>1714</v>
      </c>
      <c r="E85" s="508" t="s">
        <v>1715</v>
      </c>
      <c r="F85" s="508" t="s">
        <v>1716</v>
      </c>
      <c r="G85" s="508" t="s">
        <v>1717</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7.75" thickTop="1">
      <c r="A87" s="369"/>
      <c r="B87" s="468" t="s">
        <v>1815</v>
      </c>
      <c r="C87" s="484"/>
      <c r="D87" s="484"/>
      <c r="E87" s="484"/>
      <c r="F87" s="484"/>
      <c r="G87" s="484"/>
      <c r="H87" s="484"/>
      <c r="I87" s="484"/>
      <c r="J87" s="484"/>
      <c r="K87" s="484"/>
      <c r="L87" s="509"/>
      <c r="M87" s="510"/>
      <c r="N87" s="2518"/>
      <c r="O87" s="2518"/>
      <c r="P87" s="2528"/>
      <c r="Q87" s="2506"/>
      <c r="R87" s="2437"/>
      <c r="S87" s="2437"/>
      <c r="T87" s="2437"/>
      <c r="U87" s="2437"/>
      <c r="V87" s="2437"/>
      <c r="W87" s="2437"/>
      <c r="X87" s="2437"/>
      <c r="Y87" s="2437"/>
      <c r="Z87" s="2437"/>
      <c r="AA87" s="2437"/>
      <c r="AB87" s="2437"/>
      <c r="AC87" s="2437"/>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7"/>
      <c r="S88" s="2437"/>
      <c r="T88" s="2437"/>
      <c r="U88" s="2437"/>
      <c r="V88" s="2437"/>
      <c r="W88" s="2437"/>
      <c r="X88" s="2437"/>
      <c r="Y88" s="2437"/>
      <c r="Z88" s="2437"/>
      <c r="AA88" s="2437"/>
      <c r="AB88" s="2437"/>
      <c r="AC88" s="2437"/>
    </row>
    <row r="89" spans="1:29" s="101" customFormat="1" ht="15.75" thickTop="1">
      <c r="A89" s="369"/>
      <c r="B89" s="468" t="str">
        <f>B27</f>
        <v>楼层</v>
      </c>
      <c r="C89" s="484"/>
      <c r="D89" s="484"/>
      <c r="E89" s="484"/>
      <c r="F89" s="1778"/>
      <c r="G89" s="484"/>
      <c r="H89" s="484"/>
      <c r="I89" s="484"/>
      <c r="J89" s="484"/>
      <c r="K89" s="484"/>
      <c r="L89" s="484"/>
      <c r="M89" s="510"/>
      <c r="N89" s="2518"/>
      <c r="O89" s="2518"/>
      <c r="P89" s="2528"/>
      <c r="Q89" s="2506"/>
      <c r="R89" s="2437"/>
      <c r="S89" s="2437"/>
      <c r="T89" s="2437"/>
      <c r="U89" s="2437"/>
      <c r="V89" s="2437"/>
      <c r="W89" s="2437"/>
      <c r="X89" s="2437"/>
      <c r="Y89" s="2437"/>
      <c r="Z89" s="2437"/>
      <c r="AA89" s="2437"/>
      <c r="AB89" s="2437"/>
      <c r="AC89" s="2437"/>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7"/>
      <c r="S90" s="2437"/>
      <c r="T90" s="2437"/>
      <c r="U90" s="2437"/>
      <c r="V90" s="2437"/>
      <c r="W90" s="2437"/>
      <c r="X90" s="2437"/>
      <c r="Y90" s="2437"/>
      <c r="Z90" s="2437"/>
      <c r="AA90" s="2437"/>
      <c r="AB90" s="2437"/>
      <c r="AC90" s="2437"/>
    </row>
    <row r="91" spans="1:29" s="407" customFormat="1" ht="15.75"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5.75"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5.75"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5.75"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5.75"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5.75"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c r="A101" s="378" t="s">
        <v>1686</v>
      </c>
      <c r="B101" s="459" t="s">
        <v>1728</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6"/>
      <c r="B103" s="468" t="s">
        <v>1729</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5.75"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1730</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1732</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1184</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1816</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1733</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1734</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1817</v>
      </c>
      <c r="C119" s="512"/>
      <c r="D119" s="512"/>
      <c r="E119" s="512"/>
      <c r="F119" s="512"/>
      <c r="G119" s="512"/>
      <c r="H119" s="512"/>
      <c r="I119" s="512"/>
      <c r="J119" s="512"/>
      <c r="K119" s="512"/>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1800</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5.75"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1736</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8"/>
      <c r="B125" s="468" t="s">
        <v>1737</v>
      </c>
      <c r="C125" s="508" t="s">
        <v>1713</v>
      </c>
      <c r="D125" s="508" t="s">
        <v>1714</v>
      </c>
      <c r="E125" s="508" t="s">
        <v>1715</v>
      </c>
      <c r="F125" s="508" t="s">
        <v>1716</v>
      </c>
      <c r="G125" s="508" t="s">
        <v>1717</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5"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5.75"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5"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5.75"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5"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5.75"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1652</v>
      </c>
      <c r="B1" s="1806" t="s">
        <v>1818</v>
      </c>
      <c r="C1" s="1139" t="s">
        <v>1654</v>
      </c>
      <c r="D1" s="1140"/>
      <c r="E1" s="3128"/>
      <c r="F1" s="1733"/>
      <c r="G1" s="1150" t="s">
        <v>1759</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1454</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1455</v>
      </c>
      <c r="F2" s="1737"/>
      <c r="G2" s="853"/>
      <c r="H2" s="853"/>
      <c r="I2" s="853"/>
      <c r="J2" s="853"/>
      <c r="K2" s="853"/>
      <c r="L2" s="856"/>
      <c r="M2" s="857"/>
      <c r="N2" s="857"/>
      <c r="O2" s="857"/>
      <c r="P2" s="340"/>
      <c r="Q2" s="340"/>
      <c r="R2" s="340"/>
      <c r="S2" s="340"/>
      <c r="T2" s="340"/>
      <c r="U2" s="340"/>
      <c r="V2" s="340"/>
      <c r="W2" s="340"/>
      <c r="X2" s="340"/>
      <c r="Y2" s="340"/>
      <c r="Z2" s="340"/>
      <c r="AA2" s="340"/>
      <c r="AB2" s="340"/>
      <c r="AC2" s="662"/>
    </row>
    <row r="3" spans="1:29" s="341" customFormat="1" ht="28.5" customHeight="1" thickBot="1">
      <c r="A3" s="194" t="s">
        <v>1456</v>
      </c>
      <c r="B3" s="535">
        <f>IF(C2="——",C43,ROUND(B2*10000/D3,0))</f>
        <v>0</v>
      </c>
      <c r="C3" s="343" t="s">
        <v>1760</v>
      </c>
      <c r="D3" s="342">
        <f>IF(D1="",'数据-汇总表'!E3,SUMIF('数据-汇总表'!$C19:$C33,D1,'数据-汇总表'!$E19:$E33))</f>
        <v>23997.3</v>
      </c>
      <c r="E3" s="853"/>
      <c r="F3" s="854"/>
      <c r="G3" s="853"/>
      <c r="H3" s="853"/>
      <c r="I3" s="853"/>
      <c r="J3" s="853"/>
      <c r="K3" s="855"/>
      <c r="L3" s="856"/>
      <c r="M3" s="857"/>
      <c r="N3" s="857"/>
      <c r="O3" s="857"/>
      <c r="P3" s="340"/>
      <c r="Q3" s="340"/>
      <c r="R3" s="340"/>
      <c r="S3" s="340"/>
      <c r="T3" s="340"/>
      <c r="U3" s="340"/>
      <c r="V3" s="340"/>
      <c r="W3" s="340"/>
      <c r="X3" s="340"/>
      <c r="Y3" s="340"/>
      <c r="Z3" s="340"/>
      <c r="AA3" s="340"/>
      <c r="AB3" s="675"/>
      <c r="AC3" s="662"/>
    </row>
    <row r="4" spans="1:29" ht="15">
      <c r="A4" s="344" t="s">
        <v>1761</v>
      </c>
      <c r="B4" s="345"/>
      <c r="C4" s="3449" t="s">
        <v>1762</v>
      </c>
      <c r="D4" s="3461"/>
      <c r="E4" s="3462" t="s">
        <v>1763</v>
      </c>
      <c r="F4" s="3463"/>
      <c r="G4" s="3449" t="s">
        <v>1764</v>
      </c>
      <c r="H4" s="3461"/>
      <c r="I4" s="3449" t="s">
        <v>1765</v>
      </c>
      <c r="J4" s="3461"/>
      <c r="K4" s="536" t="s">
        <v>1766</v>
      </c>
      <c r="L4" s="858"/>
      <c r="M4" s="859"/>
      <c r="N4" s="859"/>
      <c r="O4" s="859"/>
      <c r="P4" s="3464" t="s">
        <v>1767</v>
      </c>
      <c r="Q4" s="3465"/>
      <c r="R4" s="3470" t="s">
        <v>1763</v>
      </c>
      <c r="S4" s="3471"/>
      <c r="T4" s="3470" t="s">
        <v>1764</v>
      </c>
      <c r="U4" s="3471"/>
      <c r="V4" s="3457" t="s">
        <v>1765</v>
      </c>
      <c r="W4" s="3457"/>
      <c r="X4" s="1263"/>
      <c r="Y4" s="3470" t="s">
        <v>1767</v>
      </c>
      <c r="Z4" s="3471"/>
      <c r="AA4" s="3458" t="s">
        <v>1763</v>
      </c>
      <c r="AB4" s="3459" t="s">
        <v>1764</v>
      </c>
      <c r="AC4" s="3458" t="s">
        <v>1765</v>
      </c>
    </row>
    <row r="5" spans="1:29" ht="15">
      <c r="A5" s="347"/>
      <c r="B5" s="348"/>
      <c r="C5" s="3478" t="s">
        <v>1665</v>
      </c>
      <c r="D5" s="3479"/>
      <c r="E5" s="3485" t="s">
        <v>1666</v>
      </c>
      <c r="F5" s="3486"/>
      <c r="G5" s="3478" t="s">
        <v>1667</v>
      </c>
      <c r="H5" s="3479"/>
      <c r="I5" s="3478" t="s">
        <v>1668</v>
      </c>
      <c r="J5" s="3479"/>
      <c r="K5" s="536"/>
      <c r="L5" s="858"/>
      <c r="M5" s="859"/>
      <c r="N5" s="859"/>
      <c r="O5" s="859"/>
      <c r="P5" s="3466"/>
      <c r="Q5" s="3467"/>
      <c r="R5" s="3472"/>
      <c r="S5" s="3473"/>
      <c r="T5" s="3472"/>
      <c r="U5" s="3473"/>
      <c r="V5" s="3457"/>
      <c r="W5" s="3457"/>
      <c r="X5" s="1263"/>
      <c r="Y5" s="3472"/>
      <c r="Z5" s="3473"/>
      <c r="AA5" s="3459"/>
      <c r="AB5" s="3459"/>
      <c r="AC5" s="3459"/>
    </row>
    <row r="6" spans="1:29" ht="15.75" thickBot="1">
      <c r="A6" s="349"/>
      <c r="B6" s="350"/>
      <c r="C6" s="3476" t="s">
        <v>1669</v>
      </c>
      <c r="D6" s="3477"/>
      <c r="E6" s="3483" t="s">
        <v>1669</v>
      </c>
      <c r="F6" s="3484"/>
      <c r="G6" s="3476" t="s">
        <v>1669</v>
      </c>
      <c r="H6" s="3477"/>
      <c r="I6" s="3476" t="s">
        <v>1669</v>
      </c>
      <c r="J6" s="3477"/>
      <c r="K6" s="536" t="s">
        <v>1670</v>
      </c>
      <c r="L6" s="858"/>
      <c r="M6" s="859"/>
      <c r="N6" s="859"/>
      <c r="O6" s="859"/>
      <c r="P6" s="3468"/>
      <c r="Q6" s="3469"/>
      <c r="R6" s="3472"/>
      <c r="S6" s="3473"/>
      <c r="T6" s="3474"/>
      <c r="U6" s="3475"/>
      <c r="V6" s="3457"/>
      <c r="W6" s="3457"/>
      <c r="X6" s="1263"/>
      <c r="Y6" s="3474"/>
      <c r="Z6" s="3475"/>
      <c r="AA6" s="3460"/>
      <c r="AB6" s="3460"/>
      <c r="AC6" s="3460"/>
    </row>
    <row r="7" spans="1:29" s="101" customFormat="1" ht="15.75" thickBot="1">
      <c r="A7" s="351" t="s">
        <v>1671</v>
      </c>
      <c r="B7" s="352"/>
      <c r="C7" s="353">
        <f>'数据-取费表'!B2</f>
        <v>45709</v>
      </c>
      <c r="D7" s="354">
        <v>100</v>
      </c>
      <c r="E7" s="355"/>
      <c r="F7" s="356">
        <f>SUMIF(52:52,YEAR(E7)&amp;"-"&amp;MONTH(E7),53:53)</f>
        <v>0</v>
      </c>
      <c r="G7" s="355"/>
      <c r="H7" s="354">
        <f>SUMIF(52:52,YEAR(G7)&amp;"-"&amp;MONTH(G7),53:53)</f>
        <v>0</v>
      </c>
      <c r="I7" s="355"/>
      <c r="J7" s="354">
        <f>SUMIF(52:52,YEAR(I7)&amp;"-"&amp;MONTH(I7),53:53)</f>
        <v>0</v>
      </c>
      <c r="K7" s="38"/>
      <c r="L7" s="860"/>
      <c r="M7" s="861"/>
      <c r="N7" s="861"/>
      <c r="O7" s="861"/>
      <c r="P7" s="3480" t="s">
        <v>1672</v>
      </c>
      <c r="Q7" s="3482"/>
      <c r="R7" s="663" t="s">
        <v>14</v>
      </c>
      <c r="S7" s="664">
        <f t="shared" ref="S7:S15" si="0">F7</f>
        <v>0</v>
      </c>
      <c r="T7" s="663" t="s">
        <v>14</v>
      </c>
      <c r="U7" s="664">
        <f t="shared" ref="U7:U15" si="1">H7</f>
        <v>0</v>
      </c>
      <c r="V7" s="663" t="s">
        <v>14</v>
      </c>
      <c r="W7" s="664">
        <f t="shared" ref="W7:W15" si="2">J7</f>
        <v>0</v>
      </c>
      <c r="X7" s="665"/>
      <c r="Y7" s="3480" t="s">
        <v>1672</v>
      </c>
      <c r="Z7" s="3481"/>
      <c r="AA7" s="50" t="e">
        <f>D7/F7</f>
        <v>#DIV/0!</v>
      </c>
      <c r="AB7" s="50" t="e">
        <f>D7/H7</f>
        <v>#DIV/0!</v>
      </c>
      <c r="AC7" s="50" t="e">
        <f>D7/J7</f>
        <v>#DIV/0!</v>
      </c>
    </row>
    <row r="8" spans="1:29" s="101" customFormat="1" ht="15.75" thickBot="1">
      <c r="A8" s="351" t="s">
        <v>1673</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80" t="s">
        <v>1675</v>
      </c>
      <c r="Q8" s="3481"/>
      <c r="R8" s="663" t="s">
        <v>14</v>
      </c>
      <c r="S8" s="664">
        <f t="shared" si="0"/>
        <v>100</v>
      </c>
      <c r="T8" s="663" t="s">
        <v>14</v>
      </c>
      <c r="U8" s="664">
        <f t="shared" si="1"/>
        <v>100</v>
      </c>
      <c r="V8" s="663" t="s">
        <v>14</v>
      </c>
      <c r="W8" s="664">
        <f t="shared" si="2"/>
        <v>100</v>
      </c>
      <c r="X8" s="665"/>
      <c r="Y8" s="3480" t="s">
        <v>1675</v>
      </c>
      <c r="Z8" s="3481"/>
      <c r="AA8" s="50">
        <f t="shared" ref="AA8:AA40" si="3">D8/F8</f>
        <v>1</v>
      </c>
      <c r="AB8" s="50">
        <f t="shared" ref="AB8:AB40" si="4">D8/H8</f>
        <v>1</v>
      </c>
      <c r="AC8" s="50">
        <f t="shared" ref="AC8:AC40" si="5">D8/J8</f>
        <v>1</v>
      </c>
    </row>
    <row r="9" spans="1:29" s="101" customFormat="1">
      <c r="A9" s="358" t="s">
        <v>1676</v>
      </c>
      <c r="B9" s="60" t="s">
        <v>1677</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52" t="s">
        <v>1678</v>
      </c>
      <c r="Q9" s="529" t="str">
        <f t="shared" ref="Q9:Q15" si="6">B9</f>
        <v>用途</v>
      </c>
      <c r="R9" s="663" t="s">
        <v>14</v>
      </c>
      <c r="S9" s="664">
        <f t="shared" si="0"/>
        <v>100</v>
      </c>
      <c r="T9" s="663" t="s">
        <v>14</v>
      </c>
      <c r="U9" s="664">
        <f t="shared" si="1"/>
        <v>100</v>
      </c>
      <c r="V9" s="663" t="s">
        <v>14</v>
      </c>
      <c r="W9" s="664">
        <f t="shared" si="2"/>
        <v>100</v>
      </c>
      <c r="X9" s="665"/>
      <c r="Y9" s="3328" t="s">
        <v>1679</v>
      </c>
      <c r="Z9" s="50" t="str">
        <f t="shared" ref="Z9:Z15" si="7">Q9</f>
        <v>用途</v>
      </c>
      <c r="AA9" s="50">
        <f t="shared" si="3"/>
        <v>1</v>
      </c>
      <c r="AB9" s="50">
        <f t="shared" si="4"/>
        <v>1</v>
      </c>
      <c r="AC9" s="50">
        <f t="shared" si="5"/>
        <v>1</v>
      </c>
    </row>
    <row r="10" spans="1:29" s="365" customFormat="1" ht="27">
      <c r="A10" s="362"/>
      <c r="B10" s="363" t="s">
        <v>1680</v>
      </c>
      <c r="C10" s="3129"/>
      <c r="D10" s="118">
        <v>100</v>
      </c>
      <c r="E10" s="3129"/>
      <c r="F10" s="118">
        <f>SUMIF(59:59,E10,60:60)-SUMIF(59:59,C10,60:60)+100</f>
        <v>100</v>
      </c>
      <c r="G10" s="3130"/>
      <c r="H10" s="118">
        <f>SUMIF(59:59,G10,60:60)-SUMIF(59:59,C10,60:60)+100</f>
        <v>100</v>
      </c>
      <c r="I10" s="3129"/>
      <c r="J10" s="118">
        <f>SUMIF(59:59,I10,60:60)-SUMIF(59:59,C10,60:60)+100</f>
        <v>100</v>
      </c>
      <c r="K10" s="38"/>
      <c r="L10" s="863"/>
      <c r="M10" s="864"/>
      <c r="N10" s="864"/>
      <c r="O10" s="865"/>
      <c r="P10" s="3452"/>
      <c r="Q10" s="529"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366"/>
      <c r="B11" s="363" t="s">
        <v>1681</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52"/>
      <c r="Q11" s="529" t="str">
        <f t="shared" si="6"/>
        <v>容积率</v>
      </c>
      <c r="R11" s="663" t="s">
        <v>14</v>
      </c>
      <c r="S11" s="664">
        <f t="shared" si="0"/>
        <v>100</v>
      </c>
      <c r="T11" s="663" t="s">
        <v>14</v>
      </c>
      <c r="U11" s="664">
        <f t="shared" si="1"/>
        <v>100</v>
      </c>
      <c r="V11" s="663" t="s">
        <v>14</v>
      </c>
      <c r="W11" s="664">
        <f t="shared" si="2"/>
        <v>100</v>
      </c>
      <c r="X11" s="665"/>
      <c r="Y11" s="3328"/>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6"/>
      <c r="H12" s="118">
        <f>SUMIF(64:64,G12,65:65)-SUMIF(64:64,C12,65:65)+100</f>
        <v>100</v>
      </c>
      <c r="I12" s="406"/>
      <c r="J12" s="118">
        <f>SUMIF(64:64,I12,65:65)-SUMIF(64:64,C12,65:65)+100</f>
        <v>100</v>
      </c>
      <c r="K12" s="538"/>
      <c r="L12" s="860"/>
      <c r="M12" s="861"/>
      <c r="N12" s="861"/>
      <c r="O12" s="862"/>
      <c r="P12" s="3452"/>
      <c r="Q12" s="529">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6"/>
      <c r="H13" s="373">
        <f>SUMIF(66:66,G13,67:67)-SUMIF(66:66,C13,67:67)+100</f>
        <v>100</v>
      </c>
      <c r="I13" s="406"/>
      <c r="J13" s="373">
        <f>SUMIF(66:66,I13,67:67)-SUMIF(66:66,C13,67:67)+100</f>
        <v>100</v>
      </c>
      <c r="K13" s="538"/>
      <c r="L13" s="868"/>
      <c r="M13" s="859"/>
      <c r="N13" s="859"/>
      <c r="O13" s="867"/>
      <c r="P13" s="3452"/>
      <c r="Q13" s="529">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15.75" thickBot="1">
      <c r="A14" s="374"/>
      <c r="B14" s="1747">
        <v>111</v>
      </c>
      <c r="C14" s="375"/>
      <c r="D14" s="376">
        <v>100</v>
      </c>
      <c r="E14" s="375"/>
      <c r="F14" s="376">
        <f>SUMIF(68:68,E14,69:69)-SUMIF(68:68,C14,69:69)+100</f>
        <v>100</v>
      </c>
      <c r="G14" s="1816"/>
      <c r="H14" s="376">
        <f>SUMIF(68:68,G14,69:69)-SUMIF(68:68,C14,69:69)+100</f>
        <v>100</v>
      </c>
      <c r="I14" s="406"/>
      <c r="J14" s="376">
        <f>SUMIF(68:68,I14,69:69)-SUMIF(68:68,C14,69:69)+100</f>
        <v>100</v>
      </c>
      <c r="K14" s="538"/>
      <c r="L14" s="868"/>
      <c r="M14" s="859"/>
      <c r="N14" s="859"/>
      <c r="O14" s="867"/>
      <c r="P14" s="3452"/>
      <c r="Q14" s="529">
        <f t="shared" si="6"/>
        <v>111</v>
      </c>
      <c r="R14" s="663" t="s">
        <v>14</v>
      </c>
      <c r="S14" s="664">
        <f t="shared" si="0"/>
        <v>100</v>
      </c>
      <c r="T14" s="663" t="s">
        <v>14</v>
      </c>
      <c r="U14" s="664">
        <f t="shared" si="1"/>
        <v>100</v>
      </c>
      <c r="V14" s="663" t="s">
        <v>14</v>
      </c>
      <c r="W14" s="664">
        <f t="shared" si="2"/>
        <v>100</v>
      </c>
      <c r="X14" s="665"/>
      <c r="Y14" s="3328"/>
      <c r="Z14" s="50">
        <f t="shared" si="7"/>
        <v>111</v>
      </c>
      <c r="AA14" s="50">
        <f t="shared" si="3"/>
        <v>1</v>
      </c>
      <c r="AB14" s="50">
        <f t="shared" si="4"/>
        <v>1</v>
      </c>
      <c r="AC14" s="50">
        <f t="shared" si="5"/>
        <v>1</v>
      </c>
    </row>
    <row r="15" spans="1:29" ht="57">
      <c r="A15" s="378" t="s">
        <v>1682</v>
      </c>
      <c r="B15" s="58" t="s">
        <v>1819</v>
      </c>
      <c r="C15" s="1817"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53" t="s">
        <v>1683</v>
      </c>
      <c r="Q15" s="1261" t="str">
        <f t="shared" si="6"/>
        <v>产业集聚程度</v>
      </c>
      <c r="R15" s="666" t="s">
        <v>14</v>
      </c>
      <c r="S15" s="667">
        <f t="shared" si="0"/>
        <v>100</v>
      </c>
      <c r="T15" s="666" t="s">
        <v>14</v>
      </c>
      <c r="U15" s="667">
        <f t="shared" si="1"/>
        <v>100</v>
      </c>
      <c r="V15" s="666" t="s">
        <v>14</v>
      </c>
      <c r="W15" s="667">
        <f t="shared" si="2"/>
        <v>100</v>
      </c>
      <c r="X15" s="1263"/>
      <c r="Y15" s="3453" t="s">
        <v>1683</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8"/>
      <c r="M16" s="859"/>
      <c r="N16" s="859"/>
      <c r="O16" s="867"/>
      <c r="P16" s="3454"/>
      <c r="Q16" s="1261"/>
      <c r="R16" s="666"/>
      <c r="S16" s="667"/>
      <c r="T16" s="666"/>
      <c r="U16" s="667"/>
      <c r="V16" s="666"/>
      <c r="W16" s="667"/>
      <c r="X16" s="1263"/>
      <c r="Y16" s="3454"/>
      <c r="Z16" s="1262"/>
      <c r="AA16" s="1262">
        <v>1</v>
      </c>
      <c r="AB16" s="1262">
        <v>1</v>
      </c>
      <c r="AC16" s="1262">
        <v>1</v>
      </c>
    </row>
    <row r="17" spans="1:29" ht="85.5">
      <c r="A17" s="366"/>
      <c r="B17" s="389" t="s">
        <v>1253</v>
      </c>
      <c r="C17" s="1752"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54"/>
      <c r="Q17" s="1261" t="str">
        <f>B17</f>
        <v>交通便捷度</v>
      </c>
      <c r="R17" s="666" t="s">
        <v>14</v>
      </c>
      <c r="S17" s="667">
        <f>F17</f>
        <v>100</v>
      </c>
      <c r="T17" s="666" t="s">
        <v>14</v>
      </c>
      <c r="U17" s="667">
        <f>H17</f>
        <v>100</v>
      </c>
      <c r="V17" s="666" t="s">
        <v>14</v>
      </c>
      <c r="W17" s="667">
        <f>J17</f>
        <v>100</v>
      </c>
      <c r="X17" s="1263"/>
      <c r="Y17" s="3454"/>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868"/>
      <c r="M18" s="859"/>
      <c r="N18" s="859"/>
      <c r="O18" s="867"/>
      <c r="P18" s="3454"/>
      <c r="Q18" s="1261"/>
      <c r="R18" s="666"/>
      <c r="S18" s="667"/>
      <c r="T18" s="666"/>
      <c r="U18" s="667"/>
      <c r="V18" s="666"/>
      <c r="W18" s="667"/>
      <c r="X18" s="1263"/>
      <c r="Y18" s="3454"/>
      <c r="Z18" s="1262"/>
      <c r="AA18" s="1262">
        <v>1</v>
      </c>
      <c r="AB18" s="1262">
        <v>1</v>
      </c>
      <c r="AC18" s="1262">
        <v>1</v>
      </c>
    </row>
    <row r="19" spans="1:29" ht="42.75">
      <c r="A19" s="366"/>
      <c r="B19" s="389" t="s">
        <v>1804</v>
      </c>
      <c r="C19" s="1752"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54"/>
      <c r="Q19" s="1261" t="str">
        <f>B19</f>
        <v>公共配套设施</v>
      </c>
      <c r="R19" s="666" t="s">
        <v>14</v>
      </c>
      <c r="S19" s="667">
        <f>F19</f>
        <v>100</v>
      </c>
      <c r="T19" s="666" t="s">
        <v>14</v>
      </c>
      <c r="U19" s="667">
        <f>H19</f>
        <v>100</v>
      </c>
      <c r="V19" s="666" t="s">
        <v>14</v>
      </c>
      <c r="W19" s="667">
        <f>J19</f>
        <v>100</v>
      </c>
      <c r="X19" s="1263"/>
      <c r="Y19" s="3454"/>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868"/>
      <c r="M20" s="859"/>
      <c r="N20" s="859"/>
      <c r="O20" s="867"/>
      <c r="P20" s="3454"/>
      <c r="Q20" s="1261"/>
      <c r="R20" s="666"/>
      <c r="S20" s="667"/>
      <c r="T20" s="666"/>
      <c r="U20" s="667"/>
      <c r="V20" s="666"/>
      <c r="W20" s="667"/>
      <c r="X20" s="1263"/>
      <c r="Y20" s="3454"/>
      <c r="Z20" s="1262"/>
      <c r="AA20" s="1262">
        <v>1</v>
      </c>
      <c r="AB20" s="1262">
        <v>1</v>
      </c>
      <c r="AC20" s="1262">
        <v>1</v>
      </c>
    </row>
    <row r="21" spans="1:29" ht="28.5">
      <c r="A21" s="366"/>
      <c r="B21" s="585" t="s">
        <v>1805</v>
      </c>
      <c r="C21" s="1752"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54"/>
      <c r="Q21" s="1261" t="str">
        <f>B21</f>
        <v>基础设施水平</v>
      </c>
      <c r="R21" s="666" t="s">
        <v>14</v>
      </c>
      <c r="S21" s="667">
        <f>F21</f>
        <v>100</v>
      </c>
      <c r="T21" s="666" t="s">
        <v>14</v>
      </c>
      <c r="U21" s="667">
        <f>H21</f>
        <v>100</v>
      </c>
      <c r="V21" s="666" t="s">
        <v>14</v>
      </c>
      <c r="W21" s="667">
        <f>J21</f>
        <v>100</v>
      </c>
      <c r="X21" s="1263"/>
      <c r="Y21" s="3454"/>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2"/>
      <c r="L22" s="868"/>
      <c r="M22" s="859"/>
      <c r="N22" s="859"/>
      <c r="O22" s="867"/>
      <c r="P22" s="3454"/>
      <c r="Q22" s="1261"/>
      <c r="R22" s="666"/>
      <c r="S22" s="667"/>
      <c r="T22" s="666"/>
      <c r="U22" s="667"/>
      <c r="V22" s="666"/>
      <c r="W22" s="667"/>
      <c r="X22" s="1263"/>
      <c r="Y22" s="3454"/>
      <c r="Z22" s="1262"/>
      <c r="AA22" s="1262">
        <v>1</v>
      </c>
      <c r="AB22" s="1262">
        <v>1</v>
      </c>
      <c r="AC22" s="1262">
        <v>1</v>
      </c>
    </row>
    <row r="23" spans="1:29" ht="71.25">
      <c r="A23" s="366"/>
      <c r="B23" s="389" t="s">
        <v>1806</v>
      </c>
      <c r="C23" s="1752"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54"/>
      <c r="Q23" s="1261" t="str">
        <f>B23</f>
        <v>环境质量</v>
      </c>
      <c r="R23" s="666" t="s">
        <v>14</v>
      </c>
      <c r="S23" s="667">
        <f>F23</f>
        <v>100</v>
      </c>
      <c r="T23" s="666" t="s">
        <v>14</v>
      </c>
      <c r="U23" s="667">
        <f>H23</f>
        <v>100</v>
      </c>
      <c r="V23" s="666" t="s">
        <v>14</v>
      </c>
      <c r="W23" s="667">
        <f>J23</f>
        <v>100</v>
      </c>
      <c r="X23" s="1263"/>
      <c r="Y23" s="3454"/>
      <c r="Z23" s="1262" t="str">
        <f>Q23</f>
        <v>环境质量</v>
      </c>
      <c r="AA23" s="1262">
        <f t="shared" si="3"/>
        <v>1</v>
      </c>
      <c r="AB23" s="1262">
        <f t="shared" si="4"/>
        <v>1</v>
      </c>
      <c r="AC23" s="1262">
        <f t="shared" si="5"/>
        <v>1</v>
      </c>
    </row>
    <row r="24" spans="1:29" ht="15">
      <c r="A24" s="366"/>
      <c r="B24" s="585"/>
      <c r="C24" s="385"/>
      <c r="D24" s="386"/>
      <c r="E24" s="1750"/>
      <c r="F24" s="387"/>
      <c r="G24" s="1749"/>
      <c r="H24" s="386"/>
      <c r="I24" s="1750"/>
      <c r="J24" s="386"/>
      <c r="K24" s="540"/>
      <c r="L24" s="868"/>
      <c r="M24" s="859"/>
      <c r="N24" s="859"/>
      <c r="O24" s="867"/>
      <c r="P24" s="3454"/>
      <c r="Q24" s="1261"/>
      <c r="R24" s="666"/>
      <c r="S24" s="667"/>
      <c r="T24" s="666"/>
      <c r="U24" s="667"/>
      <c r="V24" s="666"/>
      <c r="W24" s="667"/>
      <c r="X24" s="1263"/>
      <c r="Y24" s="3454"/>
      <c r="Z24" s="1262"/>
      <c r="AA24" s="1262">
        <v>1</v>
      </c>
      <c r="AB24" s="1262">
        <v>1</v>
      </c>
      <c r="AC24" s="1262">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54"/>
      <c r="Q25" s="1261">
        <f>B25</f>
        <v>111</v>
      </c>
      <c r="R25" s="666" t="s">
        <v>14</v>
      </c>
      <c r="S25" s="667">
        <f>F25</f>
        <v>100</v>
      </c>
      <c r="T25" s="666" t="s">
        <v>14</v>
      </c>
      <c r="U25" s="667">
        <f>H25</f>
        <v>100</v>
      </c>
      <c r="V25" s="666" t="s">
        <v>14</v>
      </c>
      <c r="W25" s="667">
        <f>J25</f>
        <v>100</v>
      </c>
      <c r="X25" s="1263"/>
      <c r="Y25" s="3454"/>
      <c r="Z25" s="1262">
        <f>Q25</f>
        <v>111</v>
      </c>
      <c r="AA25" s="1262">
        <f t="shared" si="3"/>
        <v>1</v>
      </c>
      <c r="AB25" s="1262">
        <f t="shared" si="4"/>
        <v>1</v>
      </c>
      <c r="AC25" s="1262">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54"/>
      <c r="Q26" s="1261">
        <f t="shared" ref="Q26:Q40" si="11">B26</f>
        <v>111</v>
      </c>
      <c r="R26" s="666" t="s">
        <v>14</v>
      </c>
      <c r="S26" s="667">
        <f>F26</f>
        <v>100</v>
      </c>
      <c r="T26" s="666" t="s">
        <v>14</v>
      </c>
      <c r="U26" s="667">
        <f>H26</f>
        <v>100</v>
      </c>
      <c r="V26" s="666" t="s">
        <v>14</v>
      </c>
      <c r="W26" s="667">
        <f>J26</f>
        <v>100</v>
      </c>
      <c r="X26" s="1263"/>
      <c r="Y26" s="3454"/>
      <c r="Z26" s="1262">
        <f>Q26</f>
        <v>111</v>
      </c>
      <c r="AA26" s="1262">
        <f t="shared" si="3"/>
        <v>1</v>
      </c>
      <c r="AB26" s="1262">
        <f t="shared" si="4"/>
        <v>1</v>
      </c>
      <c r="AC26" s="1262">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54"/>
      <c r="Q27" s="529">
        <f t="shared" si="11"/>
        <v>111</v>
      </c>
      <c r="R27" s="663" t="s">
        <v>14</v>
      </c>
      <c r="S27" s="664">
        <f>F27</f>
        <v>100</v>
      </c>
      <c r="T27" s="663" t="s">
        <v>14</v>
      </c>
      <c r="U27" s="664">
        <f>H27</f>
        <v>100</v>
      </c>
      <c r="V27" s="663" t="s">
        <v>14</v>
      </c>
      <c r="W27" s="664">
        <f>J27</f>
        <v>100</v>
      </c>
      <c r="X27" s="665"/>
      <c r="Y27" s="3454"/>
      <c r="Z27" s="50">
        <f>Q27</f>
        <v>111</v>
      </c>
      <c r="AA27" s="1262">
        <f>D27/F27</f>
        <v>1</v>
      </c>
      <c r="AB27" s="1262">
        <f>D27/H27</f>
        <v>1</v>
      </c>
      <c r="AC27" s="1262">
        <f>D27/J27</f>
        <v>1</v>
      </c>
    </row>
    <row r="28" spans="1:29" ht="15.75"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54"/>
      <c r="Q28" s="1261">
        <f t="shared" si="11"/>
        <v>111</v>
      </c>
      <c r="R28" s="666" t="s">
        <v>14</v>
      </c>
      <c r="S28" s="667">
        <f t="shared" ref="S28:S40" si="12">F28</f>
        <v>100</v>
      </c>
      <c r="T28" s="666" t="s">
        <v>14</v>
      </c>
      <c r="U28" s="667">
        <f t="shared" ref="U28:U40" si="13">H28</f>
        <v>100</v>
      </c>
      <c r="V28" s="666" t="s">
        <v>14</v>
      </c>
      <c r="W28" s="667">
        <f t="shared" ref="W28:W40" si="14">J28</f>
        <v>100</v>
      </c>
      <c r="X28" s="1263"/>
      <c r="Y28" s="3454"/>
      <c r="Z28" s="1262">
        <f t="shared" ref="Z28:Z40" si="15">Q28</f>
        <v>111</v>
      </c>
      <c r="AA28" s="1262">
        <f t="shared" si="3"/>
        <v>1</v>
      </c>
      <c r="AB28" s="1262">
        <f t="shared" si="4"/>
        <v>1</v>
      </c>
      <c r="AC28" s="1262">
        <f t="shared" si="5"/>
        <v>1</v>
      </c>
    </row>
    <row r="29" spans="1:29" ht="28.5">
      <c r="A29" s="403" t="s">
        <v>1686</v>
      </c>
      <c r="B29" s="60" t="s">
        <v>1809</v>
      </c>
      <c r="C29" s="1762"/>
      <c r="D29" s="404">
        <v>100</v>
      </c>
      <c r="E29" s="1762"/>
      <c r="F29" s="399">
        <f>SUMIF(88:88,E29,89:89)-SUMIF(88:88,C29,89:89)+100</f>
        <v>100</v>
      </c>
      <c r="G29" s="1762"/>
      <c r="H29" s="373">
        <f>SUMIF(88:88,G29,89:89)-SUMIF(88:88,C29,89:89)+100</f>
        <v>100</v>
      </c>
      <c r="I29" s="1762"/>
      <c r="J29" s="404">
        <f>SUMIF(88:88,I29,89:89)-SUMIF(88:88,C29,89:89)+100</f>
        <v>100</v>
      </c>
      <c r="K29" s="537"/>
      <c r="L29" s="868"/>
      <c r="M29" s="859"/>
      <c r="N29" s="859"/>
      <c r="O29" s="867"/>
      <c r="P29" s="3455" t="s">
        <v>1688</v>
      </c>
      <c r="Q29" s="1261" t="str">
        <f t="shared" si="11"/>
        <v>建筑类型</v>
      </c>
      <c r="R29" s="666" t="s">
        <v>14</v>
      </c>
      <c r="S29" s="667">
        <f t="shared" si="12"/>
        <v>100</v>
      </c>
      <c r="T29" s="666" t="s">
        <v>14</v>
      </c>
      <c r="U29" s="667">
        <f t="shared" si="13"/>
        <v>100</v>
      </c>
      <c r="V29" s="666" t="s">
        <v>14</v>
      </c>
      <c r="W29" s="667">
        <f t="shared" si="14"/>
        <v>100</v>
      </c>
      <c r="X29" s="1263"/>
      <c r="Y29" s="3456" t="s">
        <v>1688</v>
      </c>
      <c r="Z29" s="1262" t="str">
        <f t="shared" si="15"/>
        <v>建筑类型</v>
      </c>
      <c r="AA29" s="1262">
        <f t="shared" si="3"/>
        <v>1</v>
      </c>
      <c r="AB29" s="1262">
        <f t="shared" si="4"/>
        <v>1</v>
      </c>
      <c r="AC29" s="1262">
        <f t="shared" si="5"/>
        <v>1</v>
      </c>
    </row>
    <row r="30" spans="1:29" s="407" customFormat="1" ht="15">
      <c r="A30" s="405"/>
      <c r="B30" s="363" t="s">
        <v>1689</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56"/>
      <c r="Q30" s="530" t="str">
        <f t="shared" si="11"/>
        <v>项目建筑规模</v>
      </c>
      <c r="R30" s="668" t="s">
        <v>14</v>
      </c>
      <c r="S30" s="669" t="e">
        <f t="shared" si="12"/>
        <v>#N/A</v>
      </c>
      <c r="T30" s="668" t="s">
        <v>14</v>
      </c>
      <c r="U30" s="669" t="e">
        <f t="shared" si="13"/>
        <v>#N/A</v>
      </c>
      <c r="V30" s="668" t="s">
        <v>14</v>
      </c>
      <c r="W30" s="669" t="e">
        <f t="shared" si="14"/>
        <v>#N/A</v>
      </c>
      <c r="X30" s="670"/>
      <c r="Y30" s="3456"/>
      <c r="Z30" s="671" t="str">
        <f t="shared" si="15"/>
        <v>项目建筑规模</v>
      </c>
      <c r="AA30" s="1262" t="e">
        <f t="shared" si="3"/>
        <v>#N/A</v>
      </c>
      <c r="AB30" s="1262" t="e">
        <f t="shared" si="4"/>
        <v>#N/A</v>
      </c>
      <c r="AC30" s="1262" t="e">
        <f t="shared" si="5"/>
        <v>#N/A</v>
      </c>
    </row>
    <row r="31" spans="1:29" ht="15">
      <c r="A31" s="408"/>
      <c r="B31" s="363" t="s">
        <v>1690</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56"/>
      <c r="Q31" s="1261" t="str">
        <f t="shared" si="11"/>
        <v>建筑结构</v>
      </c>
      <c r="R31" s="666" t="s">
        <v>14</v>
      </c>
      <c r="S31" s="667">
        <f t="shared" si="12"/>
        <v>100</v>
      </c>
      <c r="T31" s="666" t="s">
        <v>14</v>
      </c>
      <c r="U31" s="667">
        <f t="shared" si="13"/>
        <v>100</v>
      </c>
      <c r="V31" s="666" t="s">
        <v>14</v>
      </c>
      <c r="W31" s="667">
        <f t="shared" si="14"/>
        <v>100</v>
      </c>
      <c r="X31" s="1263"/>
      <c r="Y31" s="3456"/>
      <c r="Z31" s="1262" t="str">
        <f t="shared" si="15"/>
        <v>建筑结构</v>
      </c>
      <c r="AA31" s="1262">
        <f t="shared" si="3"/>
        <v>1</v>
      </c>
      <c r="AB31" s="1262">
        <f t="shared" si="4"/>
        <v>1</v>
      </c>
      <c r="AC31" s="1262">
        <f t="shared" si="5"/>
        <v>1</v>
      </c>
    </row>
    <row r="32" spans="1:29" ht="15">
      <c r="A32" s="408"/>
      <c r="B32" s="363" t="s">
        <v>1777</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56"/>
      <c r="Q32" s="1261" t="str">
        <f t="shared" si="11"/>
        <v>公共部分装修</v>
      </c>
      <c r="R32" s="666" t="s">
        <v>14</v>
      </c>
      <c r="S32" s="667">
        <f t="shared" si="12"/>
        <v>100</v>
      </c>
      <c r="T32" s="666" t="s">
        <v>14</v>
      </c>
      <c r="U32" s="667">
        <f t="shared" si="13"/>
        <v>100</v>
      </c>
      <c r="V32" s="666" t="s">
        <v>14</v>
      </c>
      <c r="W32" s="667">
        <f t="shared" si="14"/>
        <v>100</v>
      </c>
      <c r="X32" s="1263"/>
      <c r="Y32" s="3456"/>
      <c r="Z32" s="1262" t="str">
        <f t="shared" si="15"/>
        <v>公共部分装修</v>
      </c>
      <c r="AA32" s="1262">
        <f t="shared" si="3"/>
        <v>1</v>
      </c>
      <c r="AB32" s="1262">
        <f t="shared" si="4"/>
        <v>1</v>
      </c>
      <c r="AC32" s="1262">
        <f t="shared" si="5"/>
        <v>1</v>
      </c>
    </row>
    <row r="33" spans="1:29" ht="15">
      <c r="A33" s="408"/>
      <c r="B33" s="363" t="s">
        <v>1778</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56"/>
      <c r="Q33" s="1261" t="str">
        <f t="shared" si="11"/>
        <v>成新度</v>
      </c>
      <c r="R33" s="666" t="s">
        <v>14</v>
      </c>
      <c r="S33" s="667" t="e">
        <f t="shared" si="12"/>
        <v>#N/A</v>
      </c>
      <c r="T33" s="666" t="s">
        <v>14</v>
      </c>
      <c r="U33" s="667" t="e">
        <f t="shared" si="13"/>
        <v>#N/A</v>
      </c>
      <c r="V33" s="666" t="s">
        <v>14</v>
      </c>
      <c r="W33" s="667" t="e">
        <f t="shared" si="14"/>
        <v>#N/A</v>
      </c>
      <c r="X33" s="1263"/>
      <c r="Y33" s="3456"/>
      <c r="Z33" s="1262" t="str">
        <f t="shared" si="15"/>
        <v>成新度</v>
      </c>
      <c r="AA33" s="1262" t="e">
        <f t="shared" si="3"/>
        <v>#N/A</v>
      </c>
      <c r="AB33" s="1262" t="e">
        <f t="shared" si="4"/>
        <v>#N/A</v>
      </c>
      <c r="AC33" s="1262" t="e">
        <f t="shared" si="5"/>
        <v>#N/A</v>
      </c>
    </row>
    <row r="34" spans="1:29" s="101" customFormat="1" ht="15">
      <c r="A34" s="409"/>
      <c r="B34" s="363" t="s">
        <v>1811</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56"/>
      <c r="Q34" s="529" t="str">
        <f t="shared" si="11"/>
        <v>物业管理</v>
      </c>
      <c r="R34" s="663" t="s">
        <v>14</v>
      </c>
      <c r="S34" s="664">
        <f t="shared" si="12"/>
        <v>100</v>
      </c>
      <c r="T34" s="663" t="s">
        <v>14</v>
      </c>
      <c r="U34" s="664">
        <f t="shared" si="13"/>
        <v>100</v>
      </c>
      <c r="V34" s="663" t="s">
        <v>14</v>
      </c>
      <c r="W34" s="664">
        <f t="shared" si="14"/>
        <v>100</v>
      </c>
      <c r="X34" s="665"/>
      <c r="Y34" s="3456"/>
      <c r="Z34" s="50" t="str">
        <f t="shared" si="15"/>
        <v>物业管理</v>
      </c>
      <c r="AA34" s="50">
        <f t="shared" si="3"/>
        <v>1</v>
      </c>
      <c r="AB34" s="50">
        <f t="shared" si="4"/>
        <v>1</v>
      </c>
      <c r="AC34" s="50">
        <f t="shared" si="5"/>
        <v>1</v>
      </c>
    </row>
    <row r="35" spans="1:29" ht="15">
      <c r="A35" s="408"/>
      <c r="B35" s="363" t="s">
        <v>1779</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56" t="s">
        <v>1688</v>
      </c>
      <c r="Q35" s="1261" t="str">
        <f t="shared" si="11"/>
        <v>市政基础设施</v>
      </c>
      <c r="R35" s="666" t="s">
        <v>14</v>
      </c>
      <c r="S35" s="667">
        <f t="shared" si="12"/>
        <v>100</v>
      </c>
      <c r="T35" s="666" t="s">
        <v>14</v>
      </c>
      <c r="U35" s="667">
        <f t="shared" si="13"/>
        <v>100</v>
      </c>
      <c r="V35" s="666" t="s">
        <v>14</v>
      </c>
      <c r="W35" s="667">
        <f t="shared" si="14"/>
        <v>100</v>
      </c>
      <c r="X35" s="1263"/>
      <c r="Y35" s="3456" t="s">
        <v>1688</v>
      </c>
      <c r="Z35" s="1262" t="str">
        <f t="shared" si="15"/>
        <v>市政基础设施</v>
      </c>
      <c r="AA35" s="1262">
        <f t="shared" si="3"/>
        <v>1</v>
      </c>
      <c r="AB35" s="1262">
        <f t="shared" si="4"/>
        <v>1</v>
      </c>
      <c r="AC35" s="1262">
        <f t="shared" si="5"/>
        <v>1</v>
      </c>
    </row>
    <row r="36" spans="1:29" ht="15">
      <c r="A36" s="408"/>
      <c r="B36" s="363" t="s">
        <v>1784</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56"/>
      <c r="Q36" s="1261" t="str">
        <f t="shared" si="11"/>
        <v>内部装修</v>
      </c>
      <c r="R36" s="666" t="s">
        <v>14</v>
      </c>
      <c r="S36" s="667">
        <f t="shared" si="12"/>
        <v>100</v>
      </c>
      <c r="T36" s="666" t="s">
        <v>14</v>
      </c>
      <c r="U36" s="667">
        <f t="shared" si="13"/>
        <v>100</v>
      </c>
      <c r="V36" s="666" t="s">
        <v>14</v>
      </c>
      <c r="W36" s="667">
        <f t="shared" si="14"/>
        <v>100</v>
      </c>
      <c r="X36" s="1263"/>
      <c r="Y36" s="3456"/>
      <c r="Z36" s="1262" t="str">
        <f t="shared" si="15"/>
        <v>内部装修</v>
      </c>
      <c r="AA36" s="1262">
        <f t="shared" si="3"/>
        <v>1</v>
      </c>
      <c r="AB36" s="1262">
        <f t="shared" si="4"/>
        <v>1</v>
      </c>
      <c r="AC36" s="1262">
        <f t="shared" si="5"/>
        <v>1</v>
      </c>
    </row>
    <row r="37" spans="1:29" ht="15">
      <c r="A37" s="408"/>
      <c r="B37" s="363" t="s">
        <v>1820</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56"/>
      <c r="Q37" s="1261" t="str">
        <f t="shared" si="11"/>
        <v>内部装修状况</v>
      </c>
      <c r="R37" s="666" t="s">
        <v>14</v>
      </c>
      <c r="S37" s="667">
        <f t="shared" si="12"/>
        <v>100</v>
      </c>
      <c r="T37" s="666" t="s">
        <v>14</v>
      </c>
      <c r="U37" s="667">
        <f t="shared" si="13"/>
        <v>100</v>
      </c>
      <c r="V37" s="666" t="s">
        <v>14</v>
      </c>
      <c r="W37" s="667">
        <f t="shared" si="14"/>
        <v>100</v>
      </c>
      <c r="X37" s="1263"/>
      <c r="Y37" s="3456"/>
      <c r="Z37" s="1262" t="str">
        <f t="shared" si="15"/>
        <v>内部装修状况</v>
      </c>
      <c r="AA37" s="1262">
        <f t="shared" si="3"/>
        <v>1</v>
      </c>
      <c r="AB37" s="1262">
        <f t="shared" si="4"/>
        <v>1</v>
      </c>
      <c r="AC37" s="1262">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56"/>
      <c r="Q38" s="530">
        <f t="shared" si="11"/>
        <v>111</v>
      </c>
      <c r="R38" s="668" t="s">
        <v>14</v>
      </c>
      <c r="S38" s="669">
        <f t="shared" si="12"/>
        <v>100</v>
      </c>
      <c r="T38" s="668" t="s">
        <v>14</v>
      </c>
      <c r="U38" s="669">
        <f t="shared" si="13"/>
        <v>100</v>
      </c>
      <c r="V38" s="668" t="s">
        <v>14</v>
      </c>
      <c r="W38" s="669">
        <f t="shared" si="14"/>
        <v>100</v>
      </c>
      <c r="X38" s="670"/>
      <c r="Y38" s="3456"/>
      <c r="Z38" s="671">
        <f t="shared" si="15"/>
        <v>111</v>
      </c>
      <c r="AA38" s="1262">
        <f t="shared" si="3"/>
        <v>1</v>
      </c>
      <c r="AB38" s="1262">
        <f t="shared" si="4"/>
        <v>1</v>
      </c>
      <c r="AC38" s="1262">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56"/>
      <c r="Q39" s="1261">
        <f t="shared" si="11"/>
        <v>111</v>
      </c>
      <c r="R39" s="666" t="s">
        <v>14</v>
      </c>
      <c r="S39" s="667">
        <f t="shared" si="12"/>
        <v>100</v>
      </c>
      <c r="T39" s="666" t="s">
        <v>14</v>
      </c>
      <c r="U39" s="667">
        <f t="shared" si="13"/>
        <v>100</v>
      </c>
      <c r="V39" s="666" t="s">
        <v>14</v>
      </c>
      <c r="W39" s="667">
        <f t="shared" si="14"/>
        <v>100</v>
      </c>
      <c r="X39" s="1263"/>
      <c r="Y39" s="3456"/>
      <c r="Z39" s="1262">
        <f t="shared" si="15"/>
        <v>111</v>
      </c>
      <c r="AA39" s="1262">
        <f t="shared" si="3"/>
        <v>1</v>
      </c>
      <c r="AB39" s="1262">
        <f t="shared" si="4"/>
        <v>1</v>
      </c>
      <c r="AC39" s="1262">
        <f t="shared" si="5"/>
        <v>1</v>
      </c>
    </row>
    <row r="40" spans="1:29" ht="15.75" thickBot="1">
      <c r="A40" s="414"/>
      <c r="B40" s="1747">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518"/>
      <c r="Q40" s="1261">
        <f t="shared" si="11"/>
        <v>111</v>
      </c>
      <c r="R40" s="666" t="s">
        <v>14</v>
      </c>
      <c r="S40" s="667">
        <f t="shared" si="12"/>
        <v>100</v>
      </c>
      <c r="T40" s="666" t="s">
        <v>14</v>
      </c>
      <c r="U40" s="667">
        <f t="shared" si="13"/>
        <v>100</v>
      </c>
      <c r="V40" s="666" t="s">
        <v>14</v>
      </c>
      <c r="W40" s="667">
        <f t="shared" si="14"/>
        <v>100</v>
      </c>
      <c r="X40" s="1263"/>
      <c r="Y40" s="3518"/>
      <c r="Z40" s="1262">
        <f t="shared" si="15"/>
        <v>111</v>
      </c>
      <c r="AA40" s="1262">
        <f t="shared" si="3"/>
        <v>1</v>
      </c>
      <c r="AB40" s="1262">
        <f t="shared" si="4"/>
        <v>1</v>
      </c>
      <c r="AC40" s="1262">
        <f t="shared" si="5"/>
        <v>1</v>
      </c>
    </row>
    <row r="41" spans="1:29" ht="15">
      <c r="A41" s="415" t="s">
        <v>1700</v>
      </c>
      <c r="B41" s="416"/>
      <c r="C41" s="1079" t="s">
        <v>0</v>
      </c>
      <c r="D41" s="417"/>
      <c r="E41" s="418"/>
      <c r="F41" s="419"/>
      <c r="G41" s="420"/>
      <c r="H41" s="421"/>
      <c r="I41" s="418"/>
      <c r="J41" s="421"/>
      <c r="K41" s="673"/>
      <c r="L41" s="871"/>
      <c r="M41" s="859"/>
      <c r="N41" s="859"/>
      <c r="O41" s="859"/>
      <c r="P41" s="3452" t="str">
        <f>A41</f>
        <v>成交单价（元/平方米）</v>
      </c>
      <c r="Q41" s="3452"/>
      <c r="R41" s="3457">
        <f>E41</f>
        <v>0</v>
      </c>
      <c r="S41" s="3457"/>
      <c r="T41" s="3457">
        <f>G41</f>
        <v>0</v>
      </c>
      <c r="U41" s="3457"/>
      <c r="V41" s="3457">
        <f>I41</f>
        <v>0</v>
      </c>
      <c r="W41" s="3457"/>
      <c r="X41" s="384"/>
      <c r="Y41" s="672"/>
      <c r="Z41" s="384"/>
      <c r="AA41" s="384"/>
      <c r="AB41" s="384"/>
      <c r="AC41" s="384"/>
    </row>
    <row r="42" spans="1:29" ht="15.75" thickBot="1">
      <c r="A42" s="422" t="s">
        <v>1785</v>
      </c>
      <c r="B42" s="423"/>
      <c r="C42" s="1080" t="e">
        <f>R43</f>
        <v>#DIV/0!</v>
      </c>
      <c r="D42" s="2139" t="s">
        <v>2128</v>
      </c>
      <c r="E42" s="1081" t="e">
        <f>R42</f>
        <v>#DIV/0!</v>
      </c>
      <c r="F42" s="2140"/>
      <c r="G42" s="1080" t="e">
        <f>T42</f>
        <v>#DIV/0!</v>
      </c>
      <c r="H42" s="2140"/>
      <c r="I42" s="1081" t="e">
        <f>V42</f>
        <v>#DIV/0!</v>
      </c>
      <c r="J42" s="2140"/>
      <c r="K42" s="2142">
        <f>F42+H42+J42</f>
        <v>0</v>
      </c>
      <c r="L42" s="871"/>
      <c r="M42" s="859"/>
      <c r="N42" s="859"/>
      <c r="O42" s="859"/>
      <c r="P42" s="3452" t="str">
        <f>A42</f>
        <v>比较价值（元/平方米）</v>
      </c>
      <c r="Q42" s="3452"/>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384"/>
      <c r="Y42" s="384"/>
      <c r="Z42" s="384"/>
      <c r="AA42" s="384"/>
      <c r="AB42" s="384"/>
      <c r="AC42" s="384"/>
    </row>
    <row r="43" spans="1:29" ht="15.75" thickBot="1">
      <c r="A43" s="426" t="s">
        <v>1786</v>
      </c>
      <c r="B43" s="427"/>
      <c r="C43" s="350" t="e">
        <f>R43</f>
        <v>#DIV/0!</v>
      </c>
      <c r="D43" s="350"/>
      <c r="E43" s="350"/>
      <c r="F43" s="350"/>
      <c r="G43" s="350"/>
      <c r="H43" s="350"/>
      <c r="I43" s="350"/>
      <c r="J43" s="350"/>
      <c r="K43" s="674"/>
      <c r="L43" s="871"/>
      <c r="M43" s="859"/>
      <c r="N43" s="859"/>
      <c r="O43" s="859"/>
      <c r="P43" s="3446" t="str">
        <f>A43</f>
        <v>估价对象XX用房的比较价值（楼面单价，元/平方米）</v>
      </c>
      <c r="Q43" s="3447"/>
      <c r="R43" s="3514" t="e">
        <f>IF(F1="售价",ROUND(IF(D42="简单平均",AVERAGE(R42:V42),R42*F42+T42*H42+V42*J42),0),ROUND(IF(D42="简单平均",AVERAGE(R42:V42),R42*F42+T42*H42+V42*J42),1))</f>
        <v>#DIV/0!</v>
      </c>
      <c r="S43" s="3514"/>
      <c r="T43" s="3514"/>
      <c r="U43" s="3514"/>
      <c r="V43" s="3514"/>
      <c r="W43" s="3514"/>
      <c r="X43" s="384"/>
      <c r="Y43" s="384"/>
      <c r="Z43" s="384"/>
      <c r="AA43" s="384"/>
      <c r="AB43" s="384"/>
      <c r="AC43" s="384"/>
    </row>
    <row r="44" spans="1:29">
      <c r="A44" s="2485"/>
      <c r="B44" s="2485"/>
      <c r="C44" s="2485"/>
      <c r="D44" s="2485"/>
      <c r="E44" s="2485"/>
      <c r="F44" s="2485"/>
      <c r="G44" s="2496"/>
      <c r="H44" s="2485"/>
      <c r="I44" s="2485"/>
      <c r="J44" s="2485"/>
      <c r="K44" s="2497"/>
      <c r="L44" s="834"/>
      <c r="M44" s="859"/>
      <c r="N44" s="859"/>
      <c r="O44" s="859"/>
    </row>
    <row r="45" spans="1:29">
      <c r="A45" s="2485"/>
      <c r="B45" s="2485"/>
      <c r="C45" s="2485"/>
      <c r="D45" s="2485"/>
      <c r="E45" s="2485"/>
      <c r="F45" s="2485"/>
      <c r="G45" s="2485"/>
      <c r="H45" s="2485"/>
      <c r="I45" s="2485"/>
      <c r="J45" s="2485"/>
      <c r="K45" s="2497"/>
      <c r="L45" s="834"/>
      <c r="M45" s="859"/>
      <c r="N45" s="859"/>
      <c r="O45" s="859"/>
    </row>
    <row r="46" spans="1:29" ht="13.5" customHeight="1">
      <c r="A46" s="2485"/>
      <c r="B46" s="2485"/>
      <c r="C46" s="431" t="s">
        <v>1787</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4"/>
      <c r="M46" s="859"/>
      <c r="N46" s="859"/>
      <c r="O46" s="859"/>
    </row>
    <row r="47" spans="1:29" ht="13.5" customHeight="1">
      <c r="A47" s="2485"/>
      <c r="B47" s="2485"/>
      <c r="C47" s="431" t="s">
        <v>1788</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4"/>
      <c r="M47" s="859"/>
      <c r="N47" s="859"/>
      <c r="O47" s="859"/>
    </row>
    <row r="48" spans="1:29" s="436" customFormat="1" ht="13.5" customHeight="1">
      <c r="A48" s="2495"/>
      <c r="B48" s="2495"/>
      <c r="C48" s="431" t="s">
        <v>1789</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4"/>
      <c r="M48" s="872"/>
      <c r="N48" s="872"/>
      <c r="O48" s="872"/>
    </row>
    <row r="49" spans="1:17" s="436" customFormat="1">
      <c r="A49" s="2495"/>
      <c r="B49" s="2498"/>
      <c r="C49" s="2499"/>
      <c r="D49" s="2495"/>
      <c r="E49" s="2495"/>
      <c r="F49" s="2495"/>
      <c r="G49" s="2495"/>
      <c r="H49" s="2495"/>
      <c r="I49" s="2495"/>
      <c r="J49" s="2495"/>
      <c r="K49" s="2500"/>
      <c r="L49" s="874"/>
      <c r="M49" s="872"/>
      <c r="N49" s="872"/>
      <c r="O49" s="872"/>
    </row>
    <row r="50" spans="1:17">
      <c r="A50" s="2485"/>
      <c r="B50" s="2498"/>
      <c r="C50" s="2499"/>
      <c r="D50" s="2485"/>
      <c r="E50" s="2485"/>
      <c r="F50" s="2485"/>
      <c r="G50" s="2485"/>
      <c r="H50" s="2485"/>
      <c r="I50" s="2485"/>
      <c r="J50" s="2485"/>
      <c r="K50" s="2497"/>
      <c r="L50" s="834"/>
      <c r="M50" s="859"/>
      <c r="N50" s="859"/>
      <c r="O50" s="859"/>
    </row>
    <row r="51" spans="1:17" ht="21.75" thickBot="1">
      <c r="A51" s="657" t="s">
        <v>1790</v>
      </c>
      <c r="B51" s="384"/>
      <c r="C51" s="658"/>
      <c r="D51" s="658"/>
      <c r="E51" s="658"/>
      <c r="F51" s="659"/>
      <c r="G51" s="659"/>
      <c r="H51" s="658"/>
      <c r="I51" s="658"/>
      <c r="J51" s="658"/>
      <c r="K51" s="885"/>
      <c r="L51" s="886"/>
      <c r="M51" s="884"/>
      <c r="N51" s="884"/>
      <c r="O51" s="884"/>
      <c r="P51" s="437"/>
      <c r="Q51" s="438"/>
    </row>
    <row r="52" spans="1:17" s="441" customFormat="1" ht="15">
      <c r="A52" s="439" t="s">
        <v>1671</v>
      </c>
      <c r="B52" s="440"/>
      <c r="C52" s="1101" t="str">
        <f>YEAR(C7)&amp;"-"&amp;MONTH(C7)</f>
        <v>2025-2</v>
      </c>
      <c r="D52" s="1102">
        <f>EDATE(C52,-1)</f>
        <v>45658</v>
      </c>
      <c r="E52" s="1102">
        <f t="shared" ref="E52:O52" si="16">EDATE(D52,-1)</f>
        <v>45627</v>
      </c>
      <c r="F52" s="1102">
        <f t="shared" si="16"/>
        <v>45597</v>
      </c>
      <c r="G52" s="1102">
        <f t="shared" si="16"/>
        <v>45566</v>
      </c>
      <c r="H52" s="1102">
        <f t="shared" si="16"/>
        <v>45536</v>
      </c>
      <c r="I52" s="1102">
        <f t="shared" si="16"/>
        <v>45505</v>
      </c>
      <c r="J52" s="1102">
        <f t="shared" si="16"/>
        <v>45474</v>
      </c>
      <c r="K52" s="1102">
        <f t="shared" si="16"/>
        <v>45444</v>
      </c>
      <c r="L52" s="1102">
        <f t="shared" si="16"/>
        <v>45413</v>
      </c>
      <c r="M52" s="1102">
        <f t="shared" si="16"/>
        <v>45383</v>
      </c>
      <c r="N52" s="1102">
        <f t="shared" si="16"/>
        <v>45352</v>
      </c>
      <c r="O52" s="1102">
        <f t="shared" si="16"/>
        <v>45323</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1708</v>
      </c>
      <c r="B54" s="449"/>
      <c r="C54" s="450"/>
      <c r="D54" s="451"/>
      <c r="E54" s="451"/>
      <c r="F54" s="451"/>
      <c r="G54" s="451"/>
      <c r="H54" s="451"/>
      <c r="I54" s="451"/>
      <c r="J54" s="451"/>
      <c r="K54" s="451"/>
      <c r="L54" s="451"/>
      <c r="M54" s="452"/>
      <c r="N54" s="2536"/>
      <c r="O54" s="2537"/>
      <c r="P54" s="438"/>
      <c r="Q54" s="438"/>
    </row>
    <row r="55" spans="1:17" s="101" customFormat="1" ht="15">
      <c r="A55" s="454" t="s">
        <v>1673</v>
      </c>
      <c r="B55" s="443"/>
      <c r="C55" s="455" t="s">
        <v>1768</v>
      </c>
      <c r="D55" s="31"/>
      <c r="E55" s="31"/>
      <c r="F55" s="31"/>
      <c r="G55" s="31"/>
      <c r="H55" s="31"/>
      <c r="I55" s="31"/>
      <c r="J55" s="31"/>
      <c r="K55" s="31"/>
      <c r="L55" s="456"/>
      <c r="M55" s="457"/>
      <c r="N55" s="876"/>
      <c r="O55" s="876"/>
      <c r="P55" s="458"/>
      <c r="Q55" s="438"/>
    </row>
    <row r="56" spans="1:17" s="101" customFormat="1" ht="15.75" thickBot="1">
      <c r="A56" s="454"/>
      <c r="B56" s="443"/>
      <c r="C56" s="562">
        <v>100</v>
      </c>
      <c r="D56" s="445"/>
      <c r="E56" s="445"/>
      <c r="F56" s="445"/>
      <c r="G56" s="445"/>
      <c r="H56" s="445"/>
      <c r="I56" s="445"/>
      <c r="J56" s="445"/>
      <c r="K56" s="445"/>
      <c r="L56" s="445"/>
      <c r="M56" s="447"/>
      <c r="N56" s="876"/>
      <c r="O56" s="876"/>
      <c r="P56" s="438"/>
      <c r="Q56" s="438"/>
    </row>
    <row r="57" spans="1:17">
      <c r="A57" s="378" t="s">
        <v>1711</v>
      </c>
      <c r="B57" s="459" t="s">
        <v>1677</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1680</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1681</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1682</v>
      </c>
      <c r="B70" s="459" t="s">
        <v>1821</v>
      </c>
      <c r="C70" s="503" t="s">
        <v>1713</v>
      </c>
      <c r="D70" s="503" t="s">
        <v>1714</v>
      </c>
      <c r="E70" s="503" t="s">
        <v>1715</v>
      </c>
      <c r="F70" s="503" t="s">
        <v>1716</v>
      </c>
      <c r="G70" s="503" t="s">
        <v>1717</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1718</v>
      </c>
      <c r="C72" s="508" t="s">
        <v>1713</v>
      </c>
      <c r="D72" s="508" t="s">
        <v>1714</v>
      </c>
      <c r="E72" s="508" t="s">
        <v>1715</v>
      </c>
      <c r="F72" s="508" t="s">
        <v>1716</v>
      </c>
      <c r="G72" s="508" t="s">
        <v>1717</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1719</v>
      </c>
      <c r="C74" s="508" t="s">
        <v>1713</v>
      </c>
      <c r="D74" s="508" t="s">
        <v>1714</v>
      </c>
      <c r="E74" s="508" t="s">
        <v>1715</v>
      </c>
      <c r="F74" s="508" t="s">
        <v>1716</v>
      </c>
      <c r="G74" s="508" t="s">
        <v>1717</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1805</v>
      </c>
      <c r="C76" s="580" t="s">
        <v>1791</v>
      </c>
      <c r="D76" s="580" t="s">
        <v>1792</v>
      </c>
      <c r="E76" s="580" t="s">
        <v>1793</v>
      </c>
      <c r="F76" s="580" t="s">
        <v>1794</v>
      </c>
      <c r="G76" s="580" t="s">
        <v>1795</v>
      </c>
      <c r="H76" s="469"/>
      <c r="I76" s="469"/>
      <c r="J76" s="469"/>
      <c r="K76" s="469"/>
      <c r="L76" s="469"/>
      <c r="M76" s="1061"/>
      <c r="N76" s="878"/>
      <c r="O76" s="878"/>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8"/>
      <c r="O77" s="878"/>
      <c r="P77" s="40"/>
      <c r="Q77" s="438"/>
    </row>
    <row r="78" spans="1:17" ht="15.75" thickTop="1">
      <c r="A78" s="366"/>
      <c r="B78" s="468" t="s">
        <v>1814</v>
      </c>
      <c r="C78" s="508" t="s">
        <v>1713</v>
      </c>
      <c r="D78" s="508" t="s">
        <v>1714</v>
      </c>
      <c r="E78" s="508" t="s">
        <v>1715</v>
      </c>
      <c r="F78" s="508" t="s">
        <v>1716</v>
      </c>
      <c r="G78" s="508" t="s">
        <v>1717</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1686</v>
      </c>
      <c r="B88" s="459" t="s">
        <v>1728</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1729</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1730</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1732</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1184</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7"/>
      <c r="J98" s="547"/>
      <c r="K98" s="548"/>
      <c r="L98" s="549"/>
      <c r="M98" s="550"/>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1733</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1734</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1736</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9" t="s">
        <v>1822</v>
      </c>
      <c r="C106" s="508" t="s">
        <v>1713</v>
      </c>
      <c r="D106" s="508" t="s">
        <v>1714</v>
      </c>
      <c r="E106" s="508" t="s">
        <v>1715</v>
      </c>
      <c r="F106" s="508" t="s">
        <v>1716</v>
      </c>
      <c r="G106" s="508" t="s">
        <v>1717</v>
      </c>
      <c r="H106" s="469"/>
      <c r="I106" s="469"/>
      <c r="J106" s="469"/>
      <c r="K106" s="470"/>
      <c r="L106" s="471"/>
      <c r="M106" s="472"/>
      <c r="N106" s="878"/>
      <c r="O106" s="878"/>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1823</v>
      </c>
      <c r="B1" s="1138" t="s">
        <v>3320</v>
      </c>
      <c r="C1" s="1139" t="s">
        <v>1654</v>
      </c>
      <c r="D1" s="1140"/>
      <c r="E1" s="3128"/>
      <c r="F1" s="1733"/>
      <c r="G1" s="1142" t="s">
        <v>1759</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1454</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1455</v>
      </c>
      <c r="F2" s="1737"/>
      <c r="G2" s="853"/>
      <c r="H2" s="853"/>
      <c r="I2" s="853"/>
      <c r="J2" s="853"/>
      <c r="K2" s="855"/>
      <c r="L2" s="2501"/>
      <c r="M2" s="2502"/>
      <c r="N2" s="2502"/>
      <c r="O2" s="2502"/>
      <c r="P2" s="1084"/>
      <c r="Q2" s="340"/>
      <c r="R2" s="340"/>
      <c r="S2" s="340"/>
      <c r="T2" s="340"/>
      <c r="U2" s="340"/>
      <c r="V2" s="340"/>
      <c r="W2" s="340"/>
      <c r="X2" s="340"/>
      <c r="Y2" s="340"/>
      <c r="Z2" s="340"/>
      <c r="AA2" s="340"/>
      <c r="AB2" s="340"/>
      <c r="AC2" s="662"/>
    </row>
    <row r="3" spans="1:29" s="341" customFormat="1" ht="28.5" customHeight="1" thickBot="1">
      <c r="A3" s="194" t="s">
        <v>1456</v>
      </c>
      <c r="B3" s="535" t="e">
        <f>IF(AND(C2="——",B37="元/平方米"),C39,ROUND(B2*10000/D3,0))</f>
        <v>#DIV/0!</v>
      </c>
      <c r="C3" s="343" t="s">
        <v>1760</v>
      </c>
      <c r="D3" s="342">
        <f>SUMIF('数据-汇总表'!$C19:$C33,D1,'数据-汇总表'!$E19:$E33)</f>
        <v>0</v>
      </c>
      <c r="E3" s="343" t="s">
        <v>1824</v>
      </c>
      <c r="F3" s="342">
        <f>SUMIF('数据-取费表'!A5:A15,D1,'数据-取费表'!AH5:AH15)</f>
        <v>0</v>
      </c>
      <c r="G3" s="853"/>
      <c r="H3" s="853"/>
      <c r="I3" s="853"/>
      <c r="J3" s="853"/>
      <c r="K3" s="855"/>
      <c r="L3" s="2501"/>
      <c r="M3" s="2502" t="e">
        <f ca="1">IF(C2="——",IF(B37="元/平方米",ROUND(C39*D3/10000,0),ROUND(F3*C39/10000,0)),IF(B37="元/平方米",ROUND(C39*D3/10000,0),ROUND(F3*C39/10000,0))-D2)</f>
        <v>#DIV/0!</v>
      </c>
      <c r="N3" s="2502"/>
      <c r="O3" s="2502"/>
      <c r="P3" s="1084"/>
      <c r="Q3" s="340"/>
      <c r="R3" s="340"/>
      <c r="S3" s="340"/>
      <c r="T3" s="340"/>
      <c r="U3" s="340"/>
      <c r="V3" s="340"/>
      <c r="W3" s="340"/>
      <c r="X3" s="340"/>
      <c r="Y3" s="340"/>
      <c r="Z3" s="340"/>
      <c r="AA3" s="340"/>
      <c r="AB3" s="675"/>
      <c r="AC3" s="662"/>
    </row>
    <row r="4" spans="1:29" ht="15">
      <c r="A4" s="344" t="s">
        <v>1761</v>
      </c>
      <c r="B4" s="345"/>
      <c r="C4" s="3449" t="s">
        <v>1762</v>
      </c>
      <c r="D4" s="3461"/>
      <c r="E4" s="3462" t="s">
        <v>1763</v>
      </c>
      <c r="F4" s="3463"/>
      <c r="G4" s="3449" t="s">
        <v>1764</v>
      </c>
      <c r="H4" s="3461"/>
      <c r="I4" s="3449" t="s">
        <v>1765</v>
      </c>
      <c r="J4" s="3461"/>
      <c r="K4" s="536" t="s">
        <v>1766</v>
      </c>
      <c r="L4" s="2484"/>
      <c r="M4" s="2485"/>
      <c r="N4" s="2485"/>
      <c r="O4" s="2485"/>
      <c r="P4" s="3464" t="s">
        <v>1767</v>
      </c>
      <c r="Q4" s="3465"/>
      <c r="R4" s="3470" t="s">
        <v>1763</v>
      </c>
      <c r="S4" s="3471"/>
      <c r="T4" s="3470" t="s">
        <v>1764</v>
      </c>
      <c r="U4" s="3471"/>
      <c r="V4" s="3457" t="s">
        <v>1765</v>
      </c>
      <c r="W4" s="3457"/>
      <c r="X4" s="1263"/>
      <c r="Y4" s="3470" t="s">
        <v>1767</v>
      </c>
      <c r="Z4" s="3471"/>
      <c r="AA4" s="3458" t="s">
        <v>1763</v>
      </c>
      <c r="AB4" s="3459" t="s">
        <v>1764</v>
      </c>
      <c r="AC4" s="3458" t="s">
        <v>1765</v>
      </c>
    </row>
    <row r="5" spans="1:29" ht="15">
      <c r="A5" s="347"/>
      <c r="B5" s="348"/>
      <c r="C5" s="3478" t="s">
        <v>1665</v>
      </c>
      <c r="D5" s="3479"/>
      <c r="E5" s="3485" t="s">
        <v>1666</v>
      </c>
      <c r="F5" s="3486"/>
      <c r="G5" s="3478" t="s">
        <v>1667</v>
      </c>
      <c r="H5" s="3479"/>
      <c r="I5" s="3478" t="s">
        <v>1668</v>
      </c>
      <c r="J5" s="3479"/>
      <c r="K5" s="536"/>
      <c r="L5" s="2484"/>
      <c r="M5" s="2485"/>
      <c r="N5" s="2485"/>
      <c r="O5" s="2485"/>
      <c r="P5" s="3466"/>
      <c r="Q5" s="3467"/>
      <c r="R5" s="3472"/>
      <c r="S5" s="3473"/>
      <c r="T5" s="3472"/>
      <c r="U5" s="3473"/>
      <c r="V5" s="3457"/>
      <c r="W5" s="3457"/>
      <c r="X5" s="1263"/>
      <c r="Y5" s="3472"/>
      <c r="Z5" s="3473"/>
      <c r="AA5" s="3459"/>
      <c r="AB5" s="3459"/>
      <c r="AC5" s="3459"/>
    </row>
    <row r="6" spans="1:29" ht="15.75" thickBot="1">
      <c r="A6" s="349"/>
      <c r="B6" s="350"/>
      <c r="C6" s="3476" t="s">
        <v>1669</v>
      </c>
      <c r="D6" s="3477"/>
      <c r="E6" s="3483" t="s">
        <v>1669</v>
      </c>
      <c r="F6" s="3484"/>
      <c r="G6" s="3476" t="s">
        <v>1669</v>
      </c>
      <c r="H6" s="3477"/>
      <c r="I6" s="3476" t="s">
        <v>1669</v>
      </c>
      <c r="J6" s="3477"/>
      <c r="K6" s="536" t="s">
        <v>1670</v>
      </c>
      <c r="L6" s="2484"/>
      <c r="M6" s="2485"/>
      <c r="N6" s="2485"/>
      <c r="O6" s="2485"/>
      <c r="P6" s="3468"/>
      <c r="Q6" s="3469"/>
      <c r="R6" s="3472"/>
      <c r="S6" s="3473"/>
      <c r="T6" s="3474"/>
      <c r="U6" s="3475"/>
      <c r="V6" s="3457"/>
      <c r="W6" s="3457"/>
      <c r="X6" s="1263"/>
      <c r="Y6" s="3474"/>
      <c r="Z6" s="3475"/>
      <c r="AA6" s="3460"/>
      <c r="AB6" s="3460"/>
      <c r="AC6" s="3460"/>
    </row>
    <row r="7" spans="1:29" s="101" customFormat="1" ht="15.75" thickBot="1">
      <c r="A7" s="351" t="s">
        <v>1671</v>
      </c>
      <c r="B7" s="352"/>
      <c r="C7" s="353">
        <f>'数据-取费表'!B2</f>
        <v>45709</v>
      </c>
      <c r="D7" s="354">
        <v>100</v>
      </c>
      <c r="E7" s="355"/>
      <c r="F7" s="356">
        <f>SUMIF(48:48,YEAR(E7)&amp;"-"&amp;MONTH(E7),49:49)</f>
        <v>0</v>
      </c>
      <c r="G7" s="355"/>
      <c r="H7" s="354">
        <f>SUMIF(48:48,YEAR(G7)&amp;"-"&amp;MONTH(G7),49:49)</f>
        <v>0</v>
      </c>
      <c r="I7" s="355"/>
      <c r="J7" s="354">
        <f>SUMIF(48:48,YEAR(I7)&amp;"-"&amp;MONTH(I7),49:49)</f>
        <v>0</v>
      </c>
      <c r="K7" s="38"/>
      <c r="L7" s="2486"/>
      <c r="M7" s="2437"/>
      <c r="N7" s="2437"/>
      <c r="O7" s="2437"/>
      <c r="P7" s="3480" t="s">
        <v>1672</v>
      </c>
      <c r="Q7" s="3482"/>
      <c r="R7" s="663" t="s">
        <v>14</v>
      </c>
      <c r="S7" s="664">
        <f t="shared" ref="S7:S14" si="0">F7</f>
        <v>0</v>
      </c>
      <c r="T7" s="663" t="s">
        <v>14</v>
      </c>
      <c r="U7" s="664">
        <f t="shared" ref="U7:U14" si="1">H7</f>
        <v>0</v>
      </c>
      <c r="V7" s="663" t="s">
        <v>14</v>
      </c>
      <c r="W7" s="664">
        <f t="shared" ref="W7:W14" si="2">J7</f>
        <v>0</v>
      </c>
      <c r="X7" s="665"/>
      <c r="Y7" s="3480" t="s">
        <v>1672</v>
      </c>
      <c r="Z7" s="3481"/>
      <c r="AA7" s="50" t="e">
        <f>D7/F7</f>
        <v>#DIV/0!</v>
      </c>
      <c r="AB7" s="50" t="e">
        <f>D7/H7</f>
        <v>#DIV/0!</v>
      </c>
      <c r="AC7" s="50" t="e">
        <f>D7/J7</f>
        <v>#DIV/0!</v>
      </c>
    </row>
    <row r="8" spans="1:29" s="101" customFormat="1" ht="15.75" thickBot="1">
      <c r="A8" s="351" t="s">
        <v>1673</v>
      </c>
      <c r="B8" s="352"/>
      <c r="C8" s="357"/>
      <c r="D8" s="354">
        <v>100</v>
      </c>
      <c r="E8" s="357"/>
      <c r="F8" s="356">
        <f>SUMIF(51:51,E8,52:52)-SUMIF(51:51,C8,52:52)+100</f>
        <v>100</v>
      </c>
      <c r="G8" s="357"/>
      <c r="H8" s="354">
        <f>SUMIF(51:51,G8,52:52)-SUMIF(51:51,C8,52:52)+100</f>
        <v>100</v>
      </c>
      <c r="I8" s="357"/>
      <c r="J8" s="354">
        <f>SUMIF(51:51,I8,52:52)-SUMIF(51:51,C8,52:52)+100</f>
        <v>100</v>
      </c>
      <c r="K8" s="38"/>
      <c r="L8" s="2486"/>
      <c r="M8" s="2437"/>
      <c r="N8" s="2437"/>
      <c r="O8" s="2437"/>
      <c r="P8" s="3480" t="s">
        <v>1675</v>
      </c>
      <c r="Q8" s="3481"/>
      <c r="R8" s="663" t="s">
        <v>14</v>
      </c>
      <c r="S8" s="664">
        <f t="shared" si="0"/>
        <v>100</v>
      </c>
      <c r="T8" s="663" t="s">
        <v>14</v>
      </c>
      <c r="U8" s="664">
        <f t="shared" si="1"/>
        <v>100</v>
      </c>
      <c r="V8" s="663" t="s">
        <v>14</v>
      </c>
      <c r="W8" s="664">
        <f t="shared" si="2"/>
        <v>100</v>
      </c>
      <c r="X8" s="665"/>
      <c r="Y8" s="3480" t="s">
        <v>1675</v>
      </c>
      <c r="Z8" s="3481"/>
      <c r="AA8" s="50">
        <f t="shared" ref="AA8:AA36" si="3">D8/F8</f>
        <v>1</v>
      </c>
      <c r="AB8" s="50">
        <f t="shared" ref="AB8:AB36" si="4">D8/H8</f>
        <v>1</v>
      </c>
      <c r="AC8" s="50">
        <f t="shared" ref="AC8:AC36" si="5">D8/J8</f>
        <v>1</v>
      </c>
    </row>
    <row r="9" spans="1:29" s="101" customFormat="1">
      <c r="A9" s="57" t="s">
        <v>1676</v>
      </c>
      <c r="B9" s="563" t="s">
        <v>1677</v>
      </c>
      <c r="C9" s="359"/>
      <c r="D9" s="59">
        <v>100</v>
      </c>
      <c r="E9" s="361"/>
      <c r="F9" s="59">
        <f>SUMIF(53:53,E9,54:54)-SUMIF(53:53,C9,54:54)+100</f>
        <v>100</v>
      </c>
      <c r="G9" s="360"/>
      <c r="H9" s="59">
        <f>SUMIF(53:53,G9,54:54)-SUMIF(53:53,C9,54:54)+100</f>
        <v>100</v>
      </c>
      <c r="I9" s="360"/>
      <c r="J9" s="59">
        <f>SUMIF(53:53,I9,54:54)-SUMIF(53:53,C9,54:54)+100</f>
        <v>100</v>
      </c>
      <c r="K9" s="38"/>
      <c r="L9" s="2486"/>
      <c r="M9" s="2437"/>
      <c r="N9" s="2437"/>
      <c r="O9" s="2437"/>
      <c r="P9" s="3452" t="s">
        <v>1678</v>
      </c>
      <c r="Q9" s="529" t="str">
        <f t="shared" ref="Q9:Q14" si="6">B9</f>
        <v>用途</v>
      </c>
      <c r="R9" s="663" t="s">
        <v>14</v>
      </c>
      <c r="S9" s="664">
        <f t="shared" si="0"/>
        <v>100</v>
      </c>
      <c r="T9" s="663" t="s">
        <v>14</v>
      </c>
      <c r="U9" s="664">
        <f t="shared" si="1"/>
        <v>100</v>
      </c>
      <c r="V9" s="663" t="s">
        <v>14</v>
      </c>
      <c r="W9" s="664">
        <f t="shared" si="2"/>
        <v>100</v>
      </c>
      <c r="X9" s="665"/>
      <c r="Y9" s="3328" t="s">
        <v>1679</v>
      </c>
      <c r="Z9" s="50" t="str">
        <f t="shared" ref="Z9:Z14" si="7">Q9</f>
        <v>用途</v>
      </c>
      <c r="AA9" s="50">
        <f t="shared" si="3"/>
        <v>1</v>
      </c>
      <c r="AB9" s="50">
        <f t="shared" si="4"/>
        <v>1</v>
      </c>
      <c r="AC9" s="50">
        <f t="shared" si="5"/>
        <v>1</v>
      </c>
    </row>
    <row r="10" spans="1:29" s="365" customFormat="1" ht="27">
      <c r="A10" s="564"/>
      <c r="B10" s="565" t="s">
        <v>1680</v>
      </c>
      <c r="C10" s="3129"/>
      <c r="D10" s="118">
        <v>100</v>
      </c>
      <c r="E10" s="3129"/>
      <c r="F10" s="118">
        <f>SUMIF(55:55,E10,56:56)-SUMIF(55:55,C10,56:56)+100</f>
        <v>100</v>
      </c>
      <c r="G10" s="3130"/>
      <c r="H10" s="118">
        <f>SUMIF(55:55,G10,56:56)-SUMIF(55:55,C10,56:56)+100</f>
        <v>100</v>
      </c>
      <c r="I10" s="3129"/>
      <c r="J10" s="118">
        <f>SUMIF(55:55,I10,56:56)-SUMIF(55:55,C10,56:56)+100</f>
        <v>100</v>
      </c>
      <c r="K10" s="38"/>
      <c r="L10" s="2487"/>
      <c r="M10" s="2488"/>
      <c r="N10" s="2488"/>
      <c r="O10" s="2488"/>
      <c r="P10" s="3452"/>
      <c r="Q10" s="529"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452"/>
      <c r="Q11" s="529">
        <f t="shared" si="6"/>
        <v>111</v>
      </c>
      <c r="R11" s="663" t="s">
        <v>14</v>
      </c>
      <c r="S11" s="664">
        <f t="shared" si="0"/>
        <v>100</v>
      </c>
      <c r="T11" s="663" t="s">
        <v>14</v>
      </c>
      <c r="U11" s="664">
        <f t="shared" si="1"/>
        <v>100</v>
      </c>
      <c r="V11" s="663" t="s">
        <v>14</v>
      </c>
      <c r="W11" s="664">
        <f t="shared" si="2"/>
        <v>100</v>
      </c>
      <c r="X11" s="665"/>
      <c r="Y11" s="3328"/>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7"/>
      <c r="N12" s="2437"/>
      <c r="O12" s="2437"/>
      <c r="P12" s="3452"/>
      <c r="Q12" s="529">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452"/>
      <c r="Q13" s="529">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85.5">
      <c r="A14" s="344" t="s">
        <v>1682</v>
      </c>
      <c r="B14" s="553" t="s">
        <v>1825</v>
      </c>
      <c r="C14" s="1817"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453" t="s">
        <v>1683</v>
      </c>
      <c r="Q14" s="1261" t="str">
        <f t="shared" si="6"/>
        <v>交通便捷度</v>
      </c>
      <c r="R14" s="666" t="s">
        <v>14</v>
      </c>
      <c r="S14" s="667">
        <f t="shared" si="0"/>
        <v>100</v>
      </c>
      <c r="T14" s="666" t="s">
        <v>14</v>
      </c>
      <c r="U14" s="667">
        <f t="shared" si="1"/>
        <v>100</v>
      </c>
      <c r="V14" s="666" t="s">
        <v>14</v>
      </c>
      <c r="W14" s="667">
        <f t="shared" si="2"/>
        <v>100</v>
      </c>
      <c r="X14" s="1263"/>
      <c r="Y14" s="3453" t="s">
        <v>1683</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90"/>
      <c r="M15" s="2485"/>
      <c r="N15" s="2485"/>
      <c r="O15" s="2485"/>
      <c r="P15" s="3454"/>
      <c r="Q15" s="1261"/>
      <c r="R15" s="666"/>
      <c r="S15" s="667"/>
      <c r="T15" s="666"/>
      <c r="U15" s="667"/>
      <c r="V15" s="666"/>
      <c r="W15" s="667"/>
      <c r="X15" s="1263"/>
      <c r="Y15" s="3454"/>
      <c r="Z15" s="1262"/>
      <c r="AA15" s="1262">
        <v>1</v>
      </c>
      <c r="AB15" s="1262">
        <v>1</v>
      </c>
      <c r="AC15" s="1262">
        <v>1</v>
      </c>
    </row>
    <row r="16" spans="1:29" ht="42.75">
      <c r="A16" s="347"/>
      <c r="B16" s="555" t="s">
        <v>1804</v>
      </c>
      <c r="C16" s="1752"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454"/>
      <c r="Q16" s="1261" t="str">
        <f>B16</f>
        <v>公共配套设施</v>
      </c>
      <c r="R16" s="666" t="s">
        <v>14</v>
      </c>
      <c r="S16" s="667">
        <f>F16</f>
        <v>100</v>
      </c>
      <c r="T16" s="666" t="s">
        <v>14</v>
      </c>
      <c r="U16" s="667">
        <f>H16</f>
        <v>100</v>
      </c>
      <c r="V16" s="666" t="s">
        <v>14</v>
      </c>
      <c r="W16" s="667">
        <f>J16</f>
        <v>100</v>
      </c>
      <c r="X16" s="1263"/>
      <c r="Y16" s="3454"/>
      <c r="Z16" s="1262" t="str">
        <f>Q16</f>
        <v>公共配套设施</v>
      </c>
      <c r="AA16" s="1262">
        <f t="shared" si="3"/>
        <v>1</v>
      </c>
      <c r="AB16" s="1262">
        <f t="shared" si="4"/>
        <v>1</v>
      </c>
      <c r="AC16" s="1262">
        <f t="shared" si="5"/>
        <v>1</v>
      </c>
    </row>
    <row r="17" spans="1:29" ht="15">
      <c r="A17" s="347"/>
      <c r="B17" s="400"/>
      <c r="C17" s="1753"/>
      <c r="D17" s="386"/>
      <c r="E17" s="385"/>
      <c r="F17" s="387"/>
      <c r="G17" s="385"/>
      <c r="H17" s="386"/>
      <c r="I17" s="385"/>
      <c r="J17" s="386"/>
      <c r="K17" s="540"/>
      <c r="L17" s="2490"/>
      <c r="M17" s="2485"/>
      <c r="N17" s="2485"/>
      <c r="O17" s="2485"/>
      <c r="P17" s="3454"/>
      <c r="Q17" s="1261"/>
      <c r="R17" s="666"/>
      <c r="S17" s="667"/>
      <c r="T17" s="666"/>
      <c r="U17" s="667"/>
      <c r="V17" s="666"/>
      <c r="W17" s="667"/>
      <c r="X17" s="1263"/>
      <c r="Y17" s="3454"/>
      <c r="Z17" s="1262"/>
      <c r="AA17" s="1262">
        <v>1</v>
      </c>
      <c r="AB17" s="1262">
        <v>1</v>
      </c>
      <c r="AC17" s="1262">
        <v>1</v>
      </c>
    </row>
    <row r="18" spans="1:29" ht="28.5">
      <c r="A18" s="347"/>
      <c r="B18" s="556" t="s">
        <v>1805</v>
      </c>
      <c r="C18" s="1752"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454"/>
      <c r="Q18" s="1261" t="str">
        <f>B18</f>
        <v>基础设施水平</v>
      </c>
      <c r="R18" s="666" t="s">
        <v>14</v>
      </c>
      <c r="S18" s="667">
        <f>F18</f>
        <v>100</v>
      </c>
      <c r="T18" s="666" t="s">
        <v>14</v>
      </c>
      <c r="U18" s="667">
        <f>H18</f>
        <v>100</v>
      </c>
      <c r="V18" s="666" t="s">
        <v>14</v>
      </c>
      <c r="W18" s="667">
        <f>J18</f>
        <v>100</v>
      </c>
      <c r="X18" s="1263"/>
      <c r="Y18" s="3454"/>
      <c r="Z18" s="1262" t="str">
        <f>Q18</f>
        <v>基础设施水平</v>
      </c>
      <c r="AA18" s="1262">
        <f t="shared" ref="AA18" si="8">D18/F18</f>
        <v>1</v>
      </c>
      <c r="AB18" s="1262">
        <f t="shared" ref="AB18" si="9">D18/H18</f>
        <v>1</v>
      </c>
      <c r="AC18" s="1262">
        <f t="shared" ref="AC18" si="10">D18/J18</f>
        <v>1</v>
      </c>
    </row>
    <row r="19" spans="1:29" ht="15">
      <c r="A19" s="347"/>
      <c r="B19" s="556"/>
      <c r="C19" s="1753"/>
      <c r="D19" s="388"/>
      <c r="E19" s="1753"/>
      <c r="F19" s="391"/>
      <c r="G19" s="1753"/>
      <c r="H19" s="386"/>
      <c r="I19" s="385"/>
      <c r="J19" s="386"/>
      <c r="K19" s="1062"/>
      <c r="L19" s="2490"/>
      <c r="M19" s="2485"/>
      <c r="N19" s="2485"/>
      <c r="O19" s="2485"/>
      <c r="P19" s="3454"/>
      <c r="Q19" s="1261"/>
      <c r="R19" s="666"/>
      <c r="S19" s="667"/>
      <c r="T19" s="666"/>
      <c r="U19" s="667"/>
      <c r="V19" s="666"/>
      <c r="W19" s="667"/>
      <c r="X19" s="1263"/>
      <c r="Y19" s="3454"/>
      <c r="Z19" s="1262"/>
      <c r="AA19" s="1262">
        <v>1</v>
      </c>
      <c r="AB19" s="1262">
        <v>1</v>
      </c>
      <c r="AC19" s="1262">
        <v>1</v>
      </c>
    </row>
    <row r="20" spans="1:29" ht="57">
      <c r="A20" s="347"/>
      <c r="B20" s="555" t="s">
        <v>1826</v>
      </c>
      <c r="C20" s="1752"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454"/>
      <c r="Q20" s="1261" t="str">
        <f>B20</f>
        <v>自然及人文环境</v>
      </c>
      <c r="R20" s="666" t="s">
        <v>14</v>
      </c>
      <c r="S20" s="667">
        <f>F20</f>
        <v>100</v>
      </c>
      <c r="T20" s="666" t="s">
        <v>14</v>
      </c>
      <c r="U20" s="667">
        <f>H20</f>
        <v>100</v>
      </c>
      <c r="V20" s="666" t="s">
        <v>14</v>
      </c>
      <c r="W20" s="667">
        <f>J20</f>
        <v>100</v>
      </c>
      <c r="X20" s="1263"/>
      <c r="Y20" s="3454"/>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90"/>
      <c r="M21" s="2485"/>
      <c r="N21" s="2485"/>
      <c r="O21" s="2485"/>
      <c r="P21" s="3454"/>
      <c r="Q21" s="1261"/>
      <c r="R21" s="666"/>
      <c r="S21" s="667"/>
      <c r="T21" s="666"/>
      <c r="U21" s="667"/>
      <c r="V21" s="666"/>
      <c r="W21" s="667"/>
      <c r="X21" s="1263"/>
      <c r="Y21" s="3454"/>
      <c r="Z21" s="1262"/>
      <c r="AA21" s="1262">
        <v>1</v>
      </c>
      <c r="AB21" s="1262">
        <v>1</v>
      </c>
      <c r="AC21" s="1262">
        <v>1</v>
      </c>
    </row>
    <row r="22" spans="1:29" ht="15">
      <c r="A22" s="347"/>
      <c r="B22" s="555" t="s">
        <v>1827</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454"/>
      <c r="Q22" s="1261" t="str">
        <f>B22</f>
        <v>楼层</v>
      </c>
      <c r="R22" s="666" t="s">
        <v>14</v>
      </c>
      <c r="S22" s="667">
        <f>F22</f>
        <v>100</v>
      </c>
      <c r="T22" s="666" t="s">
        <v>14</v>
      </c>
      <c r="U22" s="667">
        <f>H22</f>
        <v>100</v>
      </c>
      <c r="V22" s="666" t="s">
        <v>14</v>
      </c>
      <c r="W22" s="667">
        <f>J22</f>
        <v>100</v>
      </c>
      <c r="X22" s="1263"/>
      <c r="Y22" s="3454"/>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454"/>
      <c r="Q23" s="1261">
        <f>B23</f>
        <v>111</v>
      </c>
      <c r="R23" s="666" t="s">
        <v>14</v>
      </c>
      <c r="S23" s="667">
        <f>F23</f>
        <v>100</v>
      </c>
      <c r="T23" s="666" t="s">
        <v>14</v>
      </c>
      <c r="U23" s="667">
        <f>H23</f>
        <v>100</v>
      </c>
      <c r="V23" s="666" t="s">
        <v>14</v>
      </c>
      <c r="W23" s="667">
        <f>J23</f>
        <v>100</v>
      </c>
      <c r="X23" s="1263"/>
      <c r="Y23" s="3454"/>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454"/>
      <c r="Q24" s="1261">
        <f t="shared" ref="Q24:Q36" si="11">B24</f>
        <v>111</v>
      </c>
      <c r="R24" s="666" t="s">
        <v>14</v>
      </c>
      <c r="S24" s="667">
        <f>F24</f>
        <v>100</v>
      </c>
      <c r="T24" s="666" t="s">
        <v>14</v>
      </c>
      <c r="U24" s="667">
        <f>H24</f>
        <v>100</v>
      </c>
      <c r="V24" s="666" t="s">
        <v>14</v>
      </c>
      <c r="W24" s="667">
        <f>J24</f>
        <v>100</v>
      </c>
      <c r="X24" s="1263"/>
      <c r="Y24" s="3454"/>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7"/>
      <c r="N25" s="2437"/>
      <c r="O25" s="2437"/>
      <c r="P25" s="3454"/>
      <c r="Q25" s="529">
        <f t="shared" si="11"/>
        <v>111</v>
      </c>
      <c r="R25" s="663" t="s">
        <v>14</v>
      </c>
      <c r="S25" s="664">
        <f>F25</f>
        <v>100</v>
      </c>
      <c r="T25" s="663" t="s">
        <v>14</v>
      </c>
      <c r="U25" s="664">
        <f>H25</f>
        <v>100</v>
      </c>
      <c r="V25" s="663" t="s">
        <v>14</v>
      </c>
      <c r="W25" s="664">
        <f>J25</f>
        <v>100</v>
      </c>
      <c r="X25" s="665"/>
      <c r="Y25" s="3454"/>
      <c r="Z25" s="50">
        <f>Q25</f>
        <v>111</v>
      </c>
      <c r="AA25" s="1262">
        <f>D25/F25</f>
        <v>1</v>
      </c>
      <c r="AB25" s="1262">
        <f>D25/H25</f>
        <v>1</v>
      </c>
      <c r="AC25" s="1262">
        <f>D25/J25</f>
        <v>1</v>
      </c>
    </row>
    <row r="26" spans="1:29" ht="28.5">
      <c r="A26" s="573" t="s">
        <v>1686</v>
      </c>
      <c r="B26" s="59" t="s">
        <v>1828</v>
      </c>
      <c r="C26" s="1818"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55" t="s">
        <v>1688</v>
      </c>
      <c r="Q26" s="1261" t="str">
        <f t="shared" si="11"/>
        <v>配套类型</v>
      </c>
      <c r="R26" s="666" t="s">
        <v>14</v>
      </c>
      <c r="S26" s="667">
        <f t="shared" ref="S26:S36" si="12">F26</f>
        <v>0</v>
      </c>
      <c r="T26" s="666" t="s">
        <v>14</v>
      </c>
      <c r="U26" s="667">
        <f t="shared" ref="U26:U36" si="13">H26</f>
        <v>0</v>
      </c>
      <c r="V26" s="666" t="s">
        <v>14</v>
      </c>
      <c r="W26" s="667">
        <f t="shared" ref="W26:W36" si="14">J26</f>
        <v>0</v>
      </c>
      <c r="X26" s="1263"/>
      <c r="Y26" s="3456" t="s">
        <v>1688</v>
      </c>
      <c r="Z26" s="1262" t="str">
        <f t="shared" ref="Z26:Z36" si="15">Q26</f>
        <v>配套类型</v>
      </c>
      <c r="AA26" s="1262" t="e">
        <f t="shared" si="3"/>
        <v>#DIV/0!</v>
      </c>
      <c r="AB26" s="1262" t="e">
        <f t="shared" si="4"/>
        <v>#DIV/0!</v>
      </c>
      <c r="AC26" s="1262" t="e">
        <f t="shared" si="5"/>
        <v>#DIV/0!</v>
      </c>
    </row>
    <row r="27" spans="1:29" s="407" customFormat="1" ht="15">
      <c r="A27" s="574"/>
      <c r="B27" s="118" t="s">
        <v>1829</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456"/>
      <c r="Q27" s="530" t="str">
        <f t="shared" si="11"/>
        <v>项目停车位配比</v>
      </c>
      <c r="R27" s="668" t="s">
        <v>14</v>
      </c>
      <c r="S27" s="669">
        <f t="shared" si="12"/>
        <v>100</v>
      </c>
      <c r="T27" s="668" t="s">
        <v>14</v>
      </c>
      <c r="U27" s="669">
        <f t="shared" si="13"/>
        <v>100</v>
      </c>
      <c r="V27" s="668" t="s">
        <v>14</v>
      </c>
      <c r="W27" s="669">
        <f t="shared" si="14"/>
        <v>100</v>
      </c>
      <c r="X27" s="670"/>
      <c r="Y27" s="3456"/>
      <c r="Z27" s="671" t="str">
        <f t="shared" si="15"/>
        <v>项目停车位配比</v>
      </c>
      <c r="AA27" s="1262">
        <f t="shared" si="3"/>
        <v>1</v>
      </c>
      <c r="AB27" s="1262">
        <f t="shared" si="4"/>
        <v>1</v>
      </c>
      <c r="AC27" s="1262">
        <f t="shared" si="5"/>
        <v>1</v>
      </c>
    </row>
    <row r="28" spans="1:29" ht="15">
      <c r="A28" s="576"/>
      <c r="B28" s="118" t="s">
        <v>1830</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456"/>
      <c r="Q28" s="1261" t="str">
        <f t="shared" si="11"/>
        <v>公共部分装修</v>
      </c>
      <c r="R28" s="666" t="s">
        <v>14</v>
      </c>
      <c r="S28" s="667">
        <f t="shared" si="12"/>
        <v>100</v>
      </c>
      <c r="T28" s="666" t="s">
        <v>14</v>
      </c>
      <c r="U28" s="667">
        <f t="shared" si="13"/>
        <v>100</v>
      </c>
      <c r="V28" s="666" t="s">
        <v>14</v>
      </c>
      <c r="W28" s="667">
        <f t="shared" si="14"/>
        <v>100</v>
      </c>
      <c r="X28" s="1263"/>
      <c r="Y28" s="3456"/>
      <c r="Z28" s="1262" t="str">
        <f t="shared" si="15"/>
        <v>公共部分装修</v>
      </c>
      <c r="AA28" s="1262">
        <f t="shared" si="3"/>
        <v>1</v>
      </c>
      <c r="AB28" s="1262">
        <f t="shared" si="4"/>
        <v>1</v>
      </c>
      <c r="AC28" s="1262">
        <f t="shared" si="5"/>
        <v>1</v>
      </c>
    </row>
    <row r="29" spans="1:29" ht="15">
      <c r="A29" s="576"/>
      <c r="B29" s="118" t="s">
        <v>1831</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456"/>
      <c r="Q29" s="1261" t="str">
        <f t="shared" si="11"/>
        <v>成新率</v>
      </c>
      <c r="R29" s="666" t="s">
        <v>14</v>
      </c>
      <c r="S29" s="667" t="e">
        <f t="shared" si="12"/>
        <v>#N/A</v>
      </c>
      <c r="T29" s="666" t="s">
        <v>14</v>
      </c>
      <c r="U29" s="667" t="e">
        <f t="shared" si="13"/>
        <v>#N/A</v>
      </c>
      <c r="V29" s="666" t="s">
        <v>14</v>
      </c>
      <c r="W29" s="667" t="e">
        <f t="shared" si="14"/>
        <v>#N/A</v>
      </c>
      <c r="X29" s="1263"/>
      <c r="Y29" s="3456"/>
      <c r="Z29" s="1262" t="str">
        <f t="shared" si="15"/>
        <v>成新率</v>
      </c>
      <c r="AA29" s="1262" t="e">
        <f t="shared" si="3"/>
        <v>#N/A</v>
      </c>
      <c r="AB29" s="1262" t="e">
        <f t="shared" si="4"/>
        <v>#N/A</v>
      </c>
      <c r="AC29" s="1262" t="e">
        <f t="shared" si="5"/>
        <v>#N/A</v>
      </c>
    </row>
    <row r="30" spans="1:29" ht="15">
      <c r="A30" s="576"/>
      <c r="B30" s="118" t="s">
        <v>1832</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456"/>
      <c r="Q30" s="1261" t="str">
        <f t="shared" si="11"/>
        <v>物业等级</v>
      </c>
      <c r="R30" s="666" t="s">
        <v>14</v>
      </c>
      <c r="S30" s="667">
        <f t="shared" si="12"/>
        <v>100</v>
      </c>
      <c r="T30" s="666" t="s">
        <v>14</v>
      </c>
      <c r="U30" s="667">
        <f t="shared" si="13"/>
        <v>100</v>
      </c>
      <c r="V30" s="666" t="s">
        <v>14</v>
      </c>
      <c r="W30" s="667">
        <f t="shared" si="14"/>
        <v>100</v>
      </c>
      <c r="X30" s="1263"/>
      <c r="Y30" s="3456"/>
      <c r="Z30" s="1262" t="str">
        <f t="shared" si="15"/>
        <v>物业等级</v>
      </c>
      <c r="AA30" s="1262">
        <f t="shared" si="3"/>
        <v>1</v>
      </c>
      <c r="AB30" s="1262">
        <f t="shared" si="4"/>
        <v>1</v>
      </c>
      <c r="AC30" s="1262">
        <f t="shared" si="5"/>
        <v>1</v>
      </c>
    </row>
    <row r="31" spans="1:29" s="101" customFormat="1" ht="15">
      <c r="A31" s="578"/>
      <c r="B31" s="118" t="s">
        <v>1833</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7"/>
      <c r="N31" s="2437"/>
      <c r="O31" s="2437"/>
      <c r="P31" s="3456"/>
      <c r="Q31" s="529" t="str">
        <f t="shared" si="11"/>
        <v>停车位面积</v>
      </c>
      <c r="R31" s="663" t="s">
        <v>14</v>
      </c>
      <c r="S31" s="664" t="e">
        <f t="shared" si="12"/>
        <v>#N/A</v>
      </c>
      <c r="T31" s="663" t="s">
        <v>14</v>
      </c>
      <c r="U31" s="664" t="e">
        <f t="shared" si="13"/>
        <v>#N/A</v>
      </c>
      <c r="V31" s="663" t="s">
        <v>14</v>
      </c>
      <c r="W31" s="664" t="e">
        <f t="shared" si="14"/>
        <v>#N/A</v>
      </c>
      <c r="X31" s="665"/>
      <c r="Y31" s="3456"/>
      <c r="Z31" s="50" t="str">
        <f t="shared" si="15"/>
        <v>停车位面积</v>
      </c>
      <c r="AA31" s="50" t="e">
        <f t="shared" si="3"/>
        <v>#N/A</v>
      </c>
      <c r="AB31" s="50" t="e">
        <f t="shared" si="4"/>
        <v>#N/A</v>
      </c>
      <c r="AC31" s="50" t="e">
        <f t="shared" si="5"/>
        <v>#N/A</v>
      </c>
    </row>
    <row r="32" spans="1:29" ht="15">
      <c r="A32" s="576"/>
      <c r="B32" s="118" t="s">
        <v>1834</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456" t="s">
        <v>1688</v>
      </c>
      <c r="Q32" s="1261" t="str">
        <f t="shared" si="11"/>
        <v>车位类型</v>
      </c>
      <c r="R32" s="666" t="s">
        <v>14</v>
      </c>
      <c r="S32" s="667">
        <f t="shared" si="12"/>
        <v>100</v>
      </c>
      <c r="T32" s="666" t="s">
        <v>14</v>
      </c>
      <c r="U32" s="667">
        <f t="shared" si="13"/>
        <v>100</v>
      </c>
      <c r="V32" s="666" t="s">
        <v>14</v>
      </c>
      <c r="W32" s="667">
        <f t="shared" si="14"/>
        <v>100</v>
      </c>
      <c r="X32" s="1263"/>
      <c r="Y32" s="3456" t="s">
        <v>1688</v>
      </c>
      <c r="Z32" s="1262" t="str">
        <f t="shared" si="15"/>
        <v>车位类型</v>
      </c>
      <c r="AA32" s="1262">
        <f t="shared" si="3"/>
        <v>1</v>
      </c>
      <c r="AB32" s="1262">
        <f t="shared" si="4"/>
        <v>1</v>
      </c>
      <c r="AC32" s="1262">
        <f t="shared" si="5"/>
        <v>1</v>
      </c>
    </row>
    <row r="33" spans="1:29" ht="15">
      <c r="A33" s="576"/>
      <c r="B33" s="118" t="s">
        <v>1835</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456"/>
      <c r="Q33" s="1261" t="str">
        <f t="shared" si="11"/>
        <v>是否直接入户</v>
      </c>
      <c r="R33" s="666" t="s">
        <v>14</v>
      </c>
      <c r="S33" s="667">
        <f t="shared" si="12"/>
        <v>100</v>
      </c>
      <c r="T33" s="666" t="s">
        <v>14</v>
      </c>
      <c r="U33" s="667">
        <f t="shared" si="13"/>
        <v>100</v>
      </c>
      <c r="V33" s="666" t="s">
        <v>14</v>
      </c>
      <c r="W33" s="667">
        <f t="shared" si="14"/>
        <v>100</v>
      </c>
      <c r="X33" s="1263"/>
      <c r="Y33" s="3456"/>
      <c r="Z33" s="1262" t="str">
        <f t="shared" si="15"/>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456"/>
      <c r="Q34" s="1261">
        <f t="shared" si="11"/>
        <v>111</v>
      </c>
      <c r="R34" s="666" t="s">
        <v>14</v>
      </c>
      <c r="S34" s="667">
        <f t="shared" si="12"/>
        <v>100</v>
      </c>
      <c r="T34" s="666" t="s">
        <v>14</v>
      </c>
      <c r="U34" s="667">
        <f t="shared" si="13"/>
        <v>100</v>
      </c>
      <c r="V34" s="666" t="s">
        <v>14</v>
      </c>
      <c r="W34" s="667">
        <f t="shared" si="14"/>
        <v>100</v>
      </c>
      <c r="X34" s="1263"/>
      <c r="Y34" s="3456"/>
      <c r="Z34" s="1262">
        <f t="shared" si="15"/>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456"/>
      <c r="Q35" s="530">
        <f t="shared" si="11"/>
        <v>111</v>
      </c>
      <c r="R35" s="668" t="s">
        <v>14</v>
      </c>
      <c r="S35" s="669">
        <f t="shared" si="12"/>
        <v>100</v>
      </c>
      <c r="T35" s="668" t="s">
        <v>14</v>
      </c>
      <c r="U35" s="669">
        <f t="shared" si="13"/>
        <v>100</v>
      </c>
      <c r="V35" s="668" t="s">
        <v>14</v>
      </c>
      <c r="W35" s="669">
        <f t="shared" si="14"/>
        <v>100</v>
      </c>
      <c r="X35" s="670"/>
      <c r="Y35" s="3456"/>
      <c r="Z35" s="671">
        <f t="shared" si="15"/>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456"/>
      <c r="Q36" s="1261">
        <f t="shared" si="11"/>
        <v>111</v>
      </c>
      <c r="R36" s="666" t="s">
        <v>14</v>
      </c>
      <c r="S36" s="667">
        <f t="shared" si="12"/>
        <v>100</v>
      </c>
      <c r="T36" s="666" t="s">
        <v>14</v>
      </c>
      <c r="U36" s="667">
        <f t="shared" si="13"/>
        <v>100</v>
      </c>
      <c r="V36" s="666" t="s">
        <v>14</v>
      </c>
      <c r="W36" s="667">
        <f t="shared" si="14"/>
        <v>100</v>
      </c>
      <c r="X36" s="1263"/>
      <c r="Y36" s="3456"/>
      <c r="Z36" s="1262">
        <f t="shared" si="15"/>
        <v>111</v>
      </c>
      <c r="AA36" s="1262">
        <f t="shared" si="3"/>
        <v>1</v>
      </c>
      <c r="AB36" s="1262">
        <f t="shared" si="4"/>
        <v>1</v>
      </c>
      <c r="AC36" s="1262">
        <f t="shared" si="5"/>
        <v>1</v>
      </c>
    </row>
    <row r="37" spans="1:29" ht="15">
      <c r="A37" s="415" t="s">
        <v>1836</v>
      </c>
      <c r="B37" s="1819" t="s">
        <v>3341</v>
      </c>
      <c r="C37" s="1079" t="s">
        <v>0</v>
      </c>
      <c r="D37" s="417"/>
      <c r="E37" s="418"/>
      <c r="F37" s="419"/>
      <c r="G37" s="420"/>
      <c r="H37" s="421"/>
      <c r="I37" s="418"/>
      <c r="J37" s="421"/>
      <c r="K37" s="544"/>
      <c r="L37" s="2492"/>
      <c r="M37" s="2485"/>
      <c r="N37" s="2485"/>
      <c r="O37" s="2485"/>
      <c r="P37" s="3452" t="str">
        <f>A37</f>
        <v>成交单价</v>
      </c>
      <c r="Q37" s="3452"/>
      <c r="R37" s="3457">
        <f>E37</f>
        <v>0</v>
      </c>
      <c r="S37" s="3457"/>
      <c r="T37" s="3457">
        <f>G37</f>
        <v>0</v>
      </c>
      <c r="U37" s="3457"/>
      <c r="V37" s="3457">
        <f>I37</f>
        <v>0</v>
      </c>
      <c r="W37" s="3457"/>
      <c r="X37" s="384"/>
      <c r="Y37" s="672"/>
      <c r="Z37" s="384"/>
      <c r="AA37" s="384"/>
      <c r="AB37" s="384"/>
      <c r="AC37" s="384"/>
    </row>
    <row r="38" spans="1:29" ht="15.75" thickBot="1">
      <c r="A38" s="422" t="s">
        <v>1837</v>
      </c>
      <c r="B38" s="423" t="str">
        <f>B37</f>
        <v>元/平方米</v>
      </c>
      <c r="C38" s="1080" t="e">
        <f>R39</f>
        <v>#DIV/0!</v>
      </c>
      <c r="D38" s="2139" t="s">
        <v>2128</v>
      </c>
      <c r="E38" s="1081" t="e">
        <f>R38</f>
        <v>#DIV/0!</v>
      </c>
      <c r="F38" s="2140"/>
      <c r="G38" s="1080" t="e">
        <f>T38</f>
        <v>#DIV/0!</v>
      </c>
      <c r="H38" s="2140"/>
      <c r="I38" s="1081" t="e">
        <f>V38</f>
        <v>#DIV/0!</v>
      </c>
      <c r="J38" s="2140"/>
      <c r="K38" s="2142">
        <f>F38+H38+J38</f>
        <v>0</v>
      </c>
      <c r="L38" s="2492"/>
      <c r="M38" s="2485"/>
      <c r="N38" s="2485"/>
      <c r="O38" s="2485"/>
      <c r="P38" s="3452" t="str">
        <f>A38</f>
        <v>比较价值（元/平方米）</v>
      </c>
      <c r="Q38" s="3452"/>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384"/>
      <c r="Y38" s="384"/>
      <c r="Z38" s="384"/>
      <c r="AA38" s="384"/>
      <c r="AB38" s="384"/>
      <c r="AC38" s="384"/>
    </row>
    <row r="39" spans="1:29" ht="15.75" thickBot="1">
      <c r="A39" s="426" t="s">
        <v>1838</v>
      </c>
      <c r="B39" s="427"/>
      <c r="C39" s="350" t="e">
        <f>R39</f>
        <v>#DIV/0!</v>
      </c>
      <c r="D39" s="350"/>
      <c r="E39" s="350"/>
      <c r="F39" s="350"/>
      <c r="G39" s="350"/>
      <c r="H39" s="350"/>
      <c r="I39" s="350"/>
      <c r="J39" s="350"/>
      <c r="K39" s="545"/>
      <c r="L39" s="2492"/>
      <c r="M39" s="2485"/>
      <c r="N39" s="2485"/>
      <c r="O39" s="2485"/>
      <c r="P39" s="3446" t="str">
        <f>A39</f>
        <v>估价对象XX用房的比较价值（楼面单价，元/平方米）</v>
      </c>
      <c r="Q39" s="3447"/>
      <c r="R39" s="3536" t="e">
        <f>IF(F1="售价",ROUND(IF(D38="简单平均",AVERAGE(R38:W38),R38*F38+T38*H38+V38*J38),0),ROUND(IF(D38="简单平均",AVERAGE(R38:V38),R38*F38+T38*H38+V38*J38),1))</f>
        <v>#DIV/0!</v>
      </c>
      <c r="S39" s="3536"/>
      <c r="T39" s="3536"/>
      <c r="U39" s="3536"/>
      <c r="V39" s="3536"/>
      <c r="W39" s="3536"/>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1839</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1840</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1841</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5" t="s">
        <v>1842</v>
      </c>
      <c r="B47" s="859"/>
      <c r="C47" s="884"/>
      <c r="D47" s="884"/>
      <c r="E47" s="884"/>
      <c r="F47" s="1086"/>
      <c r="G47" s="1086"/>
      <c r="H47" s="884"/>
      <c r="I47" s="884"/>
      <c r="J47" s="884"/>
      <c r="K47" s="885"/>
      <c r="L47" s="886"/>
      <c r="M47" s="884"/>
      <c r="N47" s="2535"/>
      <c r="O47" s="2535"/>
      <c r="P47" s="2524"/>
      <c r="Q47" s="2506"/>
      <c r="R47" s="2485"/>
      <c r="S47" s="2485"/>
      <c r="T47" s="2485"/>
      <c r="U47" s="2485"/>
      <c r="V47" s="2485"/>
      <c r="W47" s="2485"/>
      <c r="X47" s="2485"/>
      <c r="Y47" s="2485"/>
      <c r="Z47" s="2485"/>
      <c r="AA47" s="2485"/>
      <c r="AB47" s="2485"/>
      <c r="AC47" s="2485"/>
    </row>
    <row r="48" spans="1:29" s="441" customFormat="1" ht="15">
      <c r="A48" s="439" t="s">
        <v>1843</v>
      </c>
      <c r="B48" s="440"/>
      <c r="C48" s="1101" t="str">
        <f>YEAR(C7)&amp;"-"&amp;MONTH(C7)</f>
        <v>2025-2</v>
      </c>
      <c r="D48" s="1102">
        <f>EDATE(C48,-1)</f>
        <v>45658</v>
      </c>
      <c r="E48" s="1102">
        <f t="shared" ref="E48:O48" si="16">EDATE(D48,-1)</f>
        <v>45627</v>
      </c>
      <c r="F48" s="1102">
        <f t="shared" si="16"/>
        <v>45597</v>
      </c>
      <c r="G48" s="1102">
        <f t="shared" si="16"/>
        <v>45566</v>
      </c>
      <c r="H48" s="1102">
        <f t="shared" si="16"/>
        <v>45536</v>
      </c>
      <c r="I48" s="1102">
        <f t="shared" si="16"/>
        <v>45505</v>
      </c>
      <c r="J48" s="1102">
        <f t="shared" si="16"/>
        <v>45474</v>
      </c>
      <c r="K48" s="1102">
        <f t="shared" si="16"/>
        <v>45444</v>
      </c>
      <c r="L48" s="1102">
        <f t="shared" si="16"/>
        <v>45413</v>
      </c>
      <c r="M48" s="1102">
        <f t="shared" si="16"/>
        <v>45383</v>
      </c>
      <c r="N48" s="1102">
        <f t="shared" si="16"/>
        <v>45352</v>
      </c>
      <c r="O48" s="1102">
        <f t="shared" si="16"/>
        <v>45323</v>
      </c>
      <c r="P48" s="2525"/>
      <c r="Q48" s="2508"/>
      <c r="R48" s="2508"/>
      <c r="S48" s="2508"/>
      <c r="T48" s="2508"/>
      <c r="U48" s="2508"/>
      <c r="V48" s="2508"/>
      <c r="W48" s="2508"/>
      <c r="X48" s="2508"/>
      <c r="Y48" s="2508"/>
      <c r="Z48" s="2508"/>
      <c r="AA48" s="2508"/>
      <c r="AB48" s="2508"/>
      <c r="AC48" s="2508"/>
    </row>
    <row r="49" spans="1:29" s="101" customFormat="1" ht="15">
      <c r="A49" s="442"/>
      <c r="B49" s="443"/>
      <c r="C49" s="1095">
        <v>100</v>
      </c>
      <c r="D49" s="445"/>
      <c r="E49" s="445"/>
      <c r="F49" s="445"/>
      <c r="G49" s="445"/>
      <c r="H49" s="445"/>
      <c r="I49" s="445"/>
      <c r="J49" s="445"/>
      <c r="K49" s="445"/>
      <c r="L49" s="445"/>
      <c r="M49" s="446"/>
      <c r="N49" s="445"/>
      <c r="O49" s="446"/>
      <c r="P49" s="2526"/>
      <c r="Q49" s="2437"/>
      <c r="R49" s="2437"/>
      <c r="S49" s="2437"/>
      <c r="T49" s="2437"/>
      <c r="U49" s="2437"/>
      <c r="V49" s="2437"/>
      <c r="W49" s="2437"/>
      <c r="X49" s="2437"/>
      <c r="Y49" s="2437"/>
      <c r="Z49" s="2437"/>
      <c r="AA49" s="2437"/>
      <c r="AB49" s="2437"/>
      <c r="AC49" s="2437"/>
    </row>
    <row r="50" spans="1:29" s="101" customFormat="1" ht="15.75" thickBot="1">
      <c r="A50" s="448" t="s">
        <v>1708</v>
      </c>
      <c r="B50" s="449"/>
      <c r="C50" s="450"/>
      <c r="D50" s="451"/>
      <c r="E50" s="451"/>
      <c r="F50" s="451"/>
      <c r="G50" s="451"/>
      <c r="H50" s="451"/>
      <c r="I50" s="451"/>
      <c r="J50" s="451"/>
      <c r="K50" s="451"/>
      <c r="L50" s="451"/>
      <c r="M50" s="452"/>
      <c r="N50" s="451"/>
      <c r="O50" s="452"/>
      <c r="P50" s="2526"/>
      <c r="Q50" s="2506"/>
      <c r="R50" s="2437"/>
      <c r="S50" s="2437"/>
      <c r="T50" s="2437"/>
      <c r="U50" s="2437"/>
      <c r="V50" s="2437"/>
      <c r="W50" s="2437"/>
      <c r="X50" s="2437"/>
      <c r="Y50" s="2437"/>
      <c r="Z50" s="2437"/>
      <c r="AA50" s="2437"/>
      <c r="AB50" s="2437"/>
      <c r="AC50" s="2437"/>
    </row>
    <row r="51" spans="1:29" s="101" customFormat="1" ht="15">
      <c r="A51" s="454" t="s">
        <v>1673</v>
      </c>
      <c r="B51" s="443"/>
      <c r="C51" s="455" t="s">
        <v>1768</v>
      </c>
      <c r="D51" s="31"/>
      <c r="E51" s="31"/>
      <c r="F51" s="31"/>
      <c r="G51" s="31"/>
      <c r="H51" s="31"/>
      <c r="I51" s="31"/>
      <c r="J51" s="31"/>
      <c r="K51" s="31"/>
      <c r="L51" s="456"/>
      <c r="M51" s="457"/>
      <c r="N51" s="2518"/>
      <c r="O51" s="2518"/>
      <c r="P51" s="2527"/>
      <c r="Q51" s="2506"/>
      <c r="R51" s="2437"/>
      <c r="S51" s="2437"/>
      <c r="T51" s="2437"/>
      <c r="U51" s="2437"/>
      <c r="V51" s="2437"/>
      <c r="W51" s="2437"/>
      <c r="X51" s="2437"/>
      <c r="Y51" s="2437"/>
      <c r="Z51" s="2437"/>
      <c r="AA51" s="2437"/>
      <c r="AB51" s="2437"/>
      <c r="AC51" s="2437"/>
    </row>
    <row r="52" spans="1:29" s="101" customFormat="1" ht="15.75" thickBot="1">
      <c r="A52" s="454"/>
      <c r="B52" s="443"/>
      <c r="C52" s="562">
        <v>100</v>
      </c>
      <c r="D52" s="445"/>
      <c r="E52" s="445"/>
      <c r="F52" s="445"/>
      <c r="G52" s="445"/>
      <c r="H52" s="445"/>
      <c r="I52" s="445"/>
      <c r="J52" s="445"/>
      <c r="K52" s="445"/>
      <c r="L52" s="445"/>
      <c r="M52" s="447"/>
      <c r="N52" s="2518"/>
      <c r="O52" s="2518"/>
      <c r="P52" s="2526"/>
      <c r="Q52" s="2506"/>
      <c r="R52" s="2437"/>
      <c r="S52" s="2437"/>
      <c r="T52" s="2437"/>
      <c r="U52" s="2437"/>
      <c r="V52" s="2437"/>
      <c r="W52" s="2437"/>
      <c r="X52" s="2437"/>
      <c r="Y52" s="2437"/>
      <c r="Z52" s="2437"/>
      <c r="AA52" s="2437"/>
      <c r="AB52" s="2437"/>
      <c r="AC52" s="2437"/>
    </row>
    <row r="53" spans="1:29">
      <c r="A53" s="378" t="s">
        <v>1711</v>
      </c>
      <c r="B53" s="459" t="s">
        <v>1677</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5.75"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7.75" thickTop="1">
      <c r="A55" s="366"/>
      <c r="B55" s="468" t="s">
        <v>1680</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5.75"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5.75"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5.75"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5.75"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5.75"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5.75"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5.75"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1682</v>
      </c>
      <c r="B63" s="459" t="s">
        <v>1718</v>
      </c>
      <c r="C63" s="503" t="s">
        <v>1713</v>
      </c>
      <c r="D63" s="503" t="s">
        <v>1714</v>
      </c>
      <c r="E63" s="503" t="s">
        <v>1715</v>
      </c>
      <c r="F63" s="503" t="s">
        <v>1716</v>
      </c>
      <c r="G63" s="503" t="s">
        <v>1717</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75" thickTop="1">
      <c r="A65" s="366"/>
      <c r="B65" s="468" t="s">
        <v>1719</v>
      </c>
      <c r="C65" s="508" t="s">
        <v>1713</v>
      </c>
      <c r="D65" s="508" t="s">
        <v>1714</v>
      </c>
      <c r="E65" s="508" t="s">
        <v>1715</v>
      </c>
      <c r="F65" s="508" t="s">
        <v>1716</v>
      </c>
      <c r="G65" s="508" t="s">
        <v>1717</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75" thickTop="1">
      <c r="A67" s="366"/>
      <c r="B67" s="476" t="s">
        <v>1805</v>
      </c>
      <c r="C67" s="580" t="s">
        <v>1791</v>
      </c>
      <c r="D67" s="580" t="s">
        <v>1792</v>
      </c>
      <c r="E67" s="580" t="s">
        <v>1793</v>
      </c>
      <c r="F67" s="580" t="s">
        <v>1794</v>
      </c>
      <c r="G67" s="580" t="s">
        <v>1795</v>
      </c>
      <c r="H67" s="469"/>
      <c r="I67" s="469"/>
      <c r="J67" s="469"/>
      <c r="K67" s="469"/>
      <c r="L67" s="469"/>
      <c r="M67" s="1061"/>
      <c r="N67" s="2520"/>
      <c r="O67" s="2520"/>
      <c r="P67" s="2528"/>
      <c r="Q67" s="2506"/>
      <c r="R67" s="2485"/>
      <c r="S67" s="2485"/>
      <c r="T67" s="2485"/>
      <c r="U67" s="2485"/>
      <c r="V67" s="2485"/>
      <c r="W67" s="2485"/>
      <c r="X67" s="2485"/>
      <c r="Y67" s="2485"/>
      <c r="Z67" s="2485"/>
      <c r="AA67" s="2485"/>
      <c r="AB67" s="2485"/>
      <c r="AC67" s="2485"/>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75" thickTop="1">
      <c r="A69" s="366"/>
      <c r="B69" s="468" t="s">
        <v>1725</v>
      </c>
      <c r="C69" s="508" t="s">
        <v>1713</v>
      </c>
      <c r="D69" s="508" t="s">
        <v>1714</v>
      </c>
      <c r="E69" s="508" t="s">
        <v>1715</v>
      </c>
      <c r="F69" s="508" t="s">
        <v>1716</v>
      </c>
      <c r="G69" s="508" t="s">
        <v>1717</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75" thickTop="1">
      <c r="A71" s="366"/>
      <c r="B71" s="468" t="s">
        <v>1844</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5.75" thickTop="1">
      <c r="A73" s="369"/>
      <c r="B73" s="468">
        <f>B23</f>
        <v>111</v>
      </c>
      <c r="C73" s="479"/>
      <c r="D73" s="479"/>
      <c r="E73" s="479"/>
      <c r="F73" s="479"/>
      <c r="G73" s="484"/>
      <c r="H73" s="484"/>
      <c r="I73" s="484"/>
      <c r="J73" s="484"/>
      <c r="K73" s="484"/>
      <c r="L73" s="509"/>
      <c r="M73" s="510"/>
      <c r="N73" s="2518"/>
      <c r="O73" s="2518"/>
      <c r="P73" s="2528"/>
      <c r="Q73" s="2506"/>
      <c r="R73" s="2437"/>
      <c r="S73" s="2437"/>
      <c r="T73" s="2437"/>
      <c r="U73" s="2437"/>
      <c r="V73" s="2437"/>
      <c r="W73" s="2437"/>
      <c r="X73" s="2437"/>
      <c r="Y73" s="2437"/>
      <c r="Z73" s="2437"/>
      <c r="AA73" s="2437"/>
      <c r="AB73" s="2437"/>
      <c r="AC73" s="2437"/>
    </row>
    <row r="74" spans="1:29" s="101" customFormat="1" ht="15.75" thickBot="1">
      <c r="A74" s="369"/>
      <c r="B74" s="473"/>
      <c r="C74" s="490"/>
      <c r="D74" s="466"/>
      <c r="E74" s="466"/>
      <c r="F74" s="466"/>
      <c r="G74" s="466"/>
      <c r="H74" s="466"/>
      <c r="I74" s="466"/>
      <c r="J74" s="466"/>
      <c r="K74" s="466"/>
      <c r="L74" s="466"/>
      <c r="M74" s="467"/>
      <c r="N74" s="2520"/>
      <c r="O74" s="2520"/>
      <c r="P74" s="2528"/>
      <c r="Q74" s="2506"/>
      <c r="R74" s="2437"/>
      <c r="S74" s="2437"/>
      <c r="T74" s="2437"/>
      <c r="U74" s="2437"/>
      <c r="V74" s="2437"/>
      <c r="W74" s="2437"/>
      <c r="X74" s="2437"/>
      <c r="Y74" s="2437"/>
      <c r="Z74" s="2437"/>
      <c r="AA74" s="2437"/>
      <c r="AB74" s="2437"/>
      <c r="AC74" s="2437"/>
    </row>
    <row r="75" spans="1:29" s="101" customFormat="1" ht="15.75" thickTop="1">
      <c r="A75" s="369"/>
      <c r="B75" s="468">
        <f>B24</f>
        <v>111</v>
      </c>
      <c r="C75" s="479"/>
      <c r="D75" s="479"/>
      <c r="E75" s="479"/>
      <c r="F75" s="479"/>
      <c r="G75" s="484"/>
      <c r="H75" s="484"/>
      <c r="I75" s="484"/>
      <c r="J75" s="484"/>
      <c r="K75" s="484"/>
      <c r="L75" s="484"/>
      <c r="M75" s="510"/>
      <c r="N75" s="2518"/>
      <c r="O75" s="2518"/>
      <c r="P75" s="2528"/>
      <c r="Q75" s="2506"/>
      <c r="R75" s="2437"/>
      <c r="S75" s="2437"/>
      <c r="T75" s="2437"/>
      <c r="U75" s="2437"/>
      <c r="V75" s="2437"/>
      <c r="W75" s="2437"/>
      <c r="X75" s="2437"/>
      <c r="Y75" s="2437"/>
      <c r="Z75" s="2437"/>
      <c r="AA75" s="2437"/>
      <c r="AB75" s="2437"/>
      <c r="AC75" s="2437"/>
    </row>
    <row r="76" spans="1:29" s="101" customFormat="1" ht="15.75" thickBot="1">
      <c r="A76" s="369"/>
      <c r="B76" s="473"/>
      <c r="C76" s="490"/>
      <c r="D76" s="466"/>
      <c r="E76" s="466"/>
      <c r="F76" s="466"/>
      <c r="G76" s="466"/>
      <c r="H76" s="466"/>
      <c r="I76" s="466"/>
      <c r="J76" s="466"/>
      <c r="K76" s="466"/>
      <c r="L76" s="466"/>
      <c r="M76" s="467"/>
      <c r="N76" s="2520"/>
      <c r="O76" s="2520"/>
      <c r="P76" s="2528"/>
      <c r="Q76" s="2506"/>
      <c r="R76" s="2437"/>
      <c r="S76" s="2437"/>
      <c r="T76" s="2437"/>
      <c r="U76" s="2437"/>
      <c r="V76" s="2437"/>
      <c r="W76" s="2437"/>
      <c r="X76" s="2437"/>
      <c r="Y76" s="2437"/>
      <c r="Z76" s="2437"/>
      <c r="AA76" s="2437"/>
      <c r="AB76" s="2437"/>
      <c r="AC76" s="2437"/>
    </row>
    <row r="77" spans="1:29" s="407" customFormat="1" ht="15.75"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5.75"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7.75" thickTop="1">
      <c r="A79" s="378" t="s">
        <v>1686</v>
      </c>
      <c r="B79" s="459" t="s">
        <v>1845</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6"/>
      <c r="B81" s="468" t="s">
        <v>1846</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5.75"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1732</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1847</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1848</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1849</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1850</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1851</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5"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5.75"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5"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5.75"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5"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1823</v>
      </c>
      <c r="B1" s="1138" t="s">
        <v>3321</v>
      </c>
      <c r="C1" s="1139" t="s">
        <v>1654</v>
      </c>
      <c r="D1" s="1140"/>
      <c r="E1" s="3128"/>
      <c r="F1" s="1733"/>
      <c r="G1" s="1150" t="s">
        <v>1759</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1454</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1455</v>
      </c>
      <c r="F2" s="1737"/>
      <c r="G2" s="853"/>
      <c r="H2" s="853"/>
      <c r="I2" s="853"/>
      <c r="J2" s="853"/>
      <c r="K2" s="855"/>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1456</v>
      </c>
      <c r="B3" s="535" t="e">
        <f>IF(C2="——",C37,ROUND(B2*10000/D3,0))</f>
        <v>#DIV/0!</v>
      </c>
      <c r="C3" s="343" t="s">
        <v>1760</v>
      </c>
      <c r="D3" s="342">
        <f>SUMIF('数据-汇总表'!$C19:$C33,D1,'数据-汇总表'!$E19:$E33)</f>
        <v>0</v>
      </c>
      <c r="E3" s="853"/>
      <c r="F3" s="854"/>
      <c r="G3" s="853"/>
      <c r="H3" s="853"/>
      <c r="I3" s="853"/>
      <c r="J3" s="853"/>
      <c r="K3" s="855"/>
      <c r="L3" s="2501"/>
      <c r="M3" s="2502"/>
      <c r="N3" s="2502"/>
      <c r="O3" s="2502"/>
      <c r="P3" s="340"/>
      <c r="Q3" s="340"/>
      <c r="R3" s="340"/>
      <c r="S3" s="340"/>
      <c r="T3" s="340"/>
      <c r="U3" s="340"/>
      <c r="V3" s="340"/>
      <c r="W3" s="340"/>
      <c r="X3" s="340"/>
      <c r="Y3" s="340"/>
      <c r="Z3" s="340"/>
      <c r="AA3" s="340"/>
      <c r="AB3" s="675"/>
      <c r="AC3" s="662"/>
    </row>
    <row r="4" spans="1:29" ht="15">
      <c r="A4" s="344" t="s">
        <v>1761</v>
      </c>
      <c r="B4" s="345"/>
      <c r="C4" s="3449" t="s">
        <v>1762</v>
      </c>
      <c r="D4" s="3461"/>
      <c r="E4" s="3462" t="s">
        <v>1763</v>
      </c>
      <c r="F4" s="3463"/>
      <c r="G4" s="3449" t="s">
        <v>1764</v>
      </c>
      <c r="H4" s="3461"/>
      <c r="I4" s="3449" t="s">
        <v>1765</v>
      </c>
      <c r="J4" s="3461"/>
      <c r="K4" s="536" t="s">
        <v>1766</v>
      </c>
      <c r="L4" s="2484"/>
      <c r="M4" s="2485"/>
      <c r="N4" s="2485"/>
      <c r="O4" s="2485"/>
      <c r="P4" s="3464" t="s">
        <v>1767</v>
      </c>
      <c r="Q4" s="3465"/>
      <c r="R4" s="3470" t="s">
        <v>1763</v>
      </c>
      <c r="S4" s="3471"/>
      <c r="T4" s="3470" t="s">
        <v>1764</v>
      </c>
      <c r="U4" s="3471"/>
      <c r="V4" s="3457" t="s">
        <v>1765</v>
      </c>
      <c r="W4" s="3457"/>
      <c r="X4" s="1263"/>
      <c r="Y4" s="3470" t="s">
        <v>1767</v>
      </c>
      <c r="Z4" s="3471"/>
      <c r="AA4" s="3458" t="s">
        <v>1763</v>
      </c>
      <c r="AB4" s="3459" t="s">
        <v>1764</v>
      </c>
      <c r="AC4" s="3458" t="s">
        <v>1765</v>
      </c>
    </row>
    <row r="5" spans="1:29" ht="15">
      <c r="A5" s="347"/>
      <c r="B5" s="348"/>
      <c r="C5" s="3478" t="s">
        <v>1665</v>
      </c>
      <c r="D5" s="3479"/>
      <c r="E5" s="3485" t="s">
        <v>1666</v>
      </c>
      <c r="F5" s="3486"/>
      <c r="G5" s="3478" t="s">
        <v>1667</v>
      </c>
      <c r="H5" s="3479"/>
      <c r="I5" s="3478" t="s">
        <v>1668</v>
      </c>
      <c r="J5" s="3479"/>
      <c r="K5" s="536"/>
      <c r="L5" s="2484"/>
      <c r="M5" s="2485"/>
      <c r="N5" s="2485"/>
      <c r="O5" s="2485"/>
      <c r="P5" s="3466"/>
      <c r="Q5" s="3467"/>
      <c r="R5" s="3472"/>
      <c r="S5" s="3473"/>
      <c r="T5" s="3472"/>
      <c r="U5" s="3473"/>
      <c r="V5" s="3457"/>
      <c r="W5" s="3457"/>
      <c r="X5" s="1263"/>
      <c r="Y5" s="3472"/>
      <c r="Z5" s="3473"/>
      <c r="AA5" s="3459"/>
      <c r="AB5" s="3459"/>
      <c r="AC5" s="3459"/>
    </row>
    <row r="6" spans="1:29" ht="15.75" thickBot="1">
      <c r="A6" s="349"/>
      <c r="B6" s="350"/>
      <c r="C6" s="3476" t="s">
        <v>1669</v>
      </c>
      <c r="D6" s="3477"/>
      <c r="E6" s="3483" t="s">
        <v>1669</v>
      </c>
      <c r="F6" s="3484"/>
      <c r="G6" s="3476" t="s">
        <v>1669</v>
      </c>
      <c r="H6" s="3477"/>
      <c r="I6" s="3476" t="s">
        <v>1669</v>
      </c>
      <c r="J6" s="3477"/>
      <c r="K6" s="536" t="s">
        <v>1670</v>
      </c>
      <c r="L6" s="2484"/>
      <c r="M6" s="2485"/>
      <c r="N6" s="2485"/>
      <c r="O6" s="2485"/>
      <c r="P6" s="3468"/>
      <c r="Q6" s="3469"/>
      <c r="R6" s="3472"/>
      <c r="S6" s="3473"/>
      <c r="T6" s="3474"/>
      <c r="U6" s="3475"/>
      <c r="V6" s="3457"/>
      <c r="W6" s="3457"/>
      <c r="X6" s="1263"/>
      <c r="Y6" s="3474"/>
      <c r="Z6" s="3475"/>
      <c r="AA6" s="3460"/>
      <c r="AB6" s="3460"/>
      <c r="AC6" s="3460"/>
    </row>
    <row r="7" spans="1:29" s="101" customFormat="1" ht="15.75" thickBot="1">
      <c r="A7" s="351" t="s">
        <v>1671</v>
      </c>
      <c r="B7" s="352"/>
      <c r="C7" s="353">
        <f>'数据-取费表'!B2</f>
        <v>45709</v>
      </c>
      <c r="D7" s="354">
        <v>100</v>
      </c>
      <c r="E7" s="355"/>
      <c r="F7" s="356">
        <f>SUMIF(46:46,YEAR(E7)&amp;"-"&amp;MONTH(E7),47:47)</f>
        <v>0</v>
      </c>
      <c r="G7" s="1820"/>
      <c r="H7" s="354">
        <f>SUMIF(46:46,YEAR(G7)&amp;"-"&amp;MONTH(G7),47:47)</f>
        <v>0</v>
      </c>
      <c r="I7" s="355"/>
      <c r="J7" s="354">
        <f>SUMIF(46:46,YEAR(I7)&amp;"-"&amp;MONTH(I7),47:47)</f>
        <v>0</v>
      </c>
      <c r="K7" s="38"/>
      <c r="L7" s="2486"/>
      <c r="M7" s="2437"/>
      <c r="N7" s="2437"/>
      <c r="O7" s="2437"/>
      <c r="P7" s="3480" t="s">
        <v>1672</v>
      </c>
      <c r="Q7" s="3482"/>
      <c r="R7" s="663" t="s">
        <v>14</v>
      </c>
      <c r="S7" s="664">
        <f t="shared" ref="S7:S14" si="0">F7</f>
        <v>0</v>
      </c>
      <c r="T7" s="663" t="s">
        <v>14</v>
      </c>
      <c r="U7" s="664">
        <f t="shared" ref="U7:U14" si="1">H7</f>
        <v>0</v>
      </c>
      <c r="V7" s="663" t="s">
        <v>14</v>
      </c>
      <c r="W7" s="664">
        <f t="shared" ref="W7:W14" si="2">J7</f>
        <v>0</v>
      </c>
      <c r="X7" s="665"/>
      <c r="Y7" s="3480" t="s">
        <v>1672</v>
      </c>
      <c r="Z7" s="3481"/>
      <c r="AA7" s="50" t="e">
        <f>D7/F7</f>
        <v>#DIV/0!</v>
      </c>
      <c r="AB7" s="50" t="e">
        <f>D7/H7</f>
        <v>#DIV/0!</v>
      </c>
      <c r="AC7" s="50" t="e">
        <f>D7/J7</f>
        <v>#DIV/0!</v>
      </c>
    </row>
    <row r="8" spans="1:29" s="101" customFormat="1" ht="15.75" thickBot="1">
      <c r="A8" s="351" t="s">
        <v>1673</v>
      </c>
      <c r="B8" s="352"/>
      <c r="C8" s="357"/>
      <c r="D8" s="354">
        <v>100</v>
      </c>
      <c r="E8" s="357"/>
      <c r="F8" s="356">
        <f>SUMIF(49:49,E8,50:50)-SUMIF(49:49,C8,50:50)+100</f>
        <v>100</v>
      </c>
      <c r="G8" s="357"/>
      <c r="H8" s="354">
        <f>SUMIF(49:49,G8,50:50)-SUMIF(49:49,C8,50:50)+100</f>
        <v>100</v>
      </c>
      <c r="I8" s="357"/>
      <c r="J8" s="354">
        <f>SUMIF(49:49,I8,50:50)-SUMIF(49:49,C8,50:50)+100</f>
        <v>100</v>
      </c>
      <c r="K8" s="38"/>
      <c r="L8" s="2486"/>
      <c r="M8" s="2437"/>
      <c r="N8" s="2437"/>
      <c r="O8" s="2437"/>
      <c r="P8" s="3480" t="s">
        <v>1675</v>
      </c>
      <c r="Q8" s="3481"/>
      <c r="R8" s="663" t="s">
        <v>14</v>
      </c>
      <c r="S8" s="664">
        <f t="shared" si="0"/>
        <v>100</v>
      </c>
      <c r="T8" s="663" t="s">
        <v>14</v>
      </c>
      <c r="U8" s="664">
        <f t="shared" si="1"/>
        <v>100</v>
      </c>
      <c r="V8" s="663" t="s">
        <v>14</v>
      </c>
      <c r="W8" s="664">
        <f t="shared" si="2"/>
        <v>100</v>
      </c>
      <c r="X8" s="665"/>
      <c r="Y8" s="3480" t="s">
        <v>1675</v>
      </c>
      <c r="Z8" s="3481"/>
      <c r="AA8" s="50">
        <f t="shared" ref="AA8:AA34" si="3">D8/F8</f>
        <v>1</v>
      </c>
      <c r="AB8" s="50">
        <f t="shared" ref="AB8:AB34" si="4">D8/H8</f>
        <v>1</v>
      </c>
      <c r="AC8" s="50">
        <f t="shared" ref="AC8:AC34" si="5">D8/J8</f>
        <v>1</v>
      </c>
    </row>
    <row r="9" spans="1:29" s="101" customFormat="1">
      <c r="A9" s="358" t="s">
        <v>1676</v>
      </c>
      <c r="B9" s="60" t="s">
        <v>1677</v>
      </c>
      <c r="C9" s="359"/>
      <c r="D9" s="59">
        <v>100</v>
      </c>
      <c r="E9" s="361"/>
      <c r="F9" s="60">
        <f>SUMIF(51:51,E9,52:52)-SUMIF(51:51,C9,52:52)+100</f>
        <v>100</v>
      </c>
      <c r="G9" s="361"/>
      <c r="H9" s="59">
        <f>SUMIF(51:51,G9,52:52)-SUMIF(51:51,C9,52:52)+100</f>
        <v>100</v>
      </c>
      <c r="I9" s="361"/>
      <c r="J9" s="59">
        <f>SUMIF(51:51,I9,52:52)-SUMIF(51:51,C9,52:52)+100</f>
        <v>100</v>
      </c>
      <c r="K9" s="38"/>
      <c r="L9" s="2486"/>
      <c r="M9" s="2437"/>
      <c r="N9" s="2437"/>
      <c r="O9" s="2538"/>
      <c r="P9" s="3452" t="s">
        <v>1678</v>
      </c>
      <c r="Q9" s="529" t="str">
        <f t="shared" ref="Q9:Q14" si="6">B9</f>
        <v>用途</v>
      </c>
      <c r="R9" s="663" t="s">
        <v>14</v>
      </c>
      <c r="S9" s="664">
        <f t="shared" si="0"/>
        <v>100</v>
      </c>
      <c r="T9" s="663" t="s">
        <v>14</v>
      </c>
      <c r="U9" s="664">
        <f t="shared" si="1"/>
        <v>100</v>
      </c>
      <c r="V9" s="663" t="s">
        <v>14</v>
      </c>
      <c r="W9" s="664">
        <f t="shared" si="2"/>
        <v>100</v>
      </c>
      <c r="X9" s="665"/>
      <c r="Y9" s="3328" t="s">
        <v>1679</v>
      </c>
      <c r="Z9" s="50" t="str">
        <f t="shared" ref="Z9:Z14" si="7">Q9</f>
        <v>用途</v>
      </c>
      <c r="AA9" s="50">
        <f t="shared" si="3"/>
        <v>1</v>
      </c>
      <c r="AB9" s="50">
        <f t="shared" si="4"/>
        <v>1</v>
      </c>
      <c r="AC9" s="50">
        <f t="shared" si="5"/>
        <v>1</v>
      </c>
    </row>
    <row r="10" spans="1:29" s="365" customFormat="1" ht="27">
      <c r="A10" s="362"/>
      <c r="B10" s="363" t="s">
        <v>1680</v>
      </c>
      <c r="C10" s="3129"/>
      <c r="D10" s="118">
        <v>100</v>
      </c>
      <c r="E10" s="3129"/>
      <c r="F10" s="363">
        <f>SUMIF(53:53,E10,54:54)-SUMIF(53:53,C10,54:54)+100</f>
        <v>100</v>
      </c>
      <c r="G10" s="3129"/>
      <c r="H10" s="118">
        <f>SUMIF(53:53,G10,54:54)-SUMIF(53:53,C10,54:54)+100</f>
        <v>100</v>
      </c>
      <c r="I10" s="3129"/>
      <c r="J10" s="118">
        <f>SUMIF(53:53,I10,54:54)-SUMIF(53:53,C10,54:54)+100</f>
        <v>100</v>
      </c>
      <c r="K10" s="38"/>
      <c r="L10" s="2487"/>
      <c r="M10" s="2488"/>
      <c r="N10" s="2488"/>
      <c r="O10" s="2539"/>
      <c r="P10" s="3452"/>
      <c r="Q10" s="529"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452"/>
      <c r="Q11" s="529">
        <f t="shared" si="6"/>
        <v>111</v>
      </c>
      <c r="R11" s="663" t="s">
        <v>14</v>
      </c>
      <c r="S11" s="664">
        <f t="shared" si="0"/>
        <v>100</v>
      </c>
      <c r="T11" s="663" t="s">
        <v>14</v>
      </c>
      <c r="U11" s="664">
        <f t="shared" si="1"/>
        <v>100</v>
      </c>
      <c r="V11" s="663" t="s">
        <v>14</v>
      </c>
      <c r="W11" s="664">
        <f t="shared" si="2"/>
        <v>100</v>
      </c>
      <c r="X11" s="665"/>
      <c r="Y11" s="3328"/>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7"/>
      <c r="N12" s="2437"/>
      <c r="O12" s="2538"/>
      <c r="P12" s="3452"/>
      <c r="Q12" s="529">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1"/>
      <c r="H13" s="376">
        <f>SUMIF(59:59,G13,60:60)-SUMIF(59:59,C13,60:60)+100</f>
        <v>100</v>
      </c>
      <c r="I13" s="406"/>
      <c r="J13" s="373">
        <f>SUMIF(59:59,I13,60:60)-SUMIF(59:59,C13,60:60)+100</f>
        <v>100</v>
      </c>
      <c r="K13" s="538"/>
      <c r="L13" s="2490"/>
      <c r="M13" s="2485"/>
      <c r="N13" s="2485"/>
      <c r="O13" s="2540"/>
      <c r="P13" s="3452"/>
      <c r="Q13" s="529">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85.5">
      <c r="A14" s="378" t="s">
        <v>1682</v>
      </c>
      <c r="B14" s="58" t="s">
        <v>1825</v>
      </c>
      <c r="C14" s="1817"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453" t="s">
        <v>1683</v>
      </c>
      <c r="Q14" s="1261" t="str">
        <f t="shared" si="6"/>
        <v>交通便捷度</v>
      </c>
      <c r="R14" s="666" t="s">
        <v>14</v>
      </c>
      <c r="S14" s="667">
        <f t="shared" si="0"/>
        <v>100</v>
      </c>
      <c r="T14" s="666" t="s">
        <v>14</v>
      </c>
      <c r="U14" s="667">
        <f t="shared" si="1"/>
        <v>100</v>
      </c>
      <c r="V14" s="666" t="s">
        <v>14</v>
      </c>
      <c r="W14" s="667">
        <f t="shared" si="2"/>
        <v>100</v>
      </c>
      <c r="X14" s="1263"/>
      <c r="Y14" s="3453" t="s">
        <v>1683</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90"/>
      <c r="M15" s="2485"/>
      <c r="N15" s="2485"/>
      <c r="O15" s="2540"/>
      <c r="P15" s="3454"/>
      <c r="Q15" s="1261"/>
      <c r="R15" s="666"/>
      <c r="S15" s="667"/>
      <c r="T15" s="666"/>
      <c r="U15" s="667"/>
      <c r="V15" s="666"/>
      <c r="W15" s="667"/>
      <c r="X15" s="1263"/>
      <c r="Y15" s="3454"/>
      <c r="Z15" s="1262"/>
      <c r="AA15" s="1262">
        <v>1</v>
      </c>
      <c r="AB15" s="1262">
        <v>1</v>
      </c>
      <c r="AC15" s="1262">
        <v>1</v>
      </c>
    </row>
    <row r="16" spans="1:29" ht="42.75">
      <c r="A16" s="366"/>
      <c r="B16" s="389" t="s">
        <v>1804</v>
      </c>
      <c r="C16" s="1752"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454"/>
      <c r="Q16" s="1261" t="str">
        <f>B16</f>
        <v>公共配套设施</v>
      </c>
      <c r="R16" s="666" t="s">
        <v>14</v>
      </c>
      <c r="S16" s="667">
        <f>F16</f>
        <v>100</v>
      </c>
      <c r="T16" s="666" t="s">
        <v>14</v>
      </c>
      <c r="U16" s="667">
        <f>H16</f>
        <v>100</v>
      </c>
      <c r="V16" s="666" t="s">
        <v>14</v>
      </c>
      <c r="W16" s="667">
        <f>J16</f>
        <v>100</v>
      </c>
      <c r="X16" s="1263"/>
      <c r="Y16" s="3454"/>
      <c r="Z16" s="1262" t="str">
        <f>Q16</f>
        <v>公共配套设施</v>
      </c>
      <c r="AA16" s="1262">
        <f t="shared" si="3"/>
        <v>1</v>
      </c>
      <c r="AB16" s="1262">
        <f t="shared" si="4"/>
        <v>1</v>
      </c>
      <c r="AC16" s="1262">
        <f t="shared" si="5"/>
        <v>1</v>
      </c>
    </row>
    <row r="17" spans="1:29" ht="15">
      <c r="A17" s="366"/>
      <c r="B17" s="394"/>
      <c r="C17" s="1753"/>
      <c r="D17" s="386"/>
      <c r="E17" s="385"/>
      <c r="F17" s="387"/>
      <c r="G17" s="385"/>
      <c r="H17" s="386"/>
      <c r="I17" s="385"/>
      <c r="J17" s="386"/>
      <c r="K17" s="540"/>
      <c r="L17" s="2490"/>
      <c r="M17" s="2485"/>
      <c r="N17" s="2485"/>
      <c r="O17" s="2540"/>
      <c r="P17" s="3454"/>
      <c r="Q17" s="1261"/>
      <c r="R17" s="666"/>
      <c r="S17" s="667"/>
      <c r="T17" s="666"/>
      <c r="U17" s="667"/>
      <c r="V17" s="666"/>
      <c r="W17" s="667"/>
      <c r="X17" s="1263"/>
      <c r="Y17" s="3454"/>
      <c r="Z17" s="1262"/>
      <c r="AA17" s="1262">
        <v>1</v>
      </c>
      <c r="AB17" s="1262">
        <v>1</v>
      </c>
      <c r="AC17" s="1262">
        <v>1</v>
      </c>
    </row>
    <row r="18" spans="1:29" ht="28.5">
      <c r="A18" s="366"/>
      <c r="B18" s="585" t="s">
        <v>1805</v>
      </c>
      <c r="C18" s="1752"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454"/>
      <c r="Q18" s="1261" t="str">
        <f>B18</f>
        <v>基础设施水平</v>
      </c>
      <c r="R18" s="666" t="s">
        <v>14</v>
      </c>
      <c r="S18" s="667">
        <f>F18</f>
        <v>100</v>
      </c>
      <c r="T18" s="666" t="s">
        <v>14</v>
      </c>
      <c r="U18" s="667">
        <f>H18</f>
        <v>100</v>
      </c>
      <c r="V18" s="666" t="s">
        <v>14</v>
      </c>
      <c r="W18" s="667">
        <f>J18</f>
        <v>100</v>
      </c>
      <c r="X18" s="1263"/>
      <c r="Y18" s="3454"/>
      <c r="Z18" s="1262" t="str">
        <f>Q18</f>
        <v>基础设施水平</v>
      </c>
      <c r="AA18" s="1262">
        <f t="shared" ref="AA18" si="8">D18/F18</f>
        <v>1</v>
      </c>
      <c r="AB18" s="1262">
        <f t="shared" ref="AB18" si="9">D18/H18</f>
        <v>1</v>
      </c>
      <c r="AC18" s="1262">
        <f t="shared" ref="AC18" si="10">D18/J18</f>
        <v>1</v>
      </c>
    </row>
    <row r="19" spans="1:29" ht="15">
      <c r="A19" s="366"/>
      <c r="B19" s="585"/>
      <c r="C19" s="1753"/>
      <c r="D19" s="388"/>
      <c r="E19" s="1753"/>
      <c r="F19" s="391"/>
      <c r="G19" s="1753"/>
      <c r="H19" s="386"/>
      <c r="I19" s="385"/>
      <c r="J19" s="386"/>
      <c r="K19" s="1062"/>
      <c r="L19" s="2490"/>
      <c r="M19" s="2485"/>
      <c r="N19" s="2485"/>
      <c r="O19" s="2540"/>
      <c r="P19" s="3454"/>
      <c r="Q19" s="1261"/>
      <c r="R19" s="666"/>
      <c r="S19" s="667"/>
      <c r="T19" s="666"/>
      <c r="U19" s="667"/>
      <c r="V19" s="666"/>
      <c r="W19" s="667"/>
      <c r="X19" s="1263"/>
      <c r="Y19" s="3454"/>
      <c r="Z19" s="1262"/>
      <c r="AA19" s="1262">
        <v>1</v>
      </c>
      <c r="AB19" s="1262">
        <v>1</v>
      </c>
      <c r="AC19" s="1262">
        <v>1</v>
      </c>
    </row>
    <row r="20" spans="1:29" ht="57">
      <c r="A20" s="366"/>
      <c r="B20" s="389" t="s">
        <v>1826</v>
      </c>
      <c r="C20" s="1752"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454"/>
      <c r="Q20" s="1261" t="str">
        <f>B20</f>
        <v>自然及人文环境</v>
      </c>
      <c r="R20" s="666" t="s">
        <v>14</v>
      </c>
      <c r="S20" s="667">
        <f>F20</f>
        <v>100</v>
      </c>
      <c r="T20" s="666" t="s">
        <v>14</v>
      </c>
      <c r="U20" s="667">
        <f>H20</f>
        <v>100</v>
      </c>
      <c r="V20" s="666" t="s">
        <v>14</v>
      </c>
      <c r="W20" s="667">
        <f>J20</f>
        <v>100</v>
      </c>
      <c r="X20" s="1263"/>
      <c r="Y20" s="3454"/>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90"/>
      <c r="M21" s="2485"/>
      <c r="N21" s="2485"/>
      <c r="O21" s="2540"/>
      <c r="P21" s="3454"/>
      <c r="Q21" s="1261"/>
      <c r="R21" s="666"/>
      <c r="S21" s="667"/>
      <c r="T21" s="666"/>
      <c r="U21" s="667"/>
      <c r="V21" s="666"/>
      <c r="W21" s="667"/>
      <c r="X21" s="1263"/>
      <c r="Y21" s="3454"/>
      <c r="Z21" s="1262"/>
      <c r="AA21" s="1262">
        <v>1</v>
      </c>
      <c r="AB21" s="1262">
        <v>1</v>
      </c>
      <c r="AC21" s="1262">
        <v>1</v>
      </c>
    </row>
    <row r="22" spans="1:29" ht="15">
      <c r="A22" s="366"/>
      <c r="B22" s="389" t="s">
        <v>1827</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454"/>
      <c r="Q22" s="1261" t="str">
        <f>B22</f>
        <v>楼层</v>
      </c>
      <c r="R22" s="666" t="s">
        <v>14</v>
      </c>
      <c r="S22" s="667">
        <f>F22</f>
        <v>100</v>
      </c>
      <c r="T22" s="666" t="s">
        <v>14</v>
      </c>
      <c r="U22" s="667">
        <f>H22</f>
        <v>100</v>
      </c>
      <c r="V22" s="666" t="s">
        <v>14</v>
      </c>
      <c r="W22" s="667">
        <f>J22</f>
        <v>100</v>
      </c>
      <c r="X22" s="1263"/>
      <c r="Y22" s="3454"/>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454"/>
      <c r="Q23" s="1261">
        <f>B23</f>
        <v>111</v>
      </c>
      <c r="R23" s="666" t="s">
        <v>14</v>
      </c>
      <c r="S23" s="667">
        <f>F23</f>
        <v>100</v>
      </c>
      <c r="T23" s="666" t="s">
        <v>14</v>
      </c>
      <c r="U23" s="667">
        <f>H23</f>
        <v>100</v>
      </c>
      <c r="V23" s="666" t="s">
        <v>14</v>
      </c>
      <c r="W23" s="667">
        <f>J23</f>
        <v>100</v>
      </c>
      <c r="X23" s="1263"/>
      <c r="Y23" s="3454"/>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454"/>
      <c r="Q24" s="1261">
        <f t="shared" ref="Q24:Q34" si="11">B24</f>
        <v>111</v>
      </c>
      <c r="R24" s="666" t="s">
        <v>14</v>
      </c>
      <c r="S24" s="667">
        <f>F24</f>
        <v>100</v>
      </c>
      <c r="T24" s="666" t="s">
        <v>14</v>
      </c>
      <c r="U24" s="667">
        <f>H24</f>
        <v>100</v>
      </c>
      <c r="V24" s="666" t="s">
        <v>14</v>
      </c>
      <c r="W24" s="667">
        <f>J24</f>
        <v>100</v>
      </c>
      <c r="X24" s="1263"/>
      <c r="Y24" s="3454"/>
      <c r="Z24" s="1262">
        <f>Q24</f>
        <v>111</v>
      </c>
      <c r="AA24" s="1262">
        <f t="shared" si="3"/>
        <v>1</v>
      </c>
      <c r="AB24" s="1262">
        <f t="shared" si="4"/>
        <v>1</v>
      </c>
      <c r="AC24" s="1262">
        <f t="shared" si="5"/>
        <v>1</v>
      </c>
    </row>
    <row r="25" spans="1:29" s="101" customFormat="1" ht="15.75" thickBot="1">
      <c r="A25" s="369"/>
      <c r="B25" s="446">
        <v>111</v>
      </c>
      <c r="C25" s="1822"/>
      <c r="D25" s="556">
        <v>100</v>
      </c>
      <c r="E25" s="1822"/>
      <c r="F25" s="585">
        <f>SUMIF(75:75,E25,76:76)-SUMIF(75:75,C25,76:76)+100</f>
        <v>100</v>
      </c>
      <c r="G25" s="1822"/>
      <c r="H25" s="556">
        <f>SUMIF(75:75,G25,76:76)-SUMIF(75:75,C25,76:76)+100</f>
        <v>100</v>
      </c>
      <c r="I25" s="1822"/>
      <c r="J25" s="556">
        <f>SUMIF(75:75,I25,76:76)-SUMIF(75:75,C25,76:76)+100</f>
        <v>100</v>
      </c>
      <c r="K25" s="538"/>
      <c r="L25" s="2486"/>
      <c r="M25" s="2437"/>
      <c r="N25" s="2437"/>
      <c r="O25" s="2538"/>
      <c r="P25" s="3454"/>
      <c r="Q25" s="529">
        <f t="shared" si="11"/>
        <v>111</v>
      </c>
      <c r="R25" s="663" t="s">
        <v>14</v>
      </c>
      <c r="S25" s="664">
        <f>F25</f>
        <v>100</v>
      </c>
      <c r="T25" s="663" t="s">
        <v>14</v>
      </c>
      <c r="U25" s="664">
        <f>H25</f>
        <v>100</v>
      </c>
      <c r="V25" s="663" t="s">
        <v>14</v>
      </c>
      <c r="W25" s="664">
        <f>J25</f>
        <v>100</v>
      </c>
      <c r="X25" s="665"/>
      <c r="Y25" s="3454"/>
      <c r="Z25" s="50">
        <f>Q25</f>
        <v>111</v>
      </c>
      <c r="AA25" s="1262">
        <f>D25/F25</f>
        <v>1</v>
      </c>
      <c r="AB25" s="1262">
        <f>D25/H25</f>
        <v>1</v>
      </c>
      <c r="AC25" s="1262">
        <f>D25/J25</f>
        <v>1</v>
      </c>
    </row>
    <row r="26" spans="1:29" ht="28.5">
      <c r="A26" s="403" t="s">
        <v>1686</v>
      </c>
      <c r="B26" s="60" t="s">
        <v>1830</v>
      </c>
      <c r="C26" s="1762"/>
      <c r="D26" s="404">
        <v>100</v>
      </c>
      <c r="E26" s="1762"/>
      <c r="F26" s="586">
        <f>SUMIF(77:77,E26,78:78)-SUMIF(77:77,C26,78:78)+100</f>
        <v>100</v>
      </c>
      <c r="G26" s="1762"/>
      <c r="H26" s="404">
        <f>SUMIF(77:77,G26,78:78)-SUMIF(77:77,C26,78:78)+100</f>
        <v>100</v>
      </c>
      <c r="I26" s="1762"/>
      <c r="J26" s="404">
        <f>SUMIF(77:77,I26,78:78)-SUMIF(77:77,C26,78:78)+100</f>
        <v>100</v>
      </c>
      <c r="K26" s="537"/>
      <c r="L26" s="2490"/>
      <c r="M26" s="2485"/>
      <c r="N26" s="2485"/>
      <c r="O26" s="2540"/>
      <c r="P26" s="3455" t="s">
        <v>1688</v>
      </c>
      <c r="Q26" s="1261" t="str">
        <f t="shared" si="11"/>
        <v>公共部分装修</v>
      </c>
      <c r="R26" s="666" t="s">
        <v>14</v>
      </c>
      <c r="S26" s="667">
        <f t="shared" ref="S26:S34" si="12">F26</f>
        <v>100</v>
      </c>
      <c r="T26" s="666" t="s">
        <v>14</v>
      </c>
      <c r="U26" s="667">
        <f t="shared" ref="U26:U34" si="13">H26</f>
        <v>100</v>
      </c>
      <c r="V26" s="666" t="s">
        <v>14</v>
      </c>
      <c r="W26" s="667">
        <f t="shared" ref="W26:W34" si="14">J26</f>
        <v>100</v>
      </c>
      <c r="X26" s="1263"/>
      <c r="Y26" s="3456" t="s">
        <v>1688</v>
      </c>
      <c r="Z26" s="1262" t="str">
        <f t="shared" ref="Z26:Z34" si="15">Q26</f>
        <v>公共部分装修</v>
      </c>
      <c r="AA26" s="1262">
        <f t="shared" si="3"/>
        <v>1</v>
      </c>
      <c r="AB26" s="1262">
        <f t="shared" si="4"/>
        <v>1</v>
      </c>
      <c r="AC26" s="1262">
        <f t="shared" si="5"/>
        <v>1</v>
      </c>
    </row>
    <row r="27" spans="1:29" s="407" customFormat="1" ht="15">
      <c r="A27" s="405"/>
      <c r="B27" s="363" t="s">
        <v>1831</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456"/>
      <c r="Q27" s="530" t="str">
        <f t="shared" si="11"/>
        <v>成新率</v>
      </c>
      <c r="R27" s="668" t="s">
        <v>14</v>
      </c>
      <c r="S27" s="669" t="e">
        <f t="shared" si="12"/>
        <v>#N/A</v>
      </c>
      <c r="T27" s="668" t="s">
        <v>14</v>
      </c>
      <c r="U27" s="669" t="e">
        <f t="shared" si="13"/>
        <v>#N/A</v>
      </c>
      <c r="V27" s="668" t="s">
        <v>14</v>
      </c>
      <c r="W27" s="669" t="e">
        <f t="shared" si="14"/>
        <v>#N/A</v>
      </c>
      <c r="X27" s="670"/>
      <c r="Y27" s="3456"/>
      <c r="Z27" s="671" t="str">
        <f t="shared" si="15"/>
        <v>成新率</v>
      </c>
      <c r="AA27" s="1262" t="e">
        <f t="shared" si="3"/>
        <v>#N/A</v>
      </c>
      <c r="AB27" s="1262" t="e">
        <f t="shared" si="4"/>
        <v>#N/A</v>
      </c>
      <c r="AC27" s="1262" t="e">
        <f t="shared" si="5"/>
        <v>#N/A</v>
      </c>
    </row>
    <row r="28" spans="1:29" ht="15">
      <c r="A28" s="408"/>
      <c r="B28" s="363" t="s">
        <v>1832</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456"/>
      <c r="Q28" s="1261" t="str">
        <f t="shared" si="11"/>
        <v>物业等级</v>
      </c>
      <c r="R28" s="666" t="s">
        <v>14</v>
      </c>
      <c r="S28" s="667">
        <f t="shared" si="12"/>
        <v>100</v>
      </c>
      <c r="T28" s="666" t="s">
        <v>14</v>
      </c>
      <c r="U28" s="667">
        <f t="shared" si="13"/>
        <v>100</v>
      </c>
      <c r="V28" s="666" t="s">
        <v>14</v>
      </c>
      <c r="W28" s="667">
        <f t="shared" si="14"/>
        <v>100</v>
      </c>
      <c r="X28" s="1263"/>
      <c r="Y28" s="3456"/>
      <c r="Z28" s="1262" t="str">
        <f t="shared" si="15"/>
        <v>物业等级</v>
      </c>
      <c r="AA28" s="1262">
        <f t="shared" si="3"/>
        <v>1</v>
      </c>
      <c r="AB28" s="1262">
        <f t="shared" si="4"/>
        <v>1</v>
      </c>
      <c r="AC28" s="1262">
        <f t="shared" si="5"/>
        <v>1</v>
      </c>
    </row>
    <row r="29" spans="1:29" ht="15">
      <c r="A29" s="408"/>
      <c r="B29" s="363" t="s">
        <v>1852</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456"/>
      <c r="Q29" s="1261" t="str">
        <f t="shared" si="11"/>
        <v>有无电梯</v>
      </c>
      <c r="R29" s="666" t="s">
        <v>14</v>
      </c>
      <c r="S29" s="667">
        <f t="shared" si="12"/>
        <v>100</v>
      </c>
      <c r="T29" s="666" t="s">
        <v>14</v>
      </c>
      <c r="U29" s="667">
        <f t="shared" si="13"/>
        <v>100</v>
      </c>
      <c r="V29" s="666" t="s">
        <v>14</v>
      </c>
      <c r="W29" s="667">
        <f t="shared" si="14"/>
        <v>100</v>
      </c>
      <c r="X29" s="1263"/>
      <c r="Y29" s="3456"/>
      <c r="Z29" s="1262" t="str">
        <f t="shared" si="15"/>
        <v>有无电梯</v>
      </c>
      <c r="AA29" s="1262">
        <f t="shared" si="3"/>
        <v>1</v>
      </c>
      <c r="AB29" s="1262">
        <f t="shared" si="4"/>
        <v>1</v>
      </c>
      <c r="AC29" s="1262">
        <f t="shared" si="5"/>
        <v>1</v>
      </c>
    </row>
    <row r="30" spans="1:29" ht="15">
      <c r="A30" s="408"/>
      <c r="B30" s="363" t="s">
        <v>1853</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456"/>
      <c r="Q30" s="1261" t="str">
        <f t="shared" si="11"/>
        <v>建筑面积</v>
      </c>
      <c r="R30" s="666" t="s">
        <v>14</v>
      </c>
      <c r="S30" s="667" t="e">
        <f t="shared" si="12"/>
        <v>#N/A</v>
      </c>
      <c r="T30" s="666" t="s">
        <v>14</v>
      </c>
      <c r="U30" s="667" t="e">
        <f t="shared" si="13"/>
        <v>#N/A</v>
      </c>
      <c r="V30" s="666" t="s">
        <v>14</v>
      </c>
      <c r="W30" s="667" t="e">
        <f t="shared" si="14"/>
        <v>#N/A</v>
      </c>
      <c r="X30" s="1263"/>
      <c r="Y30" s="3456"/>
      <c r="Z30" s="1262" t="str">
        <f t="shared" si="15"/>
        <v>建筑面积</v>
      </c>
      <c r="AA30" s="1262" t="e">
        <f t="shared" si="3"/>
        <v>#N/A</v>
      </c>
      <c r="AB30" s="1262" t="e">
        <f t="shared" si="4"/>
        <v>#N/A</v>
      </c>
      <c r="AC30" s="1262" t="e">
        <f t="shared" si="5"/>
        <v>#N/A</v>
      </c>
    </row>
    <row r="31" spans="1:29" s="101" customFormat="1" ht="15">
      <c r="A31" s="409"/>
      <c r="B31" s="363" t="s">
        <v>1854</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7"/>
      <c r="N31" s="2437"/>
      <c r="O31" s="2538"/>
      <c r="P31" s="3456"/>
      <c r="Q31" s="529" t="str">
        <f t="shared" si="11"/>
        <v>是否封闭</v>
      </c>
      <c r="R31" s="663" t="s">
        <v>14</v>
      </c>
      <c r="S31" s="664">
        <f t="shared" si="12"/>
        <v>100</v>
      </c>
      <c r="T31" s="663" t="s">
        <v>14</v>
      </c>
      <c r="U31" s="664">
        <f t="shared" si="13"/>
        <v>100</v>
      </c>
      <c r="V31" s="663" t="s">
        <v>14</v>
      </c>
      <c r="W31" s="664">
        <f t="shared" si="14"/>
        <v>100</v>
      </c>
      <c r="X31" s="665"/>
      <c r="Y31" s="3456"/>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456" t="s">
        <v>1688</v>
      </c>
      <c r="Q32" s="1261">
        <f t="shared" si="11"/>
        <v>111</v>
      </c>
      <c r="R32" s="666" t="s">
        <v>14</v>
      </c>
      <c r="S32" s="667">
        <f t="shared" si="12"/>
        <v>100</v>
      </c>
      <c r="T32" s="666" t="s">
        <v>14</v>
      </c>
      <c r="U32" s="667">
        <f t="shared" si="13"/>
        <v>100</v>
      </c>
      <c r="V32" s="666" t="s">
        <v>14</v>
      </c>
      <c r="W32" s="667">
        <f t="shared" si="14"/>
        <v>100</v>
      </c>
      <c r="X32" s="1263"/>
      <c r="Y32" s="3456" t="s">
        <v>1688</v>
      </c>
      <c r="Z32" s="1262">
        <f t="shared" si="15"/>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456"/>
      <c r="Q33" s="1261">
        <f t="shared" si="11"/>
        <v>111</v>
      </c>
      <c r="R33" s="666" t="s">
        <v>14</v>
      </c>
      <c r="S33" s="667">
        <f t="shared" si="12"/>
        <v>100</v>
      </c>
      <c r="T33" s="666" t="s">
        <v>14</v>
      </c>
      <c r="U33" s="667">
        <f t="shared" si="13"/>
        <v>100</v>
      </c>
      <c r="V33" s="666" t="s">
        <v>14</v>
      </c>
      <c r="W33" s="667">
        <f t="shared" si="14"/>
        <v>100</v>
      </c>
      <c r="X33" s="1263"/>
      <c r="Y33" s="3456"/>
      <c r="Z33" s="1262">
        <f t="shared" si="15"/>
        <v>111</v>
      </c>
      <c r="AA33" s="1262">
        <f t="shared" si="3"/>
        <v>1</v>
      </c>
      <c r="AB33" s="1262">
        <f t="shared" si="4"/>
        <v>1</v>
      </c>
      <c r="AC33" s="1262">
        <f t="shared" si="5"/>
        <v>1</v>
      </c>
    </row>
    <row r="34" spans="1:30" ht="15.75" thickBot="1">
      <c r="A34" s="414"/>
      <c r="B34" s="1747">
        <v>111</v>
      </c>
      <c r="C34" s="375"/>
      <c r="D34" s="376">
        <v>100</v>
      </c>
      <c r="E34" s="1821"/>
      <c r="F34" s="377">
        <f>SUMIF(95:95,E34,96:96)-SUMIF(95:95,C34,96:96)+100</f>
        <v>100</v>
      </c>
      <c r="G34" s="1821"/>
      <c r="H34" s="376">
        <f>SUMIF(95:95,G34,96:96)-SUMIF(95:95,C34,96:96)+100</f>
        <v>100</v>
      </c>
      <c r="I34" s="1821"/>
      <c r="J34" s="376">
        <f>SUMIF(95:95,I34,96:96)-SUMIF(95:95,C34,96:96)+100</f>
        <v>100</v>
      </c>
      <c r="K34" s="538"/>
      <c r="L34" s="2490"/>
      <c r="M34" s="2485"/>
      <c r="N34" s="2485"/>
      <c r="O34" s="2540"/>
      <c r="P34" s="3456"/>
      <c r="Q34" s="1261">
        <f t="shared" si="11"/>
        <v>111</v>
      </c>
      <c r="R34" s="666" t="s">
        <v>14</v>
      </c>
      <c r="S34" s="667">
        <f t="shared" si="12"/>
        <v>100</v>
      </c>
      <c r="T34" s="666" t="s">
        <v>14</v>
      </c>
      <c r="U34" s="667">
        <f t="shared" si="13"/>
        <v>100</v>
      </c>
      <c r="V34" s="666" t="s">
        <v>14</v>
      </c>
      <c r="W34" s="667">
        <f t="shared" si="14"/>
        <v>100</v>
      </c>
      <c r="X34" s="1263"/>
      <c r="Y34" s="3456"/>
      <c r="Z34" s="1262">
        <f t="shared" si="15"/>
        <v>111</v>
      </c>
      <c r="AA34" s="1262">
        <f t="shared" si="3"/>
        <v>1</v>
      </c>
      <c r="AB34" s="1262">
        <f t="shared" si="4"/>
        <v>1</v>
      </c>
      <c r="AC34" s="1262">
        <f t="shared" si="5"/>
        <v>1</v>
      </c>
    </row>
    <row r="35" spans="1:30" ht="15">
      <c r="A35" s="415" t="s">
        <v>1700</v>
      </c>
      <c r="B35" s="416"/>
      <c r="C35" s="1079" t="s">
        <v>0</v>
      </c>
      <c r="D35" s="417"/>
      <c r="E35" s="418"/>
      <c r="F35" s="419"/>
      <c r="G35" s="420"/>
      <c r="H35" s="421"/>
      <c r="I35" s="418"/>
      <c r="J35" s="421"/>
      <c r="K35" s="673"/>
      <c r="L35" s="2492"/>
      <c r="M35" s="2485"/>
      <c r="N35" s="2485"/>
      <c r="O35" s="2485"/>
      <c r="P35" s="3452" t="str">
        <f>A35</f>
        <v>成交单价（元/平方米）</v>
      </c>
      <c r="Q35" s="3452"/>
      <c r="R35" s="3457">
        <f>E35</f>
        <v>0</v>
      </c>
      <c r="S35" s="3457"/>
      <c r="T35" s="3457">
        <f>G35</f>
        <v>0</v>
      </c>
      <c r="U35" s="3457"/>
      <c r="V35" s="3457">
        <f>I35</f>
        <v>0</v>
      </c>
      <c r="W35" s="3457"/>
      <c r="X35" s="384"/>
      <c r="Y35" s="672"/>
      <c r="Z35" s="384"/>
      <c r="AA35" s="384"/>
      <c r="AB35" s="384"/>
      <c r="AC35" s="384"/>
    </row>
    <row r="36" spans="1:30" ht="15.75" thickBot="1">
      <c r="A36" s="422" t="s">
        <v>1785</v>
      </c>
      <c r="B36" s="423"/>
      <c r="C36" s="1080" t="e">
        <f>R37</f>
        <v>#DIV/0!</v>
      </c>
      <c r="D36" s="2139" t="s">
        <v>2128</v>
      </c>
      <c r="E36" s="1081" t="e">
        <f>R36</f>
        <v>#DIV/0!</v>
      </c>
      <c r="F36" s="2140"/>
      <c r="G36" s="1080" t="e">
        <f>T36</f>
        <v>#DIV/0!</v>
      </c>
      <c r="H36" s="2140"/>
      <c r="I36" s="1081" t="e">
        <f>V36</f>
        <v>#DIV/0!</v>
      </c>
      <c r="J36" s="2140"/>
      <c r="K36" s="2142">
        <f>F36+H36+J36</f>
        <v>0</v>
      </c>
      <c r="L36" s="2492"/>
      <c r="M36" s="2485"/>
      <c r="N36" s="2485"/>
      <c r="O36" s="2485"/>
      <c r="P36" s="3452" t="str">
        <f>A36</f>
        <v>比较价值（元/平方米）</v>
      </c>
      <c r="Q36" s="3452"/>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384"/>
      <c r="Y36" s="384"/>
      <c r="Z36" s="384"/>
      <c r="AA36" s="384"/>
      <c r="AB36" s="384"/>
      <c r="AC36" s="384"/>
    </row>
    <row r="37" spans="1:30" ht="15.75" thickBot="1">
      <c r="A37" s="426" t="s">
        <v>1786</v>
      </c>
      <c r="B37" s="427"/>
      <c r="C37" s="350" t="e">
        <f>R37</f>
        <v>#DIV/0!</v>
      </c>
      <c r="D37" s="350"/>
      <c r="E37" s="350"/>
      <c r="F37" s="350"/>
      <c r="G37" s="350"/>
      <c r="H37" s="350"/>
      <c r="I37" s="350"/>
      <c r="J37" s="350"/>
      <c r="K37" s="674"/>
      <c r="L37" s="2492"/>
      <c r="M37" s="2485"/>
      <c r="N37" s="2485"/>
      <c r="O37" s="2485"/>
      <c r="P37" s="3446" t="str">
        <f>A37</f>
        <v>估价对象XX用房的比较价值（楼面单价，元/平方米）</v>
      </c>
      <c r="Q37" s="3447"/>
      <c r="R37" s="3536" t="e">
        <f>IF(F1="售价",ROUND(IF(D36="简单平均",AVERAGE(R36:W36),R36*F36+T36*H36+V36*J36),0),ROUND(IF(D36="简单平均",AVERAGE(R36:V36),R36*F36+T36*H36+V36*J36),1))</f>
        <v>#DIV/0!</v>
      </c>
      <c r="S37" s="3536"/>
      <c r="T37" s="3536"/>
      <c r="U37" s="3536"/>
      <c r="V37" s="3536"/>
      <c r="W37" s="3536"/>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1787</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1788</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1789</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7" t="s">
        <v>1790</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5">
      <c r="A46" s="439" t="s">
        <v>1671</v>
      </c>
      <c r="B46" s="440"/>
      <c r="C46" s="1101" t="str">
        <f>YEAR(C7)&amp;"-"&amp;MONTH(C7)</f>
        <v>2025-2</v>
      </c>
      <c r="D46" s="1102">
        <f>EDATE(C46,-1)</f>
        <v>45658</v>
      </c>
      <c r="E46" s="1102">
        <f t="shared" ref="E46:O46" si="16">EDATE(D46,-1)</f>
        <v>45627</v>
      </c>
      <c r="F46" s="1102">
        <f t="shared" si="16"/>
        <v>45597</v>
      </c>
      <c r="G46" s="1102">
        <f t="shared" si="16"/>
        <v>45566</v>
      </c>
      <c r="H46" s="1102">
        <f t="shared" si="16"/>
        <v>45536</v>
      </c>
      <c r="I46" s="1102">
        <f t="shared" si="16"/>
        <v>45505</v>
      </c>
      <c r="J46" s="1102">
        <f t="shared" si="16"/>
        <v>45474</v>
      </c>
      <c r="K46" s="1102">
        <f t="shared" si="16"/>
        <v>45444</v>
      </c>
      <c r="L46" s="1102">
        <f t="shared" si="16"/>
        <v>45413</v>
      </c>
      <c r="M46" s="1102">
        <f t="shared" si="16"/>
        <v>45383</v>
      </c>
      <c r="N46" s="1102">
        <f t="shared" si="16"/>
        <v>45352</v>
      </c>
      <c r="O46" s="1102">
        <f t="shared" si="16"/>
        <v>45323</v>
      </c>
      <c r="P46" s="2508"/>
      <c r="Q46" s="2508"/>
      <c r="R46" s="2508"/>
      <c r="S46" s="2508"/>
      <c r="T46" s="2508"/>
      <c r="U46" s="2508"/>
      <c r="V46" s="2508"/>
      <c r="W46" s="2508"/>
      <c r="X46" s="2508"/>
      <c r="Y46" s="2508"/>
      <c r="Z46" s="2508"/>
      <c r="AA46" s="2508"/>
      <c r="AB46" s="2508"/>
      <c r="AC46" s="2508"/>
      <c r="AD46" s="2508"/>
    </row>
    <row r="47" spans="1:30" s="101" customFormat="1" ht="15">
      <c r="A47" s="442"/>
      <c r="B47" s="443"/>
      <c r="C47" s="1100">
        <v>100</v>
      </c>
      <c r="D47" s="445"/>
      <c r="E47" s="445"/>
      <c r="F47" s="445"/>
      <c r="G47" s="445"/>
      <c r="H47" s="445"/>
      <c r="I47" s="445"/>
      <c r="J47" s="445"/>
      <c r="K47" s="445"/>
      <c r="L47" s="445"/>
      <c r="M47" s="446"/>
      <c r="N47" s="445"/>
      <c r="O47" s="447"/>
      <c r="P47" s="2506"/>
      <c r="Q47" s="2437"/>
      <c r="R47" s="2437"/>
      <c r="S47" s="2437"/>
      <c r="T47" s="2437"/>
      <c r="U47" s="2437"/>
      <c r="V47" s="2437"/>
      <c r="W47" s="2437"/>
      <c r="X47" s="2437"/>
      <c r="Y47" s="2437"/>
      <c r="Z47" s="2437"/>
      <c r="AA47" s="2437"/>
      <c r="AB47" s="2437"/>
      <c r="AC47" s="2437"/>
      <c r="AD47" s="2437"/>
    </row>
    <row r="48" spans="1:30" s="101" customFormat="1" ht="15.75" thickBot="1">
      <c r="A48" s="448" t="s">
        <v>1708</v>
      </c>
      <c r="B48" s="449"/>
      <c r="C48" s="450"/>
      <c r="D48" s="451"/>
      <c r="E48" s="451"/>
      <c r="F48" s="451"/>
      <c r="G48" s="451"/>
      <c r="H48" s="451"/>
      <c r="I48" s="451"/>
      <c r="J48" s="451"/>
      <c r="K48" s="451"/>
      <c r="L48" s="451"/>
      <c r="M48" s="452"/>
      <c r="N48" s="451"/>
      <c r="O48" s="453"/>
      <c r="P48" s="2506"/>
      <c r="Q48" s="2506"/>
      <c r="R48" s="2437"/>
      <c r="S48" s="2437"/>
      <c r="T48" s="2437"/>
      <c r="U48" s="2437"/>
      <c r="V48" s="2437"/>
      <c r="W48" s="2437"/>
      <c r="X48" s="2437"/>
      <c r="Y48" s="2437"/>
      <c r="Z48" s="2437"/>
      <c r="AA48" s="2437"/>
      <c r="AB48" s="2437"/>
      <c r="AC48" s="2437"/>
      <c r="AD48" s="2437"/>
    </row>
    <row r="49" spans="1:30" s="101" customFormat="1" ht="15">
      <c r="A49" s="454" t="s">
        <v>1673</v>
      </c>
      <c r="B49" s="443"/>
      <c r="C49" s="455" t="s">
        <v>1768</v>
      </c>
      <c r="D49" s="31"/>
      <c r="E49" s="31"/>
      <c r="F49" s="31"/>
      <c r="G49" s="31"/>
      <c r="H49" s="31"/>
      <c r="I49" s="31"/>
      <c r="J49" s="31"/>
      <c r="K49" s="31"/>
      <c r="L49" s="456"/>
      <c r="M49" s="457"/>
      <c r="N49" s="2518"/>
      <c r="O49" s="2518"/>
      <c r="P49" s="2542"/>
      <c r="Q49" s="2506"/>
      <c r="R49" s="2437"/>
      <c r="S49" s="2437"/>
      <c r="T49" s="2437"/>
      <c r="U49" s="2437"/>
      <c r="V49" s="2437"/>
      <c r="W49" s="2437"/>
      <c r="X49" s="2437"/>
      <c r="Y49" s="2437"/>
      <c r="Z49" s="2437"/>
      <c r="AA49" s="2437"/>
      <c r="AB49" s="2437"/>
      <c r="AC49" s="2437"/>
      <c r="AD49" s="2437"/>
    </row>
    <row r="50" spans="1:30" s="101" customFormat="1" ht="15.75" thickBot="1">
      <c r="A50" s="454"/>
      <c r="B50" s="443"/>
      <c r="C50" s="562">
        <v>100</v>
      </c>
      <c r="D50" s="445"/>
      <c r="E50" s="445"/>
      <c r="F50" s="445"/>
      <c r="G50" s="445"/>
      <c r="H50" s="445"/>
      <c r="I50" s="445"/>
      <c r="J50" s="445"/>
      <c r="K50" s="445"/>
      <c r="L50" s="445"/>
      <c r="M50" s="447"/>
      <c r="N50" s="2518"/>
      <c r="O50" s="2518"/>
      <c r="P50" s="2506"/>
      <c r="Q50" s="2506"/>
      <c r="R50" s="2437"/>
      <c r="S50" s="2437"/>
      <c r="T50" s="2437"/>
      <c r="U50" s="2437"/>
      <c r="V50" s="2437"/>
      <c r="W50" s="2437"/>
      <c r="X50" s="2437"/>
      <c r="Y50" s="2437"/>
      <c r="Z50" s="2437"/>
      <c r="AA50" s="2437"/>
      <c r="AB50" s="2437"/>
      <c r="AC50" s="2437"/>
      <c r="AD50" s="2437"/>
    </row>
    <row r="51" spans="1:30">
      <c r="A51" s="378" t="s">
        <v>1711</v>
      </c>
      <c r="B51" s="459" t="s">
        <v>1677</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5.75"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7.75" thickTop="1">
      <c r="A53" s="366"/>
      <c r="B53" s="468" t="s">
        <v>1680</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5.75"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5.75"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5.75"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5.75"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5.75"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5.75"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5.75"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1682</v>
      </c>
      <c r="B61" s="459" t="s">
        <v>1718</v>
      </c>
      <c r="C61" s="503" t="s">
        <v>1713</v>
      </c>
      <c r="D61" s="503" t="s">
        <v>1714</v>
      </c>
      <c r="E61" s="503" t="s">
        <v>1715</v>
      </c>
      <c r="F61" s="503" t="s">
        <v>1716</v>
      </c>
      <c r="G61" s="503" t="s">
        <v>1717</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7.75" thickTop="1">
      <c r="A63" s="366"/>
      <c r="B63" s="468" t="s">
        <v>1855</v>
      </c>
      <c r="C63" s="508" t="s">
        <v>1713</v>
      </c>
      <c r="D63" s="508" t="s">
        <v>1714</v>
      </c>
      <c r="E63" s="508" t="s">
        <v>1715</v>
      </c>
      <c r="F63" s="508" t="s">
        <v>1716</v>
      </c>
      <c r="G63" s="508" t="s">
        <v>1717</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75" thickTop="1">
      <c r="A65" s="366"/>
      <c r="B65" s="476" t="s">
        <v>1805</v>
      </c>
      <c r="C65" s="580" t="s">
        <v>1791</v>
      </c>
      <c r="D65" s="580" t="s">
        <v>1792</v>
      </c>
      <c r="E65" s="580" t="s">
        <v>1793</v>
      </c>
      <c r="F65" s="580" t="s">
        <v>1794</v>
      </c>
      <c r="G65" s="580" t="s">
        <v>1795</v>
      </c>
      <c r="H65" s="469"/>
      <c r="I65" s="469"/>
      <c r="J65" s="469"/>
      <c r="K65" s="469"/>
      <c r="L65" s="469"/>
      <c r="M65" s="1061"/>
      <c r="N65" s="2520"/>
      <c r="O65" s="2520"/>
      <c r="P65" s="2518"/>
      <c r="Q65" s="2506"/>
      <c r="R65" s="2485"/>
      <c r="S65" s="2485"/>
      <c r="T65" s="2485"/>
      <c r="U65" s="2485"/>
      <c r="V65" s="2485"/>
      <c r="W65" s="2485"/>
      <c r="X65" s="2485"/>
      <c r="Y65" s="2485"/>
      <c r="Z65" s="2485"/>
      <c r="AA65" s="2485"/>
      <c r="AB65" s="2485"/>
      <c r="AC65" s="2485"/>
      <c r="AD65" s="2485"/>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75" thickTop="1">
      <c r="A67" s="366"/>
      <c r="B67" s="468" t="s">
        <v>1725</v>
      </c>
      <c r="C67" s="508" t="s">
        <v>1713</v>
      </c>
      <c r="D67" s="508" t="s">
        <v>1714</v>
      </c>
      <c r="E67" s="508" t="s">
        <v>1715</v>
      </c>
      <c r="F67" s="508" t="s">
        <v>1716</v>
      </c>
      <c r="G67" s="508" t="s">
        <v>1717</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75" thickTop="1">
      <c r="A69" s="366"/>
      <c r="B69" s="468" t="s">
        <v>1844</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5.75"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5.75" thickTop="1">
      <c r="A71" s="369"/>
      <c r="B71" s="468">
        <f>B23</f>
        <v>111</v>
      </c>
      <c r="C71" s="479"/>
      <c r="D71" s="479"/>
      <c r="E71" s="479"/>
      <c r="F71" s="479"/>
      <c r="G71" s="484"/>
      <c r="H71" s="484"/>
      <c r="I71" s="484"/>
      <c r="J71" s="484"/>
      <c r="K71" s="484"/>
      <c r="L71" s="509"/>
      <c r="M71" s="510"/>
      <c r="N71" s="2518"/>
      <c r="O71" s="2518"/>
      <c r="P71" s="2518"/>
      <c r="Q71" s="2506"/>
      <c r="R71" s="2437"/>
      <c r="S71" s="2437"/>
      <c r="T71" s="2437"/>
      <c r="U71" s="2437"/>
      <c r="V71" s="2437"/>
      <c r="W71" s="2437"/>
      <c r="X71" s="2437"/>
      <c r="Y71" s="2437"/>
      <c r="Z71" s="2437"/>
      <c r="AA71" s="2437"/>
      <c r="AB71" s="2437"/>
      <c r="AC71" s="2437"/>
      <c r="AD71" s="2437"/>
    </row>
    <row r="72" spans="1:30" s="101" customFormat="1" ht="15.75" thickBot="1">
      <c r="A72" s="369"/>
      <c r="B72" s="473"/>
      <c r="C72" s="490"/>
      <c r="D72" s="466"/>
      <c r="E72" s="466"/>
      <c r="F72" s="466"/>
      <c r="G72" s="466"/>
      <c r="H72" s="466"/>
      <c r="I72" s="466"/>
      <c r="J72" s="466"/>
      <c r="K72" s="466"/>
      <c r="L72" s="466"/>
      <c r="M72" s="467"/>
      <c r="N72" s="2520"/>
      <c r="O72" s="2520"/>
      <c r="P72" s="2518"/>
      <c r="Q72" s="2506"/>
      <c r="R72" s="2437"/>
      <c r="S72" s="2437"/>
      <c r="T72" s="2437"/>
      <c r="U72" s="2437"/>
      <c r="V72" s="2437"/>
      <c r="W72" s="2437"/>
      <c r="X72" s="2437"/>
      <c r="Y72" s="2437"/>
      <c r="Z72" s="2437"/>
      <c r="AA72" s="2437"/>
      <c r="AB72" s="2437"/>
      <c r="AC72" s="2437"/>
      <c r="AD72" s="2437"/>
    </row>
    <row r="73" spans="1:30" s="101" customFormat="1" ht="15.75" thickTop="1">
      <c r="A73" s="369"/>
      <c r="B73" s="468">
        <f>B24</f>
        <v>111</v>
      </c>
      <c r="C73" s="479"/>
      <c r="D73" s="479"/>
      <c r="E73" s="479"/>
      <c r="F73" s="479"/>
      <c r="G73" s="484"/>
      <c r="H73" s="484"/>
      <c r="I73" s="484"/>
      <c r="J73" s="484"/>
      <c r="K73" s="484"/>
      <c r="L73" s="484"/>
      <c r="M73" s="510"/>
      <c r="N73" s="2518"/>
      <c r="O73" s="2518"/>
      <c r="P73" s="2518"/>
      <c r="Q73" s="2506"/>
      <c r="R73" s="2437"/>
      <c r="S73" s="2437"/>
      <c r="T73" s="2437"/>
      <c r="U73" s="2437"/>
      <c r="V73" s="2437"/>
      <c r="W73" s="2437"/>
      <c r="X73" s="2437"/>
      <c r="Y73" s="2437"/>
      <c r="Z73" s="2437"/>
      <c r="AA73" s="2437"/>
      <c r="AB73" s="2437"/>
      <c r="AC73" s="2437"/>
      <c r="AD73" s="2437"/>
    </row>
    <row r="74" spans="1:30" s="101" customFormat="1" ht="15.75" thickBot="1">
      <c r="A74" s="369"/>
      <c r="B74" s="473"/>
      <c r="C74" s="490"/>
      <c r="D74" s="466"/>
      <c r="E74" s="466"/>
      <c r="F74" s="466"/>
      <c r="G74" s="466"/>
      <c r="H74" s="466"/>
      <c r="I74" s="466"/>
      <c r="J74" s="466"/>
      <c r="K74" s="466"/>
      <c r="L74" s="466"/>
      <c r="M74" s="467"/>
      <c r="N74" s="2520"/>
      <c r="O74" s="2520"/>
      <c r="P74" s="2518"/>
      <c r="Q74" s="2506"/>
      <c r="R74" s="2437"/>
      <c r="S74" s="2437"/>
      <c r="T74" s="2437"/>
      <c r="U74" s="2437"/>
      <c r="V74" s="2437"/>
      <c r="W74" s="2437"/>
      <c r="X74" s="2437"/>
      <c r="Y74" s="2437"/>
      <c r="Z74" s="2437"/>
      <c r="AA74" s="2437"/>
      <c r="AB74" s="2437"/>
      <c r="AC74" s="2437"/>
      <c r="AD74" s="2437"/>
    </row>
    <row r="75" spans="1:30" s="407" customFormat="1" ht="15.75"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5.75"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1686</v>
      </c>
      <c r="B77" s="459" t="s">
        <v>1732</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6"/>
      <c r="B79" s="468" t="s">
        <v>1847</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ht="15">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1848</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1856</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1857</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5.75"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1858</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5.75"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5"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5.75"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5"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5.75"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5"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5.75"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0"/>
      <c r="B98" s="880"/>
      <c r="C98" s="880"/>
      <c r="D98" s="880"/>
      <c r="E98" s="880"/>
      <c r="F98" s="880"/>
      <c r="G98" s="880"/>
      <c r="H98" s="880"/>
      <c r="I98" s="880"/>
      <c r="J98" s="880"/>
      <c r="K98" s="881"/>
      <c r="L98" s="882"/>
      <c r="M98" s="880"/>
      <c r="N98" s="2485"/>
      <c r="O98" s="2485"/>
      <c r="P98" s="2485"/>
      <c r="Q98" s="2485"/>
      <c r="R98" s="2485"/>
      <c r="S98" s="2485"/>
      <c r="T98" s="2485"/>
      <c r="U98" s="2485"/>
      <c r="V98" s="2485"/>
      <c r="W98" s="2485"/>
      <c r="X98" s="2485"/>
      <c r="Y98" s="2485"/>
      <c r="Z98" s="2485"/>
      <c r="AA98" s="2485"/>
      <c r="AB98" s="2485"/>
      <c r="AC98" s="2485"/>
      <c r="AD98" s="2485"/>
    </row>
    <row r="99" spans="1:30">
      <c r="A99" s="880"/>
      <c r="B99" s="880"/>
      <c r="C99" s="880"/>
      <c r="D99" s="880"/>
      <c r="E99" s="880"/>
      <c r="F99" s="880"/>
      <c r="G99" s="880"/>
      <c r="H99" s="880"/>
      <c r="I99" s="880"/>
      <c r="J99" s="880"/>
      <c r="K99" s="881"/>
      <c r="L99" s="882"/>
      <c r="M99" s="880"/>
      <c r="N99" s="2485"/>
      <c r="O99" s="2485"/>
      <c r="P99" s="2485"/>
      <c r="Q99" s="2485"/>
      <c r="R99" s="2485"/>
      <c r="S99" s="2485"/>
      <c r="T99" s="2485"/>
      <c r="U99" s="2485"/>
      <c r="V99" s="2485"/>
      <c r="W99" s="2485"/>
      <c r="X99" s="2485"/>
      <c r="Y99" s="2485"/>
      <c r="Z99" s="2485"/>
      <c r="AA99" s="2485"/>
      <c r="AB99" s="2485"/>
      <c r="AC99" s="2485"/>
      <c r="AD99" s="2485"/>
    </row>
    <row r="100" spans="1:30">
      <c r="A100" s="880"/>
      <c r="B100" s="880"/>
      <c r="C100" s="880"/>
      <c r="D100" s="880"/>
      <c r="E100" s="880"/>
      <c r="F100" s="880"/>
      <c r="G100" s="880"/>
      <c r="H100" s="880"/>
      <c r="I100" s="880"/>
      <c r="J100" s="880"/>
      <c r="K100" s="881"/>
      <c r="L100" s="882"/>
      <c r="M100" s="880"/>
      <c r="N100" s="2485"/>
      <c r="O100" s="2485"/>
      <c r="P100" s="2485"/>
      <c r="Q100" s="2485"/>
      <c r="R100" s="2485"/>
      <c r="S100" s="2485"/>
      <c r="T100" s="2485"/>
      <c r="U100" s="2485"/>
      <c r="V100" s="2485"/>
      <c r="W100" s="2485"/>
      <c r="X100" s="2485"/>
      <c r="Y100" s="2485"/>
      <c r="Z100" s="2485"/>
      <c r="AA100" s="2485"/>
      <c r="AB100" s="2485"/>
      <c r="AC100" s="2485"/>
      <c r="AD100" s="2485"/>
    </row>
    <row r="101" spans="1:30">
      <c r="A101" s="880"/>
      <c r="B101" s="880"/>
      <c r="C101" s="880"/>
      <c r="D101" s="880"/>
      <c r="E101" s="880"/>
      <c r="F101" s="880"/>
      <c r="G101" s="880"/>
      <c r="H101" s="880"/>
      <c r="I101" s="880"/>
      <c r="J101" s="880"/>
      <c r="K101" s="881"/>
      <c r="L101" s="882"/>
      <c r="M101" s="880"/>
      <c r="N101" s="2485"/>
      <c r="O101" s="2485"/>
      <c r="P101" s="2485"/>
      <c r="Q101" s="2485"/>
      <c r="R101" s="2485"/>
      <c r="S101" s="2485"/>
      <c r="T101" s="2485"/>
      <c r="U101" s="2485"/>
      <c r="V101" s="2485"/>
      <c r="W101" s="2485"/>
      <c r="X101" s="2485"/>
      <c r="Y101" s="2485"/>
      <c r="Z101" s="2485"/>
      <c r="AA101" s="2485"/>
      <c r="AB101" s="2485"/>
      <c r="AC101" s="2485"/>
      <c r="AD101" s="2485"/>
    </row>
    <row r="102" spans="1:30">
      <c r="A102" s="880"/>
      <c r="B102" s="880"/>
      <c r="C102" s="880"/>
      <c r="D102" s="880"/>
      <c r="E102" s="880"/>
      <c r="F102" s="880"/>
      <c r="G102" s="880"/>
      <c r="H102" s="880"/>
      <c r="I102" s="880"/>
      <c r="J102" s="880"/>
      <c r="K102" s="881"/>
      <c r="L102" s="882"/>
      <c r="M102" s="880"/>
      <c r="N102" s="2485"/>
      <c r="O102" s="2485"/>
      <c r="P102" s="2485"/>
      <c r="Q102" s="2485"/>
      <c r="R102" s="2485"/>
      <c r="S102" s="2485"/>
      <c r="T102" s="2485"/>
      <c r="U102" s="2485"/>
      <c r="V102" s="2485"/>
      <c r="W102" s="2485"/>
      <c r="X102" s="2485"/>
      <c r="Y102" s="2485"/>
      <c r="Z102" s="2485"/>
      <c r="AA102" s="2485"/>
      <c r="AB102" s="2485"/>
      <c r="AC102" s="2485"/>
      <c r="AD102" s="2485"/>
    </row>
    <row r="103" spans="1:30">
      <c r="A103" s="880"/>
      <c r="B103" s="880"/>
      <c r="C103" s="880"/>
      <c r="D103" s="880"/>
      <c r="E103" s="880"/>
      <c r="F103" s="880"/>
      <c r="G103" s="880"/>
      <c r="H103" s="880"/>
      <c r="I103" s="880"/>
      <c r="J103" s="880"/>
      <c r="K103" s="881"/>
      <c r="L103" s="882"/>
      <c r="M103" s="880"/>
      <c r="N103" s="880"/>
      <c r="O103" s="880"/>
      <c r="P103" s="2485"/>
      <c r="Q103" s="2485"/>
      <c r="R103" s="2485"/>
      <c r="S103" s="2485"/>
      <c r="T103" s="2485"/>
      <c r="U103" s="2485"/>
      <c r="V103" s="2485"/>
      <c r="W103" s="2485"/>
      <c r="X103" s="2485"/>
      <c r="Y103" s="2485"/>
      <c r="Z103" s="2485"/>
      <c r="AA103" s="2485"/>
      <c r="AB103" s="2485"/>
      <c r="AC103" s="2485"/>
      <c r="AD103" s="2485"/>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G11" sqref="G1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871</v>
      </c>
      <c r="B1" s="662"/>
      <c r="C1" s="1285" t="s">
        <v>3969</v>
      </c>
      <c r="D1" s="1269" t="s">
        <v>3458</v>
      </c>
      <c r="E1" s="1270" t="s">
        <v>672</v>
      </c>
      <c r="F1" s="997">
        <f ca="1">J53</f>
        <v>35.28</v>
      </c>
      <c r="G1" s="1284">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798</v>
      </c>
      <c r="B2" s="1292">
        <f ca="1">C40+J29+L46</f>
        <v>32944</v>
      </c>
      <c r="C2" s="1287" t="s">
        <v>799</v>
      </c>
      <c r="D2" s="1287"/>
      <c r="E2" s="1293"/>
      <c r="F2" s="1294"/>
      <c r="G2" s="2476"/>
      <c r="H2" s="2466"/>
      <c r="I2" s="2466"/>
      <c r="J2" s="2466"/>
      <c r="K2" s="2467"/>
      <c r="L2" s="2466"/>
      <c r="M2" s="2466"/>
    </row>
    <row r="3" spans="1:37" ht="18" customHeight="1" thickBot="1">
      <c r="A3" s="1295" t="s">
        <v>800</v>
      </c>
      <c r="B3" s="1296">
        <f ca="1">IF(ISERROR(B2*10000/F43),0,ROUND(B2*10000/F43,0))</f>
        <v>15481</v>
      </c>
      <c r="C3" s="1287" t="s">
        <v>801</v>
      </c>
      <c r="D3" s="1287"/>
      <c r="E3" s="1293"/>
      <c r="F3" s="1294"/>
      <c r="G3" s="2476"/>
      <c r="H3" s="648" t="s">
        <v>870</v>
      </c>
      <c r="I3" s="1288"/>
      <c r="J3" s="1288"/>
      <c r="K3" s="1289"/>
      <c r="L3" s="1288"/>
      <c r="M3" s="1288"/>
    </row>
    <row r="4" spans="1:37" ht="18" customHeight="1">
      <c r="A4" s="286" t="s">
        <v>681</v>
      </c>
      <c r="B4" s="287" t="s">
        <v>682</v>
      </c>
      <c r="C4" s="287" t="s">
        <v>683</v>
      </c>
      <c r="D4" s="287" t="s">
        <v>684</v>
      </c>
      <c r="E4" s="288" t="s">
        <v>685</v>
      </c>
      <c r="F4" s="289"/>
      <c r="G4" s="1290"/>
      <c r="H4" s="286" t="s">
        <v>681</v>
      </c>
      <c r="I4" s="287" t="s">
        <v>682</v>
      </c>
      <c r="J4" s="287" t="s">
        <v>683</v>
      </c>
      <c r="K4" s="287" t="s">
        <v>684</v>
      </c>
      <c r="L4" s="288" t="s">
        <v>685</v>
      </c>
      <c r="M4" s="289"/>
    </row>
    <row r="5" spans="1:37" ht="18" customHeight="1">
      <c r="A5" s="290">
        <v>1</v>
      </c>
      <c r="B5" s="291" t="s">
        <v>686</v>
      </c>
      <c r="C5" s="1005">
        <f ca="1">C6+C10+C12</f>
        <v>2100</v>
      </c>
      <c r="D5" s="1271" t="s">
        <v>687</v>
      </c>
      <c r="E5" s="1006"/>
      <c r="F5" s="1007"/>
      <c r="G5" s="1290"/>
      <c r="H5" s="290">
        <v>1</v>
      </c>
      <c r="I5" s="291" t="s">
        <v>686</v>
      </c>
      <c r="J5" s="1005">
        <f ca="1">J6+J10+J12</f>
        <v>0</v>
      </c>
      <c r="K5" s="1271" t="s">
        <v>687</v>
      </c>
      <c r="L5" s="1006"/>
      <c r="M5" s="1007"/>
    </row>
    <row r="6" spans="1:37" ht="18" customHeight="1">
      <c r="A6" s="1004" t="s">
        <v>398</v>
      </c>
      <c r="B6" s="3488" t="s">
        <v>688</v>
      </c>
      <c r="C6" s="1009">
        <f ca="1">ROUND(F6*F8*F7*(1-F9)/10000,0)</f>
        <v>2097</v>
      </c>
      <c r="D6" s="146" t="s">
        <v>2099</v>
      </c>
      <c r="E6" s="293" t="s">
        <v>690</v>
      </c>
      <c r="F6" s="294">
        <f ca="1">INDIRECT("'数据-取费表'!u"&amp;$G$1)</f>
        <v>3</v>
      </c>
      <c r="G6" s="1290"/>
      <c r="H6" s="1004" t="s">
        <v>398</v>
      </c>
      <c r="I6" s="3488" t="s">
        <v>688</v>
      </c>
      <c r="J6" s="292">
        <f ca="1">ROUND(M6*M8*M7*(1-M9)/10000,0)</f>
        <v>0</v>
      </c>
      <c r="K6" s="146" t="s">
        <v>2098</v>
      </c>
      <c r="L6" s="293" t="s">
        <v>690</v>
      </c>
      <c r="M6" s="294">
        <f ca="1">INDIRECT("'数据-取费表'!z"&amp;$G$1)</f>
        <v>0</v>
      </c>
    </row>
    <row r="7" spans="1:37" ht="18" customHeight="1">
      <c r="A7" s="1008"/>
      <c r="B7" s="3489"/>
      <c r="C7" s="1010"/>
      <c r="D7" s="298"/>
      <c r="E7" s="1011" t="s">
        <v>691</v>
      </c>
      <c r="F7" s="294">
        <f ca="1">IF(INDIRECT("'数据-取费表'!ah"&amp;$G$1)="",INDIRECT("'数据-取费表'!k"&amp;$G$1),INDIRECT("'数据-取费表'!ah"&amp;$G$1))</f>
        <v>21279.739999999998</v>
      </c>
      <c r="G7" s="1290"/>
      <c r="H7" s="295"/>
      <c r="I7" s="3489"/>
      <c r="J7" s="297"/>
      <c r="K7" s="298"/>
      <c r="L7" s="293" t="s">
        <v>691</v>
      </c>
      <c r="M7" s="294">
        <f ca="1">F7</f>
        <v>21279.739999999998</v>
      </c>
    </row>
    <row r="8" spans="1:37" ht="18" customHeight="1">
      <c r="A8" s="295"/>
      <c r="B8" s="3489"/>
      <c r="C8" s="297"/>
      <c r="D8" s="298"/>
      <c r="E8" s="293" t="s">
        <v>692</v>
      </c>
      <c r="F8" s="294">
        <f ca="1">INDIRECT("'数据-取费表'!ai"&amp;$G$1)</f>
        <v>365</v>
      </c>
      <c r="G8" s="1290"/>
      <c r="H8" s="295"/>
      <c r="I8" s="3489"/>
      <c r="J8" s="297"/>
      <c r="K8" s="298"/>
      <c r="L8" s="293" t="s">
        <v>692</v>
      </c>
      <c r="M8" s="294">
        <f ca="1">INDIRECT("'数据-取费表'!ai"&amp;$G$1)</f>
        <v>365</v>
      </c>
    </row>
    <row r="9" spans="1:37" ht="18" customHeight="1">
      <c r="A9" s="295"/>
      <c r="B9" s="3490"/>
      <c r="C9" s="297"/>
      <c r="D9" s="298"/>
      <c r="E9" s="293" t="s">
        <v>693</v>
      </c>
      <c r="F9" s="303">
        <f ca="1">INDIRECT("'数据-取费表'!w"&amp;$G$1)</f>
        <v>0.1</v>
      </c>
      <c r="G9" s="1290"/>
      <c r="H9" s="295"/>
      <c r="I9" s="3490"/>
      <c r="J9" s="297"/>
      <c r="K9" s="298"/>
      <c r="L9" s="304" t="s">
        <v>693</v>
      </c>
      <c r="M9" s="305">
        <f ca="1">INDIRECT("'数据-取费表'!ab"&amp;$G$1)</f>
        <v>0</v>
      </c>
    </row>
    <row r="10" spans="1:37" ht="18" customHeight="1">
      <c r="A10" s="1004" t="s">
        <v>402</v>
      </c>
      <c r="B10" s="1272" t="s">
        <v>694</v>
      </c>
      <c r="C10" s="307">
        <f ca="1">ROUND(IF(F10="押一",C6/12*F11,IF(F10="押二",C6/12*2*F11,IF(F10="押三",C6/12*3*F11,C11*F11))),0)</f>
        <v>3</v>
      </c>
      <c r="D10" s="149" t="s">
        <v>2107</v>
      </c>
      <c r="E10" s="304" t="s">
        <v>695</v>
      </c>
      <c r="F10" s="1051" t="s">
        <v>3877</v>
      </c>
      <c r="G10" s="1290"/>
      <c r="H10" s="1004" t="s">
        <v>402</v>
      </c>
      <c r="I10" s="1272" t="s">
        <v>694</v>
      </c>
      <c r="J10" s="292">
        <f ca="1">ROUND(IF(M10="押一",J6/12*M11,IF(M10="押二",J6/12*2*M11,IF(M10="押三",J6/12*3*M11,J11*M11))),0)</f>
        <v>0</v>
      </c>
      <c r="K10" s="149" t="s">
        <v>2106</v>
      </c>
      <c r="L10" s="304" t="s">
        <v>695</v>
      </c>
      <c r="M10" s="1051"/>
    </row>
    <row r="11" spans="1:37" ht="18" customHeight="1">
      <c r="A11" s="299"/>
      <c r="B11" s="1273" t="s">
        <v>673</v>
      </c>
      <c r="C11" s="903"/>
      <c r="D11" s="1274"/>
      <c r="E11" s="304" t="s">
        <v>696</v>
      </c>
      <c r="F11" s="305">
        <f ca="1">'数据-取费表'!B39</f>
        <v>1.4999999999999999E-2</v>
      </c>
      <c r="G11" s="1290"/>
      <c r="H11" s="1012"/>
      <c r="I11" s="1273" t="s">
        <v>673</v>
      </c>
      <c r="J11" s="903"/>
      <c r="K11" s="645"/>
      <c r="L11" s="304" t="s">
        <v>696</v>
      </c>
      <c r="M11" s="807">
        <f ca="1">'数据-取费表'!B39</f>
        <v>1.4999999999999999E-2</v>
      </c>
    </row>
    <row r="12" spans="1:37" ht="18" customHeight="1" thickBot="1">
      <c r="A12" s="1018" t="s">
        <v>437</v>
      </c>
      <c r="B12" s="1275" t="s">
        <v>697</v>
      </c>
      <c r="C12" s="1019"/>
      <c r="D12" s="1020"/>
      <c r="E12" s="1025"/>
      <c r="F12" s="1021"/>
      <c r="G12" s="1290"/>
      <c r="H12" s="1018" t="s">
        <v>437</v>
      </c>
      <c r="I12" s="1275" t="s">
        <v>697</v>
      </c>
      <c r="J12" s="1019"/>
      <c r="K12" s="1033"/>
      <c r="L12" s="1025"/>
      <c r="M12" s="1034"/>
    </row>
    <row r="13" spans="1:37" ht="18" customHeight="1" thickTop="1">
      <c r="A13" s="1014">
        <v>2</v>
      </c>
      <c r="B13" s="1015" t="s">
        <v>698</v>
      </c>
      <c r="C13" s="301">
        <f ca="1">ROUND(C29*F13,0)</f>
        <v>17920</v>
      </c>
      <c r="D13" s="1016" t="s">
        <v>699</v>
      </c>
      <c r="E13" s="1016" t="s">
        <v>700</v>
      </c>
      <c r="F13" s="1017">
        <f ca="1">INDIRECT("'数据-取费表'!y"&amp;$G$1)</f>
        <v>1</v>
      </c>
      <c r="G13" s="1290"/>
      <c r="H13" s="1014">
        <v>2</v>
      </c>
      <c r="I13" s="1015" t="s">
        <v>698</v>
      </c>
      <c r="J13" s="1003">
        <f ca="1">ROUND(J14*J15,0)</f>
        <v>0</v>
      </c>
      <c r="K13" s="1022" t="s">
        <v>699</v>
      </c>
      <c r="L13" s="1297"/>
      <c r="M13" s="1298"/>
    </row>
    <row r="14" spans="1:37" ht="18" customHeight="1">
      <c r="A14" s="926" t="s">
        <v>397</v>
      </c>
      <c r="B14" s="293" t="s">
        <v>701</v>
      </c>
      <c r="C14" s="309">
        <f ca="1">INDIRECT("'数据-取费表'!m"&amp;$G$1)+INDIRECT("'数据-取费表'!t"&amp;$G$1)</f>
        <v>11999</v>
      </c>
      <c r="D14" s="1255" t="s">
        <v>702</v>
      </c>
      <c r="E14" s="1253"/>
      <c r="F14" s="310"/>
      <c r="G14" s="1290"/>
      <c r="H14" s="926" t="s">
        <v>398</v>
      </c>
      <c r="I14" s="293" t="s">
        <v>703</v>
      </c>
      <c r="J14" s="21">
        <f ca="1">C29</f>
        <v>17920</v>
      </c>
      <c r="K14" s="12"/>
      <c r="L14" s="757"/>
      <c r="M14" s="758"/>
    </row>
    <row r="15" spans="1:37" s="1302" customFormat="1" ht="18" customHeight="1" thickBot="1">
      <c r="A15" s="926" t="s">
        <v>399</v>
      </c>
      <c r="B15" s="293" t="s">
        <v>704</v>
      </c>
      <c r="C15" s="21">
        <f ca="1">ROUND(C14*F15,0)</f>
        <v>600</v>
      </c>
      <c r="D15" s="311" t="s">
        <v>705</v>
      </c>
      <c r="E15" s="311" t="s">
        <v>706</v>
      </c>
      <c r="F15" s="312">
        <f>'数据-取费表'!B33</f>
        <v>0.05</v>
      </c>
      <c r="G15" s="1301"/>
      <c r="H15" s="1024" t="s">
        <v>402</v>
      </c>
      <c r="I15" s="1025" t="s">
        <v>700</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674</v>
      </c>
      <c r="B16" s="293" t="s">
        <v>707</v>
      </c>
      <c r="C16" s="21">
        <f ca="1">ROUND(INDIRECT("'数据-取费表'!m"&amp;$G$1)*F16,0)</f>
        <v>0</v>
      </c>
      <c r="D16" s="293" t="s">
        <v>705</v>
      </c>
      <c r="E16" s="293" t="s">
        <v>706</v>
      </c>
      <c r="F16" s="313">
        <f ca="1">IF(INDIRECT("'数据-取费表'!c"&amp;$G$1)="住宅",'数据-取费表'!B34,0)</f>
        <v>0</v>
      </c>
      <c r="G16" s="1290"/>
      <c r="H16" s="1014" t="s">
        <v>393</v>
      </c>
      <c r="I16" s="1015" t="s">
        <v>708</v>
      </c>
      <c r="J16" s="301">
        <f ca="1">ROUND(J17+J22+J23+J24,0)</f>
        <v>55</v>
      </c>
      <c r="K16" s="1022" t="s">
        <v>709</v>
      </c>
      <c r="L16" s="1023"/>
      <c r="M16" s="1007"/>
    </row>
    <row r="17" spans="1:37" s="1302" customFormat="1" ht="18" customHeight="1">
      <c r="A17" s="926" t="s">
        <v>675</v>
      </c>
      <c r="B17" s="293" t="s">
        <v>710</v>
      </c>
      <c r="C17" s="21">
        <f ca="1">ROUND(F17*(F43+INDIRECT("'数据-取费表'!S"&amp;$G$1))/10000,0)</f>
        <v>480</v>
      </c>
      <c r="D17" s="293" t="s">
        <v>711</v>
      </c>
      <c r="E17" s="293" t="s">
        <v>712</v>
      </c>
      <c r="F17" s="23">
        <f>'数据-取费表'!B35</f>
        <v>200</v>
      </c>
      <c r="G17" s="1301"/>
      <c r="H17" s="926" t="s">
        <v>398</v>
      </c>
      <c r="I17" s="293" t="s">
        <v>713</v>
      </c>
      <c r="J17" s="2138">
        <f ca="1">ROUND(IF(AND(项目基本情况!B11="自然人",项目基本情况!B10="北京市"),J6*M17/(1+'数据-取费表'!C42),J18+J19+J20),2)</f>
        <v>0.98</v>
      </c>
      <c r="K17" s="1255" t="s">
        <v>714</v>
      </c>
      <c r="L17" s="1254" t="s">
        <v>715</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676</v>
      </c>
      <c r="B18" s="293" t="s">
        <v>716</v>
      </c>
      <c r="C18" s="21">
        <f ca="1">ROUND(C14*F18,0)</f>
        <v>360</v>
      </c>
      <c r="D18" s="293" t="s">
        <v>705</v>
      </c>
      <c r="E18" s="293" t="s">
        <v>706</v>
      </c>
      <c r="F18" s="313">
        <f>'数据-取费表'!B36</f>
        <v>0.03</v>
      </c>
      <c r="G18" s="1301"/>
      <c r="H18" s="926" t="s">
        <v>397</v>
      </c>
      <c r="I18" s="293" t="s">
        <v>717</v>
      </c>
      <c r="J18" s="21">
        <f ca="1">ROUND(J6*M18/(1+'数据-取费表'!C42),2)</f>
        <v>0</v>
      </c>
      <c r="K18" s="1254" t="s">
        <v>718</v>
      </c>
      <c r="L18" s="293" t="s">
        <v>706</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3" t="s">
        <v>719</v>
      </c>
      <c r="C19" s="21">
        <f ca="1">SUM(C14:C18)</f>
        <v>13439</v>
      </c>
      <c r="D19" s="122" t="s">
        <v>720</v>
      </c>
      <c r="E19" s="1267"/>
      <c r="F19" s="23"/>
      <c r="G19" s="1290"/>
      <c r="H19" s="926" t="s">
        <v>399</v>
      </c>
      <c r="I19" s="293" t="s">
        <v>721</v>
      </c>
      <c r="J19" s="21">
        <f ca="1">IF(K19="按租金收入计税",ROUND(J6*M19/(1+'数据-取费表'!C42),2),ROUND(C29*M19*0.7,2))</f>
        <v>0</v>
      </c>
      <c r="K19" s="1276" t="s">
        <v>3323</v>
      </c>
      <c r="L19" s="293" t="s">
        <v>706</v>
      </c>
      <c r="M19" s="313">
        <f>IF(K19="按租金收入计税",'数据-取费表'!B51,'数据-取费表'!B50)</f>
        <v>0.12</v>
      </c>
    </row>
    <row r="20" spans="1:37" s="1302" customFormat="1" ht="18" customHeight="1">
      <c r="A20" s="926" t="s">
        <v>402</v>
      </c>
      <c r="B20" s="293" t="s">
        <v>722</v>
      </c>
      <c r="C20" s="21">
        <f ca="1">ROUND(C19*F20,0)</f>
        <v>403</v>
      </c>
      <c r="D20" s="314" t="s">
        <v>723</v>
      </c>
      <c r="E20" s="293" t="s">
        <v>706</v>
      </c>
      <c r="F20" s="313">
        <f>'数据-取费表'!B37</f>
        <v>0.03</v>
      </c>
      <c r="G20" s="1301"/>
      <c r="H20" s="926" t="s">
        <v>674</v>
      </c>
      <c r="I20" s="146" t="s">
        <v>724</v>
      </c>
      <c r="J20" s="22">
        <f ca="1">ROUND(M20*M21/10000,2)</f>
        <v>0.98</v>
      </c>
      <c r="K20" s="315" t="s">
        <v>725</v>
      </c>
      <c r="L20" s="293" t="s">
        <v>726</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3" t="s">
        <v>727</v>
      </c>
      <c r="C21" s="21" t="s">
        <v>15</v>
      </c>
      <c r="D21" s="314" t="s">
        <v>728</v>
      </c>
      <c r="E21" s="293" t="s">
        <v>729</v>
      </c>
      <c r="F21" s="313">
        <f>'数据-取费表'!B38</f>
        <v>0.03</v>
      </c>
      <c r="G21" s="1301"/>
      <c r="H21" s="317"/>
      <c r="I21" s="302"/>
      <c r="J21" s="26"/>
      <c r="K21" s="318"/>
      <c r="L21" s="293" t="s">
        <v>730</v>
      </c>
      <c r="M21" s="294">
        <f ca="1">INDIRECT("'数据-取费表'!r"&amp;$G$1)</f>
        <v>6542.04</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677</v>
      </c>
      <c r="B22" s="293" t="s">
        <v>731</v>
      </c>
      <c r="C22" s="21"/>
      <c r="D22" s="122" t="str">
        <f>IF(F23&lt;=1,"单利计息。","复利计息。")&amp;"建造成本、管理费用、销售费用产生的利息。"</f>
        <v>复利计息。建造成本、管理费用、销售费用产生的利息。</v>
      </c>
      <c r="E22" s="1267"/>
      <c r="F22" s="23"/>
      <c r="G22" s="1290"/>
      <c r="H22" s="926" t="s">
        <v>402</v>
      </c>
      <c r="I22" s="293" t="s">
        <v>732</v>
      </c>
      <c r="J22" s="21">
        <f ca="1">ROUND(J14*M22,2)</f>
        <v>53.76</v>
      </c>
      <c r="K22" s="1254" t="s">
        <v>733</v>
      </c>
      <c r="L22" s="293" t="s">
        <v>706</v>
      </c>
      <c r="M22" s="319">
        <f ca="1">INDIRECT("'数据-取费表'!Ak"&amp;$G$1)</f>
        <v>3.0000000000000001E-3</v>
      </c>
    </row>
    <row r="23" spans="1:37" s="1302" customFormat="1" ht="18" customHeight="1">
      <c r="A23" s="926" t="s">
        <v>397</v>
      </c>
      <c r="B23" s="293" t="s">
        <v>734</v>
      </c>
      <c r="C23" s="21">
        <f ca="1">IF('数据-取费表'!B22&lt;=1,ROUND(C19*F24*F23/2,0)+ROUND(C20*F24*F23/2,0),ROUND(C19*(POWER((1+F24),F23/2)-1),0)+ROUND(C20*(POWER((1+F24),F23/2)-1),0))</f>
        <v>429</v>
      </c>
      <c r="D23" s="137" t="str">
        <f>IF(F23&lt;=1,"(建造成本+管理费用)×利率×(建设周期÷2)","(建造成本+管理费用)×((1+利率)^(建设周期÷2)-1)")</f>
        <v>(建造成本+管理费用)×((1+利率)^(建设周期÷2)-1)</v>
      </c>
      <c r="E23" s="293" t="s">
        <v>735</v>
      </c>
      <c r="F23" s="316">
        <f>'数据-取费表'!B20</f>
        <v>2</v>
      </c>
      <c r="G23" s="1301"/>
      <c r="H23" s="926" t="s">
        <v>437</v>
      </c>
      <c r="I23" s="293" t="s">
        <v>736</v>
      </c>
      <c r="J23" s="21">
        <f ca="1">ROUND(J13*M23,2)</f>
        <v>0</v>
      </c>
      <c r="K23" s="1254" t="s">
        <v>737</v>
      </c>
      <c r="L23" s="293" t="s">
        <v>738</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739</v>
      </c>
      <c r="B24" s="293" t="s">
        <v>740</v>
      </c>
      <c r="C24" s="21">
        <f ca="1">ROUND(IF('数据-取费表'!B22&lt;=1,F21*F24*F23/2,F21*(POWER((1+F24),F23/2)-1)),4)</f>
        <v>8.9999999999999998E-4</v>
      </c>
      <c r="D24" s="137" t="str">
        <f>IF(F23&lt;=1,"销售费用×利率×(建设周期÷2)","销售费用×((1+利率)^(建设周期÷2)-1)")</f>
        <v>销售费用×((1+利率)^(建设周期÷2)-1)</v>
      </c>
      <c r="E24" s="293" t="s">
        <v>741</v>
      </c>
      <c r="F24" s="321">
        <f ca="1">'数据-取费表'!B40</f>
        <v>3.1E-2</v>
      </c>
      <c r="G24" s="1301"/>
      <c r="H24" s="1024" t="s">
        <v>678</v>
      </c>
      <c r="I24" s="1025" t="s">
        <v>722</v>
      </c>
      <c r="J24" s="1026">
        <f ca="1">ROUND(J5*M24,2)</f>
        <v>0</v>
      </c>
      <c r="K24" s="1027" t="s">
        <v>742</v>
      </c>
      <c r="L24" s="1025" t="s">
        <v>738</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743</v>
      </c>
      <c r="B25" s="293" t="s">
        <v>744</v>
      </c>
      <c r="C25" s="21"/>
      <c r="D25" s="122" t="s">
        <v>745</v>
      </c>
      <c r="E25" s="1267"/>
      <c r="F25" s="23"/>
      <c r="G25" s="1290"/>
      <c r="H25" s="1014" t="s">
        <v>394</v>
      </c>
      <c r="I25" s="1029" t="s">
        <v>746</v>
      </c>
      <c r="J25" s="301">
        <f ca="1">J5-J16</f>
        <v>-55</v>
      </c>
      <c r="K25" s="1030" t="s">
        <v>747</v>
      </c>
      <c r="L25" s="1031"/>
      <c r="M25" s="1032"/>
    </row>
    <row r="26" spans="1:37">
      <c r="A26" s="926" t="s">
        <v>397</v>
      </c>
      <c r="B26" s="293" t="s">
        <v>748</v>
      </c>
      <c r="C26" s="21">
        <f ca="1">ROUND((C19+C20)*F26,0)</f>
        <v>2076</v>
      </c>
      <c r="D26" s="314" t="s">
        <v>749</v>
      </c>
      <c r="E26" s="304" t="s">
        <v>750</v>
      </c>
      <c r="F26" s="303">
        <f ca="1">INDIRECT("'数据-取费表'!q"&amp;$G$1)</f>
        <v>0.15</v>
      </c>
      <c r="G26" s="1290"/>
      <c r="H26" s="290" t="s">
        <v>395</v>
      </c>
      <c r="I26" s="291" t="s">
        <v>751</v>
      </c>
      <c r="J26" s="292">
        <f ca="1">IF(J5&lt;&gt;0,ROUND(J25*(1-((1+M28)/(1+M26))^M27)/(M26-M28),0),0)</f>
        <v>0</v>
      </c>
      <c r="K26" s="315" t="s">
        <v>752</v>
      </c>
      <c r="L26" s="293" t="s">
        <v>753</v>
      </c>
      <c r="M26" s="303">
        <f ca="1">INDIRECT("'数据-取费表'!I"&amp;$G$1)</f>
        <v>5.5E-2</v>
      </c>
    </row>
    <row r="27" spans="1:37" ht="18" customHeight="1">
      <c r="A27" s="926" t="s">
        <v>399</v>
      </c>
      <c r="B27" s="293" t="s">
        <v>754</v>
      </c>
      <c r="C27" s="21">
        <f ca="1">ROUND(F21*F26,4)</f>
        <v>4.4999999999999997E-3</v>
      </c>
      <c r="D27" s="314" t="s">
        <v>755</v>
      </c>
      <c r="E27" s="311"/>
      <c r="F27" s="312"/>
      <c r="G27" s="1290"/>
      <c r="H27" s="295"/>
      <c r="I27" s="296"/>
      <c r="J27" s="297"/>
      <c r="K27" s="322" t="s">
        <v>756</v>
      </c>
      <c r="L27" s="293" t="s">
        <v>757</v>
      </c>
      <c r="M27" s="323">
        <f ca="1">INDIRECT("'数据-取费表'!ag"&amp;$G$1)</f>
        <v>0</v>
      </c>
    </row>
    <row r="28" spans="1:37" s="1302" customFormat="1" ht="18" customHeight="1">
      <c r="A28" s="926" t="s">
        <v>400</v>
      </c>
      <c r="B28" s="293" t="s">
        <v>758</v>
      </c>
      <c r="C28" s="21">
        <f>ROUND(F28/(1+'数据-取费表'!C42),4)</f>
        <v>5.2400000000000002E-2</v>
      </c>
      <c r="D28" s="314" t="s">
        <v>759</v>
      </c>
      <c r="E28" s="293" t="s">
        <v>706</v>
      </c>
      <c r="F28" s="313">
        <f>'数据-取费表'!B41</f>
        <v>5.5000000000000007E-2</v>
      </c>
      <c r="G28" s="1301"/>
      <c r="H28" s="299"/>
      <c r="I28" s="300"/>
      <c r="J28" s="301"/>
      <c r="K28" s="318"/>
      <c r="L28" s="293" t="s">
        <v>760</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761</v>
      </c>
      <c r="C29" s="1026">
        <f ca="1">ROUND((C19+C20+C23+C26)/(1-F21-C24-C27-C28),0)</f>
        <v>17920</v>
      </c>
      <c r="D29" s="1027"/>
      <c r="E29" s="1025"/>
      <c r="F29" s="1028"/>
      <c r="G29" s="1301"/>
      <c r="H29" s="324" t="s">
        <v>396</v>
      </c>
      <c r="I29" s="325" t="s">
        <v>762</v>
      </c>
      <c r="J29" s="326">
        <f ca="1">ROUND(J26/(1+F40)^F41,0)</f>
        <v>0</v>
      </c>
      <c r="K29" s="327" t="s">
        <v>763</v>
      </c>
      <c r="L29" s="328"/>
      <c r="M29" s="329">
        <f ca="1">INDIRECT("'数据-取费表'!k"&amp;$G$1)</f>
        <v>21279.739999999998</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708</v>
      </c>
      <c r="C30" s="301">
        <f ca="1">ROUND(C31+C36+C37+C38,0)</f>
        <v>443</v>
      </c>
      <c r="D30" s="1022" t="s">
        <v>709</v>
      </c>
      <c r="E30" s="1023"/>
      <c r="F30" s="1007"/>
      <c r="G30" s="1290"/>
      <c r="H30" s="2468"/>
      <c r="I30" s="1303"/>
      <c r="J30" s="1304"/>
      <c r="K30" s="120"/>
      <c r="L30" s="2469"/>
      <c r="M30" s="2470"/>
    </row>
    <row r="31" spans="1:37" ht="18" customHeight="1">
      <c r="A31" s="926" t="s">
        <v>398</v>
      </c>
      <c r="B31" s="293" t="s">
        <v>713</v>
      </c>
      <c r="C31" s="2138">
        <f ca="1">ROUND(IF(AND(项目基本情况!B11="自然人",项目基本情况!B10="北京市"),C6*F31/(1+'数据-取费表'!C42),C32+C33+C34),2)</f>
        <v>350.48</v>
      </c>
      <c r="D31" s="1255" t="s">
        <v>714</v>
      </c>
      <c r="E31" s="1254" t="s">
        <v>764</v>
      </c>
      <c r="F31" s="2137" t="str">
        <f>IF(项目基本情况!B11="企业","——",IF(M47="住宅",IF(F6*F7*F8/12/(1+'数据-取费表'!F30)&gt;100000,4%,2.5%),IF(F6*F7*F8/12/(1+'数据-取费表'!F30)&gt;100000,12%,7%)))</f>
        <v>——</v>
      </c>
      <c r="G31" s="1290"/>
      <c r="H31" s="2567" t="s">
        <v>2296</v>
      </c>
      <c r="I31" s="1303"/>
      <c r="J31" s="1304"/>
      <c r="K31" s="120"/>
      <c r="L31" s="2469"/>
      <c r="M31" s="2470"/>
    </row>
    <row r="32" spans="1:37" ht="18" customHeight="1">
      <c r="A32" s="926" t="s">
        <v>397</v>
      </c>
      <c r="B32" s="293" t="s">
        <v>717</v>
      </c>
      <c r="C32" s="21">
        <f ca="1">IF(项目基本情况!B11="自然人","——",ROUND(C6*F32/(1+'数据-取费表'!C42),2))</f>
        <v>109.84</v>
      </c>
      <c r="D32" s="1254" t="s">
        <v>718</v>
      </c>
      <c r="E32" s="293" t="s">
        <v>706</v>
      </c>
      <c r="F32" s="321">
        <f>'数据-取费表'!B41</f>
        <v>5.5000000000000007E-2</v>
      </c>
      <c r="G32" s="1290"/>
      <c r="H32" s="2468"/>
      <c r="I32" s="1303"/>
      <c r="J32" s="1304"/>
      <c r="K32" s="120"/>
      <c r="L32" s="2469"/>
      <c r="M32" s="2470"/>
    </row>
    <row r="33" spans="1:18" ht="18" customHeight="1">
      <c r="A33" s="926" t="s">
        <v>399</v>
      </c>
      <c r="B33" s="293" t="s">
        <v>721</v>
      </c>
      <c r="C33" s="21">
        <f ca="1">IF(项目基本情况!B11="自然人","——",IF(D33="按租金收入计税",ROUND(C6*F33/(1+'数据-取费表'!C42),2),IF(D33="按房产原值计税",ROUND(C29*F33*0.7,2),INDIRECT("'数据-取费表'!Aj"&amp;$G$1))))</f>
        <v>239.66</v>
      </c>
      <c r="D33" s="1276" t="s">
        <v>3323</v>
      </c>
      <c r="E33" s="293" t="s">
        <v>706</v>
      </c>
      <c r="F33" s="313">
        <f>IF(D33="按票据","——",IF(D33="按租金收入计税",'数据-取费表'!B51,'数据-取费表'!B50))</f>
        <v>0.12</v>
      </c>
      <c r="G33" s="1290"/>
      <c r="H33" s="2471"/>
      <c r="I33" s="1303"/>
      <c r="J33" s="1304"/>
      <c r="K33" s="2472"/>
      <c r="L33" s="2471"/>
      <c r="M33" s="2471"/>
    </row>
    <row r="34" spans="1:18" ht="18" customHeight="1">
      <c r="A34" s="1004" t="s">
        <v>674</v>
      </c>
      <c r="B34" s="146" t="s">
        <v>724</v>
      </c>
      <c r="C34" s="22">
        <f ca="1">IF(项目基本情况!B11="自然人","——",ROUND(F34*F35/10000,2))</f>
        <v>0.98</v>
      </c>
      <c r="D34" s="315" t="s">
        <v>725</v>
      </c>
      <c r="E34" s="293" t="s">
        <v>726</v>
      </c>
      <c r="F34" s="316">
        <f>'数据-取费表'!B52</f>
        <v>1.5</v>
      </c>
      <c r="G34" s="1290"/>
      <c r="H34" s="2468"/>
      <c r="I34" s="1303"/>
      <c r="J34" s="1304"/>
      <c r="K34" s="2473"/>
      <c r="L34" s="2474"/>
      <c r="M34" s="2474"/>
    </row>
    <row r="35" spans="1:18" ht="18" customHeight="1">
      <c r="A35" s="1038"/>
      <c r="B35" s="1036"/>
      <c r="C35" s="26"/>
      <c r="D35" s="318"/>
      <c r="E35" s="293" t="s">
        <v>730</v>
      </c>
      <c r="F35" s="294">
        <f ca="1">INDIRECT("'数据-取费表'!r"&amp;$G$1)</f>
        <v>6542.04</v>
      </c>
      <c r="G35" s="1290"/>
      <c r="H35" s="2468"/>
      <c r="I35" s="1303"/>
      <c r="J35" s="1304"/>
      <c r="K35" s="2472"/>
      <c r="L35" s="2471"/>
      <c r="M35" s="2471"/>
    </row>
    <row r="36" spans="1:18" ht="18" customHeight="1">
      <c r="A36" s="1037" t="s">
        <v>402</v>
      </c>
      <c r="B36" s="293" t="s">
        <v>732</v>
      </c>
      <c r="C36" s="21">
        <f ca="1">ROUND(C29*F36,2)</f>
        <v>53.76</v>
      </c>
      <c r="D36" s="1254" t="s">
        <v>765</v>
      </c>
      <c r="E36" s="293" t="s">
        <v>706</v>
      </c>
      <c r="F36" s="319">
        <f ca="1">INDIRECT("'数据-取费表'!Ak"&amp;$G$1)</f>
        <v>3.0000000000000001E-3</v>
      </c>
      <c r="G36" s="1290"/>
      <c r="H36" s="2471"/>
      <c r="I36" s="1303"/>
      <c r="J36" s="1304"/>
      <c r="K36" s="2328"/>
      <c r="L36" s="2471"/>
      <c r="M36" s="2471"/>
    </row>
    <row r="37" spans="1:18" ht="18" customHeight="1">
      <c r="A37" s="926" t="s">
        <v>437</v>
      </c>
      <c r="B37" s="293" t="s">
        <v>736</v>
      </c>
      <c r="C37" s="21">
        <f ca="1">ROUND(C13*F37,2)</f>
        <v>17.920000000000002</v>
      </c>
      <c r="D37" s="1254" t="s">
        <v>737</v>
      </c>
      <c r="E37" s="293" t="s">
        <v>738</v>
      </c>
      <c r="F37" s="320">
        <f ca="1">INDIRECT("'数据-取费表'!Al"&amp;$G$1)</f>
        <v>1E-3</v>
      </c>
      <c r="G37" s="1290"/>
      <c r="H37" s="2471"/>
      <c r="I37" s="1303"/>
      <c r="J37" s="1304"/>
      <c r="K37" s="2328"/>
      <c r="L37" s="2471"/>
      <c r="M37" s="2471"/>
    </row>
    <row r="38" spans="1:18" ht="18" customHeight="1" thickBot="1">
      <c r="A38" s="1024" t="s">
        <v>678</v>
      </c>
      <c r="B38" s="1025" t="s">
        <v>722</v>
      </c>
      <c r="C38" s="1026">
        <f ca="1">ROUND(C5*F38,2)</f>
        <v>21</v>
      </c>
      <c r="D38" s="1027" t="s">
        <v>742</v>
      </c>
      <c r="E38" s="1025" t="s">
        <v>738</v>
      </c>
      <c r="F38" s="1021">
        <f ca="1">INDIRECT("'数据-取费表'!Am"&amp;$G$1)</f>
        <v>0.01</v>
      </c>
      <c r="G38" s="1290"/>
      <c r="H38" s="2471"/>
      <c r="I38" s="1303"/>
      <c r="J38" s="1304"/>
      <c r="K38" s="2469"/>
      <c r="L38" s="2471"/>
      <c r="M38" s="2471"/>
    </row>
    <row r="39" spans="1:18" ht="24.6" customHeight="1" thickTop="1">
      <c r="A39" s="1014" t="s">
        <v>394</v>
      </c>
      <c r="B39" s="1029" t="s">
        <v>766</v>
      </c>
      <c r="C39" s="301">
        <f ca="1">C5-C30</f>
        <v>1657</v>
      </c>
      <c r="D39" s="1030" t="s">
        <v>767</v>
      </c>
      <c r="E39" s="1031"/>
      <c r="F39" s="1032"/>
      <c r="G39" s="1290"/>
      <c r="H39" s="2471"/>
      <c r="I39" s="1303"/>
      <c r="J39" s="1304"/>
      <c r="K39" s="2469"/>
      <c r="L39" s="2471"/>
      <c r="M39" s="2471"/>
    </row>
    <row r="40" spans="1:18" ht="18" customHeight="1">
      <c r="A40" s="290" t="s">
        <v>395</v>
      </c>
      <c r="B40" s="291" t="s">
        <v>768</v>
      </c>
      <c r="C40" s="292">
        <f ca="1">ROUND(C39*(1-((1+F42)/(1+F40))^F41)/(F40-F42),0)</f>
        <v>32944</v>
      </c>
      <c r="D40" s="315" t="s">
        <v>752</v>
      </c>
      <c r="E40" s="293" t="s">
        <v>753</v>
      </c>
      <c r="F40" s="303">
        <f ca="1">INDIRECT("'数据-取费表'!I"&amp;$G$1)</f>
        <v>5.5E-2</v>
      </c>
      <c r="G40" s="1290"/>
      <c r="H40" s="1364"/>
      <c r="I40" s="1303"/>
      <c r="J40" s="1304"/>
      <c r="K40" s="2469"/>
      <c r="L40" s="1364"/>
      <c r="M40" s="1364"/>
    </row>
    <row r="41" spans="1:18" ht="18" customHeight="1">
      <c r="A41" s="295"/>
      <c r="B41" s="296"/>
      <c r="C41" s="297"/>
      <c r="D41" s="322" t="s">
        <v>769</v>
      </c>
      <c r="E41" s="293" t="s">
        <v>757</v>
      </c>
      <c r="F41" s="323">
        <f ca="1">IF(INDIRECT("'数据-取费表'!af"&amp;$G$1)=0,INDIRECT("'数据-取费表'!ae"&amp;$G$1),INDIRECT("'数据-取费表'!af"&amp;$G$1))</f>
        <v>35.28</v>
      </c>
      <c r="G41" s="1290"/>
      <c r="H41" s="120"/>
      <c r="I41" s="1303"/>
      <c r="J41" s="1304"/>
      <c r="K41" s="2328"/>
      <c r="L41" s="120"/>
      <c r="M41" s="120"/>
    </row>
    <row r="42" spans="1:18" ht="18" customHeight="1">
      <c r="A42" s="299"/>
      <c r="B42" s="300"/>
      <c r="C42" s="301"/>
      <c r="D42" s="318"/>
      <c r="E42" s="293" t="s">
        <v>760</v>
      </c>
      <c r="F42" s="303">
        <f ca="1">INDIRECT("'数据-取费表'!v"&amp;$G$1)</f>
        <v>0.02</v>
      </c>
      <c r="G42" s="1290"/>
      <c r="H42" s="120"/>
      <c r="I42" s="1303"/>
      <c r="J42" s="1304"/>
      <c r="K42" s="2328"/>
      <c r="L42" s="120"/>
      <c r="M42" s="120"/>
    </row>
    <row r="43" spans="1:18" ht="18" customHeight="1" thickBot="1">
      <c r="A43" s="324" t="s">
        <v>396</v>
      </c>
      <c r="B43" s="325" t="s">
        <v>770</v>
      </c>
      <c r="C43" s="326">
        <f ca="1">ROUND(C40*10000/F43,0)</f>
        <v>15481</v>
      </c>
      <c r="D43" s="327" t="s">
        <v>771</v>
      </c>
      <c r="E43" s="328" t="s">
        <v>772</v>
      </c>
      <c r="F43" s="329">
        <f ca="1">INDIRECT("'数据-取费表'!k"&amp;$G$1)</f>
        <v>21279.739999999998</v>
      </c>
      <c r="G43" s="1290"/>
      <c r="H43" s="120"/>
      <c r="I43" s="120"/>
      <c r="J43" s="120"/>
      <c r="K43" s="2328"/>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5" t="s">
        <v>802</v>
      </c>
      <c r="P45" s="1364"/>
      <c r="Q45" s="1364"/>
      <c r="R45" s="1364"/>
    </row>
    <row r="46" spans="1:18" s="1290" customFormat="1" ht="13.5" thickBot="1">
      <c r="A46" s="1309" t="s">
        <v>803</v>
      </c>
      <c r="C46" s="1310">
        <f ca="1">C68-C40</f>
        <v>-34071</v>
      </c>
      <c r="D46" s="1311" t="str">
        <f>C2</f>
        <v>万元</v>
      </c>
      <c r="E46" s="1305"/>
      <c r="F46" s="1305"/>
      <c r="I46" s="1312" t="s">
        <v>804</v>
      </c>
      <c r="J46" s="1313"/>
      <c r="K46" s="1314"/>
      <c r="L46" s="1315" t="str">
        <f ca="1">IF(M47="住宅",0,IF(L48&gt;J51,L60,J60))</f>
        <v>0</v>
      </c>
      <c r="O46" s="1316" t="s">
        <v>805</v>
      </c>
      <c r="P46" s="1317" t="s">
        <v>806</v>
      </c>
      <c r="Q46" s="1318" t="s">
        <v>807</v>
      </c>
      <c r="R46" s="1318" t="s">
        <v>808</v>
      </c>
    </row>
    <row r="47" spans="1:18" s="1290" customFormat="1" ht="13.5" thickBot="1">
      <c r="A47" s="890" t="s">
        <v>681</v>
      </c>
      <c r="B47" s="922" t="s">
        <v>682</v>
      </c>
      <c r="C47" s="1052" t="s">
        <v>683</v>
      </c>
      <c r="D47" s="922" t="s">
        <v>684</v>
      </c>
      <c r="E47" s="993" t="s">
        <v>685</v>
      </c>
      <c r="F47" s="994"/>
      <c r="G47" s="680"/>
      <c r="I47" s="1319" t="s">
        <v>809</v>
      </c>
      <c r="J47" s="1320" t="s">
        <v>3769</v>
      </c>
      <c r="K47" s="1321" t="s">
        <v>810</v>
      </c>
      <c r="L47" s="1322">
        <f ca="1">INDIRECT("'数据-取费表'!d"&amp;$G$1)</f>
        <v>40</v>
      </c>
      <c r="M47" s="1286" t="str">
        <f>IF(ISNUMBER(FIND("住宅",C1)),"住宅","非住宅")</f>
        <v>非住宅</v>
      </c>
      <c r="O47" s="1323" t="s">
        <v>403</v>
      </c>
      <c r="P47" s="1324" t="s">
        <v>811</v>
      </c>
      <c r="Q47" s="1325">
        <f ca="1">C40+J29</f>
        <v>32944</v>
      </c>
      <c r="R47" s="1325" t="s">
        <v>812</v>
      </c>
    </row>
    <row r="48" spans="1:18" s="1290" customFormat="1" ht="28.5" thickBot="1">
      <c r="A48" s="1045" t="s">
        <v>438</v>
      </c>
      <c r="B48" s="291" t="s">
        <v>686</v>
      </c>
      <c r="C48" s="1266">
        <f ca="1">C49+C53+C55</f>
        <v>0</v>
      </c>
      <c r="D48" s="1047"/>
      <c r="E48" s="1048"/>
      <c r="F48" s="906"/>
      <c r="G48" s="680"/>
      <c r="H48" s="681"/>
      <c r="I48" s="1326" t="s">
        <v>813</v>
      </c>
      <c r="J48" s="1327" t="s">
        <v>3770</v>
      </c>
      <c r="K48" s="1328" t="s">
        <v>814</v>
      </c>
      <c r="L48" s="1329">
        <f ca="1">INDIRECT("'数据-取费表'!f"&amp;$G$1)</f>
        <v>35.58</v>
      </c>
      <c r="O48" s="1323" t="s">
        <v>404</v>
      </c>
      <c r="P48" s="1324" t="s">
        <v>815</v>
      </c>
      <c r="Q48" s="1325" t="str">
        <f ca="1">J60</f>
        <v>0</v>
      </c>
      <c r="R48" s="1325" t="s">
        <v>816</v>
      </c>
    </row>
    <row r="49" spans="1:18" s="1290" customFormat="1" ht="13.5" thickBot="1">
      <c r="A49" s="919" t="s">
        <v>439</v>
      </c>
      <c r="B49" s="1277" t="s">
        <v>773</v>
      </c>
      <c r="C49" s="1049">
        <f ca="1">ROUND(F49*F51*F50*(1-F52)/10000,0)</f>
        <v>0</v>
      </c>
      <c r="D49" s="990" t="s">
        <v>2100</v>
      </c>
      <c r="E49" s="1278" t="s">
        <v>774</v>
      </c>
      <c r="F49" s="995"/>
      <c r="H49" s="681"/>
      <c r="I49" s="1326" t="s">
        <v>817</v>
      </c>
      <c r="J49" s="1330"/>
      <c r="K49" s="1328" t="s">
        <v>818</v>
      </c>
      <c r="L49" s="1331"/>
      <c r="O49" s="1332" t="s">
        <v>405</v>
      </c>
      <c r="P49" s="1324" t="s">
        <v>819</v>
      </c>
      <c r="Q49" s="1325">
        <f ca="1">C29</f>
        <v>17920</v>
      </c>
      <c r="R49" s="1325" t="s">
        <v>812</v>
      </c>
    </row>
    <row r="50" spans="1:18" s="1290" customFormat="1" ht="13.5" thickBot="1">
      <c r="A50" s="920"/>
      <c r="B50" s="923"/>
      <c r="C50" s="1053"/>
      <c r="D50" s="897"/>
      <c r="E50" s="991" t="s">
        <v>691</v>
      </c>
      <c r="F50" s="992">
        <f ca="1">F7</f>
        <v>21279.739999999998</v>
      </c>
      <c r="H50" s="681"/>
      <c r="I50" s="1326" t="s">
        <v>820</v>
      </c>
      <c r="J50" s="1333">
        <f>SUMPRODUCT((I63:I65=J47)*(J62:L62=J48)*(J63:L65))</f>
        <v>60</v>
      </c>
      <c r="K50" s="1328" t="s">
        <v>821</v>
      </c>
      <c r="L50" s="1331"/>
      <c r="M50" s="1334"/>
      <c r="O50" s="1332" t="s">
        <v>406</v>
      </c>
      <c r="P50" s="1324" t="s">
        <v>822</v>
      </c>
      <c r="Q50" s="1335" t="e">
        <f ca="1">J58</f>
        <v>#VALUE!</v>
      </c>
      <c r="R50" s="1325"/>
    </row>
    <row r="51" spans="1:18" s="1290" customFormat="1" ht="13.5" thickBot="1">
      <c r="A51" s="921"/>
      <c r="B51" s="923"/>
      <c r="C51" s="924"/>
      <c r="D51" s="897"/>
      <c r="E51" s="925" t="s">
        <v>692</v>
      </c>
      <c r="F51" s="294">
        <f ca="1">F8</f>
        <v>365</v>
      </c>
      <c r="I51" s="1336" t="s">
        <v>823</v>
      </c>
      <c r="J51" s="1329">
        <f>IF(J49="",J50,J49+J50-YEAR('数据-取费表'!B2))</f>
        <v>60</v>
      </c>
      <c r="K51" s="1337" t="s">
        <v>824</v>
      </c>
      <c r="L51" s="1338">
        <f ca="1">ROUND(-PV(INDIRECT("'数据-取费表'!h"&amp;$G$1),J51,(C39-C13*C76),0),0)</f>
        <v>7621</v>
      </c>
      <c r="M51" s="1339"/>
      <c r="O51" s="1332" t="s">
        <v>407</v>
      </c>
      <c r="P51" s="1324" t="s">
        <v>825</v>
      </c>
      <c r="Q51" s="1335">
        <f>J52</f>
        <v>7.4999999999999997E-2</v>
      </c>
      <c r="R51" s="1325"/>
    </row>
    <row r="52" spans="1:18" s="1290" customFormat="1" ht="13.5" thickBot="1">
      <c r="A52" s="921"/>
      <c r="B52" s="923"/>
      <c r="C52" s="924"/>
      <c r="D52" s="897"/>
      <c r="E52" s="925" t="s">
        <v>693</v>
      </c>
      <c r="F52" s="989"/>
      <c r="I52" s="1340" t="s">
        <v>826</v>
      </c>
      <c r="J52" s="1341">
        <v>7.4999999999999997E-2</v>
      </c>
      <c r="K52" s="1340" t="s">
        <v>827</v>
      </c>
      <c r="L52" s="1341"/>
      <c r="O52" s="1332" t="s">
        <v>408</v>
      </c>
      <c r="P52" s="1324" t="s">
        <v>828</v>
      </c>
      <c r="Q52" s="1325">
        <f ca="1">J53</f>
        <v>35.28</v>
      </c>
      <c r="R52" s="1325" t="s">
        <v>829</v>
      </c>
    </row>
    <row r="53" spans="1:18" s="1290" customFormat="1" ht="24.75" thickBot="1">
      <c r="A53" s="1077" t="s">
        <v>440</v>
      </c>
      <c r="B53" s="1279" t="s">
        <v>694</v>
      </c>
      <c r="C53" s="307">
        <f ca="1">ROUND(IF(F53="押一",C49/12*F11,IF(F53="押二",C49/12*2*F11,IF(F53="押三",C49/12*3*F11,C54*F11))),0)</f>
        <v>0</v>
      </c>
      <c r="D53" s="149" t="s">
        <v>2106</v>
      </c>
      <c r="E53" s="304" t="s">
        <v>695</v>
      </c>
      <c r="F53" s="1051"/>
      <c r="I53" s="1342" t="s">
        <v>830</v>
      </c>
      <c r="J53" s="2004">
        <f ca="1">IF(M47="住宅",IF(D1="——",MAX(J51,L48),MAX(J51,L48-'数据-取费表'!B24)),IF(D1="——",MIN(J51,L48),MIN(J51,L48-'数据-取费表'!B24)))</f>
        <v>35.28</v>
      </c>
      <c r="K53" s="3491" t="s">
        <v>831</v>
      </c>
      <c r="L53" s="3492"/>
      <c r="O53" s="1323" t="s">
        <v>409</v>
      </c>
      <c r="P53" s="1324" t="s">
        <v>832</v>
      </c>
      <c r="Q53" s="1325">
        <f ca="1">Q47+Q48</f>
        <v>32944</v>
      </c>
      <c r="R53" s="1325" t="s">
        <v>410</v>
      </c>
    </row>
    <row r="54" spans="1:18" s="1290" customFormat="1" ht="13.5" thickBot="1">
      <c r="A54" s="1078"/>
      <c r="B54" s="1273" t="s">
        <v>673</v>
      </c>
      <c r="C54" s="903"/>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833</v>
      </c>
      <c r="P54" s="1287"/>
      <c r="Q54" s="1287"/>
      <c r="R54" s="1287"/>
    </row>
    <row r="55" spans="1:18" s="1290" customFormat="1" ht="13.5" thickBot="1">
      <c r="A55" s="1018" t="s">
        <v>437</v>
      </c>
      <c r="B55" s="1275" t="s">
        <v>697</v>
      </c>
      <c r="C55" s="1019"/>
      <c r="D55" s="149"/>
      <c r="E55" s="1280"/>
      <c r="F55" s="1343"/>
      <c r="I55" s="1346" t="s">
        <v>834</v>
      </c>
      <c r="J55" s="1347" t="e">
        <f ca="1">ROUND(IF(J47="钢混",J57/J50,1-(1-2%)*(J50-J57)/J50),3)</f>
        <v>#VALUE!</v>
      </c>
      <c r="K55" s="1348" t="s">
        <v>835</v>
      </c>
      <c r="L55" s="1349"/>
      <c r="O55" s="1316" t="s">
        <v>805</v>
      </c>
      <c r="P55" s="1317" t="s">
        <v>806</v>
      </c>
      <c r="Q55" s="1318" t="s">
        <v>807</v>
      </c>
      <c r="R55" s="1318" t="s">
        <v>808</v>
      </c>
    </row>
    <row r="56" spans="1:18" s="1290" customFormat="1" ht="25.5" thickTop="1" thickBot="1">
      <c r="A56" s="901">
        <v>2</v>
      </c>
      <c r="B56" s="902" t="s">
        <v>698</v>
      </c>
      <c r="C56" s="223">
        <f ca="1">C13</f>
        <v>17920</v>
      </c>
      <c r="D56" s="1350"/>
      <c r="E56" s="1351"/>
      <c r="F56" s="1343"/>
      <c r="I56" s="1352" t="s">
        <v>836</v>
      </c>
      <c r="J56" s="1353" t="s">
        <v>3411</v>
      </c>
      <c r="K56" s="1326" t="s">
        <v>837</v>
      </c>
      <c r="L56" s="1329" t="str">
        <f ca="1">IF(L48&lt;J51,"——",L48-J53)</f>
        <v>——</v>
      </c>
      <c r="O56" s="1323" t="s">
        <v>403</v>
      </c>
      <c r="P56" s="1324" t="s">
        <v>811</v>
      </c>
      <c r="Q56" s="1325">
        <f ca="1">C40+J29</f>
        <v>32944</v>
      </c>
      <c r="R56" s="1325" t="s">
        <v>812</v>
      </c>
    </row>
    <row r="57" spans="1:18" s="1290" customFormat="1" ht="24.75" thickBot="1">
      <c r="A57" s="1354"/>
      <c r="B57" s="894" t="s">
        <v>761</v>
      </c>
      <c r="C57" s="229">
        <f ca="1">C29</f>
        <v>17920</v>
      </c>
      <c r="D57" s="1355"/>
      <c r="E57" s="1356"/>
      <c r="F57" s="1357"/>
      <c r="I57" s="1358" t="s">
        <v>838</v>
      </c>
      <c r="J57" s="1359" t="str">
        <f ca="1">IF(OR(M47="住宅",J51&lt;L48,J56="是"),"——",J51-L48)</f>
        <v>——</v>
      </c>
      <c r="K57" s="1326" t="s">
        <v>839</v>
      </c>
      <c r="L57" s="1329" t="str">
        <f ca="1">IF(L48&lt;J51,"——",IF(L55="比较法",L49,IF(L55="基准地价",L50,L51)))</f>
        <v>——</v>
      </c>
      <c r="O57" s="1323" t="s">
        <v>404</v>
      </c>
      <c r="P57" s="1324" t="s">
        <v>840</v>
      </c>
      <c r="Q57" s="1325">
        <f ca="1">L60</f>
        <v>0</v>
      </c>
      <c r="R57" s="1325" t="s">
        <v>841</v>
      </c>
    </row>
    <row r="58" spans="1:18" s="1290" customFormat="1" ht="24.75" thickBot="1">
      <c r="A58" s="306" t="s">
        <v>393</v>
      </c>
      <c r="B58" s="902" t="s">
        <v>708</v>
      </c>
      <c r="C58" s="307">
        <f ca="1">ROUND(C59+C64+C65+C66,0)</f>
        <v>73</v>
      </c>
      <c r="D58" s="904" t="s">
        <v>709</v>
      </c>
      <c r="E58" s="905"/>
      <c r="F58" s="906"/>
      <c r="I58" s="1358" t="s">
        <v>842</v>
      </c>
      <c r="J58" s="1360" t="e">
        <f ca="1">IF(J55&lt;0.4,0.4,J55)</f>
        <v>#VALUE!</v>
      </c>
      <c r="K58" s="1337" t="s">
        <v>843</v>
      </c>
      <c r="L58" s="1329" t="e">
        <f ca="1">ROUND(POWER(1+L52,L47-L48)*(POWER(1+L52,L48)-1)/(POWER(1+L52,L47)-1),4)</f>
        <v>#DIV/0!</v>
      </c>
      <c r="O58" s="1332" t="s">
        <v>405</v>
      </c>
      <c r="P58" s="1324" t="s">
        <v>844</v>
      </c>
      <c r="Q58" s="1325">
        <f>IF(L55="比较法",L49,IF(L55="基准地价",L50,0))</f>
        <v>0</v>
      </c>
      <c r="R58" s="1325" t="s">
        <v>812</v>
      </c>
    </row>
    <row r="59" spans="1:18" s="1290" customFormat="1" ht="24.75" thickBot="1">
      <c r="A59" s="926" t="s">
        <v>398</v>
      </c>
      <c r="B59" s="894" t="s">
        <v>713</v>
      </c>
      <c r="C59" s="2138">
        <f ca="1">ROUND(IF(AND(项目基本情况!B11="自然人",项目基本情况!B10="北京市"),C49*F59/(1+'数据-取费表'!C42),C60+C61+C62),0)</f>
        <v>1</v>
      </c>
      <c r="D59" s="907" t="s">
        <v>714</v>
      </c>
      <c r="E59" s="908" t="s">
        <v>715</v>
      </c>
      <c r="F59" s="2137" t="str">
        <f>IF(项目基本情况!B11="企业","——",IF('数据-取费表'!B10="住宅",IF(F49*F50*F51/12/(1+'数据-取费表'!F30)&gt;100000,4%,2.5%),IF(F49*F50*F51/12/(1+'数据-取费表'!F30)&gt;100000,12%,7%)))</f>
        <v>——</v>
      </c>
      <c r="I59" s="1358" t="s">
        <v>845</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846</v>
      </c>
      <c r="Q59" s="1335">
        <f>L52</f>
        <v>0</v>
      </c>
      <c r="R59" s="1325"/>
    </row>
    <row r="60" spans="1:18" s="1290" customFormat="1" ht="16.5" thickBot="1">
      <c r="A60" s="926" t="s">
        <v>397</v>
      </c>
      <c r="B60" s="894" t="s">
        <v>717</v>
      </c>
      <c r="C60" s="21">
        <f ca="1">IF(项目基本情况!B11="自然人","——",ROUND(C48*F60/(1+'数据-取费表'!C42),2))</f>
        <v>0</v>
      </c>
      <c r="D60" s="908" t="s">
        <v>718</v>
      </c>
      <c r="E60" s="894" t="s">
        <v>706</v>
      </c>
      <c r="F60" s="321">
        <f t="shared" ref="F60:F66" si="0">F32</f>
        <v>5.5000000000000007E-2</v>
      </c>
      <c r="I60" s="1361" t="s">
        <v>847</v>
      </c>
      <c r="J60" s="1362" t="str">
        <f ca="1">IF(OR(M47="住宅",J51&lt;L48,J56="是"),"0",ROUND(J59/(1+J52)^J53,0))</f>
        <v>0</v>
      </c>
      <c r="K60" s="1363" t="s">
        <v>848</v>
      </c>
      <c r="L60" s="1362">
        <f ca="1">IF(OR(M47="住宅",L48&lt;J51),0,ROUND(L57*(L58/L59-1),0))</f>
        <v>0</v>
      </c>
      <c r="O60" s="1332" t="s">
        <v>407</v>
      </c>
      <c r="P60" s="1324" t="s">
        <v>849</v>
      </c>
      <c r="Q60" s="1325" t="e">
        <f ca="1">L58</f>
        <v>#DIV/0!</v>
      </c>
      <c r="R60" s="1325" t="s">
        <v>850</v>
      </c>
    </row>
    <row r="61" spans="1:18" s="1290" customFormat="1" ht="13.5" thickBot="1">
      <c r="A61" s="926" t="s">
        <v>775</v>
      </c>
      <c r="B61" s="894" t="s">
        <v>776</v>
      </c>
      <c r="C61" s="21">
        <f ca="1">IF(项目基本情况!B11="自然人","——",IF(D61="按租金收入计税",ROUND(C49*F61/(1+'数据-取费表'!C42),2),IF(D61="按房产原值计税",ROUND(C57*F61*0.7,2),INDIRECT("'数据-取费表'!Aj"&amp;$G$1))))</f>
        <v>0</v>
      </c>
      <c r="D61" s="1276" t="s">
        <v>3323</v>
      </c>
      <c r="E61" s="894" t="s">
        <v>777</v>
      </c>
      <c r="F61" s="313">
        <f t="shared" si="0"/>
        <v>0.12</v>
      </c>
      <c r="I61" s="1364"/>
      <c r="J61" s="1364"/>
      <c r="K61" s="1364"/>
      <c r="L61" s="1364"/>
      <c r="O61" s="1332" t="s">
        <v>408</v>
      </c>
      <c r="P61" s="1324" t="str">
        <f>K59</f>
        <v>续建工期及建筑物耐用年限下的土地年期修正系数Kn</v>
      </c>
      <c r="Q61" s="1325" t="e">
        <f ca="1">L59</f>
        <v>#DIV/0!</v>
      </c>
      <c r="R61" s="1325" t="s">
        <v>851</v>
      </c>
    </row>
    <row r="62" spans="1:18" s="1290" customFormat="1" ht="13.5" thickBot="1">
      <c r="A62" s="926" t="s">
        <v>778</v>
      </c>
      <c r="B62" s="893" t="s">
        <v>779</v>
      </c>
      <c r="C62" s="22">
        <f ca="1">IF(项目基本情况!B11="自然人","——",ROUND(F62*F63/10000,2))</f>
        <v>0.98</v>
      </c>
      <c r="D62" s="909" t="s">
        <v>780</v>
      </c>
      <c r="E62" s="894" t="s">
        <v>781</v>
      </c>
      <c r="F62" s="316">
        <f t="shared" si="0"/>
        <v>1.5</v>
      </c>
      <c r="I62" s="1365" t="s">
        <v>852</v>
      </c>
      <c r="J62" s="609" t="s">
        <v>853</v>
      </c>
      <c r="K62" s="609" t="s">
        <v>854</v>
      </c>
      <c r="L62" s="609" t="s">
        <v>855</v>
      </c>
      <c r="M62" s="1366" t="s">
        <v>856</v>
      </c>
      <c r="O62" s="1323" t="s">
        <v>409</v>
      </c>
      <c r="P62" s="1324" t="s">
        <v>857</v>
      </c>
      <c r="Q62" s="1325">
        <f ca="1">Q56+Q57</f>
        <v>32944</v>
      </c>
      <c r="R62" s="1325" t="s">
        <v>410</v>
      </c>
    </row>
    <row r="63" spans="1:18" s="1290" customFormat="1" ht="13.5" thickBot="1">
      <c r="A63" s="317"/>
      <c r="B63" s="900"/>
      <c r="C63" s="26"/>
      <c r="D63" s="910"/>
      <c r="E63" s="894" t="s">
        <v>782</v>
      </c>
      <c r="F63" s="294">
        <f t="shared" ca="1" si="0"/>
        <v>6542.04</v>
      </c>
      <c r="I63" s="1365" t="s">
        <v>858</v>
      </c>
      <c r="J63" s="609">
        <v>70</v>
      </c>
      <c r="K63" s="609">
        <v>50</v>
      </c>
      <c r="L63" s="609">
        <v>80</v>
      </c>
      <c r="M63" s="1367">
        <v>0.02</v>
      </c>
      <c r="O63" s="1308" t="s">
        <v>859</v>
      </c>
      <c r="P63" s="1287"/>
      <c r="Q63" s="1287"/>
      <c r="R63" s="1287"/>
    </row>
    <row r="64" spans="1:18" s="1290" customFormat="1" ht="13.5" thickBot="1">
      <c r="A64" s="926" t="s">
        <v>783</v>
      </c>
      <c r="B64" s="894" t="s">
        <v>784</v>
      </c>
      <c r="C64" s="21">
        <f ca="1">ROUND(C57*F64,2)</f>
        <v>53.76</v>
      </c>
      <c r="D64" s="908" t="s">
        <v>785</v>
      </c>
      <c r="E64" s="894" t="s">
        <v>777</v>
      </c>
      <c r="F64" s="319">
        <f t="shared" ca="1" si="0"/>
        <v>3.0000000000000001E-3</v>
      </c>
      <c r="I64" s="1365" t="s">
        <v>860</v>
      </c>
      <c r="J64" s="609">
        <v>50</v>
      </c>
      <c r="K64" s="609">
        <v>35</v>
      </c>
      <c r="L64" s="609">
        <v>60</v>
      </c>
      <c r="M64" s="1366">
        <v>0</v>
      </c>
      <c r="O64" s="1316" t="s">
        <v>805</v>
      </c>
      <c r="P64" s="1317" t="s">
        <v>806</v>
      </c>
      <c r="Q64" s="1318" t="s">
        <v>807</v>
      </c>
      <c r="R64" s="1318" t="s">
        <v>808</v>
      </c>
    </row>
    <row r="65" spans="1:18" s="1290" customFormat="1" ht="13.5" thickBot="1">
      <c r="A65" s="926" t="s">
        <v>786</v>
      </c>
      <c r="B65" s="894" t="s">
        <v>736</v>
      </c>
      <c r="C65" s="21">
        <f ca="1">ROUND(C56*F65,2)</f>
        <v>17.920000000000002</v>
      </c>
      <c r="D65" s="908" t="s">
        <v>737</v>
      </c>
      <c r="E65" s="894" t="s">
        <v>738</v>
      </c>
      <c r="F65" s="320">
        <f t="shared" ca="1" si="0"/>
        <v>1E-3</v>
      </c>
      <c r="I65" s="1365" t="s">
        <v>861</v>
      </c>
      <c r="J65" s="609">
        <v>40</v>
      </c>
      <c r="K65" s="609">
        <v>30</v>
      </c>
      <c r="L65" s="609">
        <v>50</v>
      </c>
      <c r="M65" s="1367">
        <v>0.02</v>
      </c>
      <c r="O65" s="1323" t="s">
        <v>403</v>
      </c>
      <c r="P65" s="1324" t="s">
        <v>862</v>
      </c>
      <c r="Q65" s="1325">
        <f ca="1">C40+J29</f>
        <v>32944</v>
      </c>
      <c r="R65" s="1325" t="s">
        <v>812</v>
      </c>
    </row>
    <row r="66" spans="1:18" s="1290" customFormat="1" ht="16.5" thickBot="1">
      <c r="A66" s="926" t="s">
        <v>787</v>
      </c>
      <c r="B66" s="894" t="s">
        <v>722</v>
      </c>
      <c r="C66" s="21">
        <f ca="1">ROUND(C48*F66,2)</f>
        <v>0</v>
      </c>
      <c r="D66" s="908" t="s">
        <v>788</v>
      </c>
      <c r="E66" s="894" t="s">
        <v>706</v>
      </c>
      <c r="F66" s="303">
        <f t="shared" ca="1" si="0"/>
        <v>0.01</v>
      </c>
      <c r="O66" s="1323" t="s">
        <v>404</v>
      </c>
      <c r="P66" s="1324" t="s">
        <v>840</v>
      </c>
      <c r="Q66" s="1325">
        <f ca="1">L60</f>
        <v>0</v>
      </c>
      <c r="R66" s="1325" t="s">
        <v>863</v>
      </c>
    </row>
    <row r="67" spans="1:18" s="1290" customFormat="1" ht="16.5" thickBot="1">
      <c r="A67" s="901" t="s">
        <v>394</v>
      </c>
      <c r="B67" s="911" t="s">
        <v>746</v>
      </c>
      <c r="C67" s="307">
        <f ca="1">C48-C58</f>
        <v>-73</v>
      </c>
      <c r="D67" s="907" t="s">
        <v>747</v>
      </c>
      <c r="E67" s="912"/>
      <c r="F67" s="913"/>
      <c r="O67" s="1332" t="s">
        <v>405</v>
      </c>
      <c r="P67" s="1324" t="s">
        <v>844</v>
      </c>
      <c r="Q67" s="1368">
        <f ca="1">L51</f>
        <v>7621</v>
      </c>
      <c r="R67" s="1325" t="s">
        <v>864</v>
      </c>
    </row>
    <row r="68" spans="1:18" s="1290" customFormat="1" ht="16.5" thickBot="1">
      <c r="A68" s="891" t="s">
        <v>395</v>
      </c>
      <c r="B68" s="892" t="s">
        <v>768</v>
      </c>
      <c r="C68" s="292">
        <f ca="1">ROUND(C67*(1-((1+F70)/(1+F68))^F69)/(F68-F70),0)</f>
        <v>-1127</v>
      </c>
      <c r="D68" s="909" t="s">
        <v>752</v>
      </c>
      <c r="E68" s="894" t="s">
        <v>753</v>
      </c>
      <c r="F68" s="303">
        <f ca="1">F40</f>
        <v>5.5E-2</v>
      </c>
      <c r="O68" s="1332" t="s">
        <v>406</v>
      </c>
      <c r="P68" s="1369" t="s">
        <v>865</v>
      </c>
      <c r="Q68" s="1325">
        <f ca="1">ROUND(Q69-Q70*Q71,0)</f>
        <v>403</v>
      </c>
      <c r="R68" s="1325" t="s">
        <v>414</v>
      </c>
    </row>
    <row r="69" spans="1:18" s="1290" customFormat="1" ht="13.5" thickBot="1">
      <c r="A69" s="895"/>
      <c r="B69" s="896"/>
      <c r="C69" s="297"/>
      <c r="D69" s="914" t="s">
        <v>756</v>
      </c>
      <c r="E69" s="894" t="s">
        <v>757</v>
      </c>
      <c r="F69" s="323">
        <f ca="1">F41</f>
        <v>35.28</v>
      </c>
      <c r="O69" s="1332" t="s">
        <v>411</v>
      </c>
      <c r="P69" s="1369" t="s">
        <v>866</v>
      </c>
      <c r="Q69" s="1325">
        <f ca="1">C39</f>
        <v>1657</v>
      </c>
      <c r="R69" s="1325" t="s">
        <v>812</v>
      </c>
    </row>
    <row r="70" spans="1:18" s="1290" customFormat="1" ht="13.5" thickBot="1">
      <c r="A70" s="898"/>
      <c r="B70" s="899"/>
      <c r="C70" s="301"/>
      <c r="D70" s="910"/>
      <c r="E70" s="894" t="s">
        <v>760</v>
      </c>
      <c r="F70" s="989"/>
      <c r="O70" s="1332" t="s">
        <v>412</v>
      </c>
      <c r="P70" s="1369" t="s">
        <v>867</v>
      </c>
      <c r="Q70" s="1325">
        <f ca="1">C13</f>
        <v>17920</v>
      </c>
      <c r="R70" s="1325" t="s">
        <v>812</v>
      </c>
    </row>
    <row r="71" spans="1:18" s="1290" customFormat="1" ht="13.5" thickBot="1">
      <c r="A71" s="915" t="s">
        <v>396</v>
      </c>
      <c r="B71" s="916" t="s">
        <v>770</v>
      </c>
      <c r="C71" s="326">
        <f ca="1">ROUND(C68*10000/F71,0)</f>
        <v>-530</v>
      </c>
      <c r="D71" s="917" t="s">
        <v>771</v>
      </c>
      <c r="E71" s="918" t="s">
        <v>772</v>
      </c>
      <c r="F71" s="329">
        <f ca="1">F43</f>
        <v>21279.739999999998</v>
      </c>
      <c r="O71" s="1332" t="s">
        <v>413</v>
      </c>
      <c r="P71" s="1369" t="s">
        <v>868</v>
      </c>
      <c r="Q71" s="1335">
        <f ca="1">C76</f>
        <v>7.0000000000000007E-2</v>
      </c>
      <c r="R71" s="1325"/>
    </row>
    <row r="72" spans="1:18" s="1290" customFormat="1" ht="13.5" thickBot="1">
      <c r="B72" s="684"/>
      <c r="C72" s="684"/>
      <c r="O72" s="1332" t="s">
        <v>407</v>
      </c>
      <c r="P72" s="1324" t="s">
        <v>846</v>
      </c>
      <c r="Q72" s="1335">
        <f>L52</f>
        <v>0</v>
      </c>
      <c r="R72" s="1325"/>
    </row>
    <row r="73" spans="1:18" ht="16.5" thickBot="1">
      <c r="A73" s="1290"/>
      <c r="B73" s="684"/>
      <c r="C73" s="684"/>
      <c r="D73" s="1290"/>
      <c r="E73" s="1290"/>
      <c r="F73" s="1290"/>
      <c r="O73" s="1332" t="s">
        <v>408</v>
      </c>
      <c r="P73" s="1324" t="s">
        <v>849</v>
      </c>
      <c r="Q73" s="1325" t="e">
        <f ca="1">L58</f>
        <v>#DIV/0!</v>
      </c>
      <c r="R73" s="1325" t="s">
        <v>850</v>
      </c>
    </row>
    <row r="74" spans="1:18" ht="13.5" thickBot="1">
      <c r="A74" s="1290"/>
      <c r="B74" s="264" t="s">
        <v>869</v>
      </c>
      <c r="C74" s="1371"/>
      <c r="D74" s="1290"/>
      <c r="E74" s="1290"/>
      <c r="F74" s="1290"/>
      <c r="O74" s="1332" t="s">
        <v>415</v>
      </c>
      <c r="P74" s="1324" t="str">
        <f>K59</f>
        <v>续建工期及建筑物耐用年限下的土地年期修正系数Kn</v>
      </c>
      <c r="Q74" s="1325" t="e">
        <f ca="1">L59</f>
        <v>#DIV/0!</v>
      </c>
      <c r="R74" s="1325" t="s">
        <v>851</v>
      </c>
    </row>
    <row r="75" spans="1:18" ht="13.5" thickBot="1">
      <c r="A75" s="1290"/>
      <c r="B75" s="330" t="s">
        <v>789</v>
      </c>
      <c r="C75" s="331">
        <f ca="1">ROUND(C13*C76,0)</f>
        <v>1254</v>
      </c>
      <c r="D75" s="1290"/>
      <c r="E75" s="1290"/>
      <c r="F75" s="1290"/>
      <c r="K75" s="1307"/>
      <c r="L75" s="1290"/>
      <c r="O75" s="1323" t="s">
        <v>409</v>
      </c>
      <c r="P75" s="1324" t="s">
        <v>832</v>
      </c>
      <c r="Q75" s="1325">
        <f ca="1">Q65+Q66</f>
        <v>32944</v>
      </c>
      <c r="R75" s="1325" t="s">
        <v>410</v>
      </c>
    </row>
    <row r="76" spans="1:18">
      <c r="B76" s="332" t="s">
        <v>790</v>
      </c>
      <c r="C76" s="333">
        <f ca="1">INDIRECT("'数据-取费表'!j"&amp;$G$1)</f>
        <v>7.0000000000000007E-2</v>
      </c>
      <c r="I76" s="1290"/>
      <c r="J76" s="1290"/>
      <c r="K76" s="1307"/>
      <c r="L76" s="1290"/>
    </row>
    <row r="77" spans="1:18">
      <c r="B77" s="334" t="s">
        <v>791</v>
      </c>
      <c r="C77" s="335"/>
      <c r="I77" s="1290"/>
      <c r="J77" s="1290"/>
      <c r="K77" s="1307"/>
      <c r="L77" s="1290"/>
    </row>
    <row r="78" spans="1:18">
      <c r="B78" s="261" t="s">
        <v>792</v>
      </c>
      <c r="C78" s="336"/>
    </row>
    <row r="79" spans="1:18">
      <c r="B79" s="330" t="s">
        <v>793</v>
      </c>
      <c r="C79" s="265">
        <f ca="1">1-C80</f>
        <v>0.24299999999999999</v>
      </c>
    </row>
    <row r="80" spans="1:18">
      <c r="B80" s="330" t="s">
        <v>794</v>
      </c>
      <c r="C80" s="265">
        <f ca="1">ROUND(C75/C39,3)</f>
        <v>0.75700000000000001</v>
      </c>
    </row>
    <row r="81" spans="2:3">
      <c r="B81" s="261" t="s">
        <v>795</v>
      </c>
      <c r="C81" s="229"/>
    </row>
    <row r="82" spans="2:3">
      <c r="B82" s="264" t="s">
        <v>796</v>
      </c>
      <c r="C82" s="266">
        <f ca="1">1-C83</f>
        <v>0.45599999999999996</v>
      </c>
    </row>
    <row r="83" spans="2:3">
      <c r="B83" s="264" t="s">
        <v>797</v>
      </c>
      <c r="C83" s="265">
        <f ca="1">ROUND(C13/C40,3)</f>
        <v>0.54400000000000004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7">
      <formula>$J$51&gt;$L$48</formula>
    </cfRule>
  </conditionalFormatting>
  <conditionalFormatting sqref="J11">
    <cfRule type="expression" dxfId="16" priority="2">
      <formula>$M$10="自定义"</formula>
    </cfRule>
  </conditionalFormatting>
  <conditionalFormatting sqref="K55 K60">
    <cfRule type="expression" dxfId="15"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1859</v>
      </c>
      <c r="B1" s="339"/>
      <c r="C1" s="340" t="s">
        <v>1908</v>
      </c>
      <c r="D1" s="650"/>
      <c r="E1" s="650"/>
      <c r="F1" s="649" t="s">
        <v>1759</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1454</v>
      </c>
      <c r="B2" s="590" t="e">
        <f>F61</f>
        <v>#DIV/0!</v>
      </c>
      <c r="C2" s="853"/>
      <c r="D2" s="853"/>
      <c r="E2" s="853"/>
      <c r="F2" s="854"/>
      <c r="G2" s="853"/>
      <c r="H2" s="853"/>
      <c r="I2" s="853"/>
      <c r="J2" s="853"/>
      <c r="K2" s="855"/>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1456</v>
      </c>
      <c r="B3" s="535" t="e">
        <f>ROUND(IF(D3="",B2*10000/'数据-汇总表'!E3,B2*10000/D3),0)</f>
        <v>#DIV/0!</v>
      </c>
      <c r="C3" s="194" t="s">
        <v>1861</v>
      </c>
      <c r="D3" s="1109"/>
      <c r="E3" s="853"/>
      <c r="F3" s="854"/>
      <c r="G3" s="853"/>
      <c r="H3" s="853"/>
      <c r="I3" s="853"/>
      <c r="J3" s="853"/>
      <c r="K3" s="855"/>
      <c r="L3" s="2501"/>
      <c r="M3" s="2502"/>
      <c r="N3" s="2502"/>
      <c r="O3" s="2502"/>
      <c r="P3" s="340"/>
      <c r="Q3" s="340"/>
      <c r="R3" s="340"/>
      <c r="S3" s="340"/>
      <c r="T3" s="340"/>
      <c r="U3" s="340"/>
      <c r="V3" s="340"/>
      <c r="W3" s="340"/>
      <c r="X3" s="340"/>
      <c r="Y3" s="340"/>
      <c r="Z3" s="340"/>
      <c r="AA3" s="340"/>
      <c r="AB3" s="675"/>
      <c r="AC3" s="662"/>
    </row>
    <row r="4" spans="1:29" ht="15">
      <c r="A4" s="344" t="s">
        <v>1761</v>
      </c>
      <c r="B4" s="345"/>
      <c r="C4" s="3449" t="s">
        <v>1762</v>
      </c>
      <c r="D4" s="3461"/>
      <c r="E4" s="3462" t="s">
        <v>1763</v>
      </c>
      <c r="F4" s="3463"/>
      <c r="G4" s="3449" t="s">
        <v>1764</v>
      </c>
      <c r="H4" s="3461"/>
      <c r="I4" s="3449" t="s">
        <v>1765</v>
      </c>
      <c r="J4" s="3461"/>
      <c r="K4" s="536" t="s">
        <v>1766</v>
      </c>
      <c r="L4" s="2484"/>
      <c r="M4" s="2485"/>
      <c r="N4" s="2485"/>
      <c r="O4" s="2485"/>
      <c r="P4" s="3464" t="s">
        <v>1767</v>
      </c>
      <c r="Q4" s="3465"/>
      <c r="R4" s="3470" t="s">
        <v>1763</v>
      </c>
      <c r="S4" s="3471"/>
      <c r="T4" s="3470" t="s">
        <v>1764</v>
      </c>
      <c r="U4" s="3471"/>
      <c r="V4" s="3457" t="s">
        <v>1765</v>
      </c>
      <c r="W4" s="3457"/>
      <c r="X4" s="1263"/>
      <c r="Y4" s="3470" t="s">
        <v>1767</v>
      </c>
      <c r="Z4" s="3471"/>
      <c r="AA4" s="3458" t="s">
        <v>1763</v>
      </c>
      <c r="AB4" s="3459" t="s">
        <v>1764</v>
      </c>
      <c r="AC4" s="3458" t="s">
        <v>1765</v>
      </c>
    </row>
    <row r="5" spans="1:29" ht="15">
      <c r="A5" s="347"/>
      <c r="B5" s="348"/>
      <c r="C5" s="3478" t="s">
        <v>1665</v>
      </c>
      <c r="D5" s="3479"/>
      <c r="E5" s="3485" t="s">
        <v>1666</v>
      </c>
      <c r="F5" s="3486"/>
      <c r="G5" s="3478" t="s">
        <v>1667</v>
      </c>
      <c r="H5" s="3479"/>
      <c r="I5" s="3478" t="s">
        <v>1668</v>
      </c>
      <c r="J5" s="3479"/>
      <c r="K5" s="536"/>
      <c r="L5" s="2484"/>
      <c r="M5" s="2485"/>
      <c r="N5" s="2485"/>
      <c r="O5" s="2485"/>
      <c r="P5" s="3466"/>
      <c r="Q5" s="3467"/>
      <c r="R5" s="3472"/>
      <c r="S5" s="3473"/>
      <c r="T5" s="3472"/>
      <c r="U5" s="3473"/>
      <c r="V5" s="3457"/>
      <c r="W5" s="3457"/>
      <c r="X5" s="1263"/>
      <c r="Y5" s="3472"/>
      <c r="Z5" s="3473"/>
      <c r="AA5" s="3459"/>
      <c r="AB5" s="3459"/>
      <c r="AC5" s="3459"/>
    </row>
    <row r="6" spans="1:29" ht="15.75" thickBot="1">
      <c r="A6" s="349"/>
      <c r="B6" s="350"/>
      <c r="C6" s="3537" t="s">
        <v>1909</v>
      </c>
      <c r="D6" s="3538"/>
      <c r="E6" s="3539" t="s">
        <v>1909</v>
      </c>
      <c r="F6" s="3540"/>
      <c r="G6" s="3537" t="s">
        <v>1909</v>
      </c>
      <c r="H6" s="3538"/>
      <c r="I6" s="3537" t="s">
        <v>1909</v>
      </c>
      <c r="J6" s="3538"/>
      <c r="K6" s="536" t="s">
        <v>1670</v>
      </c>
      <c r="L6" s="2484"/>
      <c r="M6" s="2485"/>
      <c r="N6" s="2485"/>
      <c r="O6" s="2485"/>
      <c r="P6" s="3468"/>
      <c r="Q6" s="3469"/>
      <c r="R6" s="3472"/>
      <c r="S6" s="3473"/>
      <c r="T6" s="3474"/>
      <c r="U6" s="3475"/>
      <c r="V6" s="3457"/>
      <c r="W6" s="3457"/>
      <c r="X6" s="1263"/>
      <c r="Y6" s="3474"/>
      <c r="Z6" s="3475"/>
      <c r="AA6" s="3460"/>
      <c r="AB6" s="3460"/>
      <c r="AC6" s="3460"/>
    </row>
    <row r="7" spans="1:29" s="101" customFormat="1" ht="15.75" thickBot="1">
      <c r="A7" s="351" t="s">
        <v>1671</v>
      </c>
      <c r="B7" s="352"/>
      <c r="C7" s="353">
        <f>'数据-取费表'!B2</f>
        <v>45709</v>
      </c>
      <c r="D7" s="354">
        <v>100</v>
      </c>
      <c r="E7" s="355"/>
      <c r="F7" s="356">
        <f>SUMIF(65:65,YEAR(E7)&amp;"-"&amp;INT((MONTH(E7)+2)/3),66:66)</f>
        <v>0</v>
      </c>
      <c r="G7" s="1820"/>
      <c r="H7" s="354">
        <f>SUMIF(65:65,YEAR(G7)&amp;"-"&amp;INT((MONTH(G7)+2)/3),66:66)</f>
        <v>0</v>
      </c>
      <c r="I7" s="1820"/>
      <c r="J7" s="354">
        <f>SUMIF(65:65,YEAR(I7)&amp;"-"&amp;INT((MONTH(I7)+2)/3),66:66)</f>
        <v>0</v>
      </c>
      <c r="K7" s="38"/>
      <c r="L7" s="2486"/>
      <c r="M7" s="2437"/>
      <c r="N7" s="2437"/>
      <c r="O7" s="2437"/>
      <c r="P7" s="3480" t="s">
        <v>1672</v>
      </c>
      <c r="Q7" s="3482"/>
      <c r="R7" s="663" t="s">
        <v>14</v>
      </c>
      <c r="S7" s="664">
        <f t="shared" ref="S7:S15" si="0">F7</f>
        <v>0</v>
      </c>
      <c r="T7" s="663" t="s">
        <v>14</v>
      </c>
      <c r="U7" s="664">
        <f t="shared" ref="U7:U15" si="1">H7</f>
        <v>0</v>
      </c>
      <c r="V7" s="663" t="s">
        <v>14</v>
      </c>
      <c r="W7" s="664">
        <f t="shared" ref="W7:W15" si="2">J7</f>
        <v>0</v>
      </c>
      <c r="X7" s="665"/>
      <c r="Y7" s="3480" t="s">
        <v>1672</v>
      </c>
      <c r="Z7" s="3481"/>
      <c r="AA7" s="50" t="e">
        <f>D7/F7</f>
        <v>#DIV/0!</v>
      </c>
      <c r="AB7" s="50" t="e">
        <f>D7/H7</f>
        <v>#DIV/0!</v>
      </c>
      <c r="AC7" s="50" t="e">
        <f>D7/J7</f>
        <v>#DIV/0!</v>
      </c>
    </row>
    <row r="8" spans="1:29" s="101" customFormat="1" ht="15.75" thickBot="1">
      <c r="A8" s="351" t="s">
        <v>1673</v>
      </c>
      <c r="B8" s="352"/>
      <c r="C8" s="357" t="s">
        <v>1674</v>
      </c>
      <c r="D8" s="354">
        <v>100</v>
      </c>
      <c r="E8" s="357"/>
      <c r="F8" s="356">
        <f>SUMIF(68:68,E8,69:69)-SUMIF(68:68,C8,69:69)+100</f>
        <v>0</v>
      </c>
      <c r="G8" s="357"/>
      <c r="H8" s="354">
        <f>SUMIF(68:68,G8,69:69)-SUMIF(68:68,C8,69:69)+100</f>
        <v>0</v>
      </c>
      <c r="I8" s="357"/>
      <c r="J8" s="354">
        <f>SUMIF(68:68,I8,69:69)-SUMIF(68:68,C8,69:69)+100</f>
        <v>0</v>
      </c>
      <c r="K8" s="38"/>
      <c r="L8" s="2486"/>
      <c r="M8" s="2437"/>
      <c r="N8" s="2437"/>
      <c r="O8" s="2437"/>
      <c r="P8" s="3480" t="s">
        <v>1675</v>
      </c>
      <c r="Q8" s="3481"/>
      <c r="R8" s="663" t="s">
        <v>14</v>
      </c>
      <c r="S8" s="664">
        <f t="shared" si="0"/>
        <v>0</v>
      </c>
      <c r="T8" s="663" t="s">
        <v>14</v>
      </c>
      <c r="U8" s="664">
        <f t="shared" si="1"/>
        <v>0</v>
      </c>
      <c r="V8" s="663" t="s">
        <v>14</v>
      </c>
      <c r="W8" s="664">
        <f t="shared" si="2"/>
        <v>0</v>
      </c>
      <c r="X8" s="665"/>
      <c r="Y8" s="3480" t="s">
        <v>1675</v>
      </c>
      <c r="Z8" s="3481"/>
      <c r="AA8" s="50" t="e">
        <f t="shared" ref="AA8:AA40" si="3">D8/F8</f>
        <v>#DIV/0!</v>
      </c>
      <c r="AB8" s="50" t="e">
        <f t="shared" ref="AB8:AB40" si="4">D8/H8</f>
        <v>#DIV/0!</v>
      </c>
      <c r="AC8" s="50" t="e">
        <f t="shared" ref="AC8:AC40" si="5">D8/J8</f>
        <v>#DIV/0!</v>
      </c>
    </row>
    <row r="9" spans="1:29" s="101" customFormat="1">
      <c r="A9" s="358" t="s">
        <v>1676</v>
      </c>
      <c r="B9" s="60" t="s">
        <v>1677</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452" t="s">
        <v>1678</v>
      </c>
      <c r="Q9" s="529" t="str">
        <f t="shared" ref="Q9:Q15" si="6">B9</f>
        <v>用途</v>
      </c>
      <c r="R9" s="663" t="s">
        <v>14</v>
      </c>
      <c r="S9" s="664">
        <f t="shared" si="0"/>
        <v>100</v>
      </c>
      <c r="T9" s="663" t="s">
        <v>14</v>
      </c>
      <c r="U9" s="664">
        <f t="shared" si="1"/>
        <v>100</v>
      </c>
      <c r="V9" s="663" t="s">
        <v>14</v>
      </c>
      <c r="W9" s="664">
        <f t="shared" si="2"/>
        <v>100</v>
      </c>
      <c r="X9" s="665"/>
      <c r="Y9" s="3328" t="s">
        <v>1679</v>
      </c>
      <c r="Z9" s="50" t="str">
        <f t="shared" ref="Z9:Z15" si="7">Q9</f>
        <v>用途</v>
      </c>
      <c r="AA9" s="50">
        <f t="shared" si="3"/>
        <v>1</v>
      </c>
      <c r="AB9" s="50">
        <f t="shared" si="4"/>
        <v>1</v>
      </c>
      <c r="AC9" s="50">
        <f t="shared" si="5"/>
        <v>1</v>
      </c>
    </row>
    <row r="10" spans="1:29" s="365" customFormat="1" ht="27">
      <c r="A10" s="362"/>
      <c r="B10" s="363" t="s">
        <v>1680</v>
      </c>
      <c r="C10" s="370"/>
      <c r="D10" s="118">
        <v>100</v>
      </c>
      <c r="E10" s="370"/>
      <c r="F10" s="118">
        <f>ROUND(100/'数据-取费表'!G16,0)</f>
        <v>104</v>
      </c>
      <c r="G10" s="370"/>
      <c r="H10" s="118">
        <f>ROUND(100/'数据-取费表'!G16,0)</f>
        <v>104</v>
      </c>
      <c r="I10" s="370"/>
      <c r="J10" s="118">
        <f>ROUND(100/'数据-取费表'!G16,0)</f>
        <v>104</v>
      </c>
      <c r="K10" s="591"/>
      <c r="L10" s="2487"/>
      <c r="M10" s="2488"/>
      <c r="N10" s="2488"/>
      <c r="O10" s="2539"/>
      <c r="P10" s="3452"/>
      <c r="Q10" s="529" t="str">
        <f t="shared" si="6"/>
        <v>土地使用年限（年）</v>
      </c>
      <c r="R10" s="663" t="s">
        <v>14</v>
      </c>
      <c r="S10" s="664">
        <f t="shared" si="0"/>
        <v>104</v>
      </c>
      <c r="T10" s="663" t="s">
        <v>14</v>
      </c>
      <c r="U10" s="664">
        <f t="shared" si="1"/>
        <v>104</v>
      </c>
      <c r="V10" s="663" t="s">
        <v>14</v>
      </c>
      <c r="W10" s="664">
        <f t="shared" si="2"/>
        <v>104</v>
      </c>
      <c r="X10" s="665"/>
      <c r="Y10" s="3328"/>
      <c r="Z10" s="50" t="str">
        <f t="shared" si="7"/>
        <v>土地使用年限（年）</v>
      </c>
      <c r="AA10" s="50">
        <f t="shared" si="3"/>
        <v>0.96153846153846156</v>
      </c>
      <c r="AB10" s="50">
        <f t="shared" si="4"/>
        <v>0.96153846153846156</v>
      </c>
      <c r="AC10" s="50">
        <f t="shared" si="5"/>
        <v>0.96153846153846156</v>
      </c>
    </row>
    <row r="11" spans="1:29" ht="15">
      <c r="A11" s="366"/>
      <c r="B11" s="363" t="s">
        <v>1681</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452"/>
      <c r="Q11" s="529" t="str">
        <f t="shared" si="6"/>
        <v>容积率</v>
      </c>
      <c r="R11" s="663" t="s">
        <v>14</v>
      </c>
      <c r="S11" s="664" t="e">
        <f t="shared" si="0"/>
        <v>#N/A</v>
      </c>
      <c r="T11" s="663" t="s">
        <v>14</v>
      </c>
      <c r="U11" s="664" t="e">
        <f t="shared" si="1"/>
        <v>#N/A</v>
      </c>
      <c r="V11" s="663" t="s">
        <v>14</v>
      </c>
      <c r="W11" s="664" t="e">
        <f t="shared" si="2"/>
        <v>#N/A</v>
      </c>
      <c r="X11" s="665"/>
      <c r="Y11" s="3328"/>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7"/>
      <c r="N12" s="2437"/>
      <c r="O12" s="2538"/>
      <c r="P12" s="3452"/>
      <c r="Q12" s="529">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452"/>
      <c r="Q13" s="529">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15.75" thickBot="1">
      <c r="A14" s="374"/>
      <c r="B14" s="1747">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452"/>
      <c r="Q14" s="529">
        <f t="shared" si="6"/>
        <v>111</v>
      </c>
      <c r="R14" s="663" t="s">
        <v>14</v>
      </c>
      <c r="S14" s="664">
        <f t="shared" si="0"/>
        <v>100</v>
      </c>
      <c r="T14" s="663" t="s">
        <v>14</v>
      </c>
      <c r="U14" s="664">
        <f t="shared" si="1"/>
        <v>100</v>
      </c>
      <c r="V14" s="663" t="s">
        <v>14</v>
      </c>
      <c r="W14" s="664">
        <f t="shared" si="2"/>
        <v>100</v>
      </c>
      <c r="X14" s="665"/>
      <c r="Y14" s="3328"/>
      <c r="Z14" s="50">
        <f t="shared" si="7"/>
        <v>111</v>
      </c>
      <c r="AA14" s="50">
        <f t="shared" si="3"/>
        <v>1</v>
      </c>
      <c r="AB14" s="50">
        <f t="shared" si="4"/>
        <v>1</v>
      </c>
      <c r="AC14" s="50">
        <f t="shared" si="5"/>
        <v>1</v>
      </c>
    </row>
    <row r="15" spans="1:29" ht="57">
      <c r="A15" s="378" t="s">
        <v>1682</v>
      </c>
      <c r="B15" s="553" t="s">
        <v>1910</v>
      </c>
      <c r="C15" s="1817"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453" t="s">
        <v>1683</v>
      </c>
      <c r="Q15" s="1261" t="str">
        <f t="shared" si="6"/>
        <v>产业集聚程度</v>
      </c>
      <c r="R15" s="666" t="s">
        <v>14</v>
      </c>
      <c r="S15" s="667">
        <f t="shared" si="0"/>
        <v>100</v>
      </c>
      <c r="T15" s="666" t="s">
        <v>14</v>
      </c>
      <c r="U15" s="667">
        <f t="shared" si="1"/>
        <v>100</v>
      </c>
      <c r="V15" s="666" t="s">
        <v>14</v>
      </c>
      <c r="W15" s="667">
        <f t="shared" si="2"/>
        <v>100</v>
      </c>
      <c r="X15" s="1263"/>
      <c r="Y15" s="3453" t="s">
        <v>1683</v>
      </c>
      <c r="Z15" s="1262" t="str">
        <f t="shared" si="7"/>
        <v>产业集聚程度</v>
      </c>
      <c r="AA15" s="1262">
        <f t="shared" si="3"/>
        <v>1</v>
      </c>
      <c r="AB15" s="1262">
        <f t="shared" si="4"/>
        <v>1</v>
      </c>
      <c r="AC15" s="1262">
        <f t="shared" si="5"/>
        <v>1</v>
      </c>
    </row>
    <row r="16" spans="1:29" ht="15">
      <c r="A16" s="366"/>
      <c r="B16" s="554"/>
      <c r="C16" s="385"/>
      <c r="D16" s="386"/>
      <c r="E16" s="1756"/>
      <c r="F16" s="386"/>
      <c r="G16" s="1756"/>
      <c r="H16" s="388"/>
      <c r="I16" s="1756"/>
      <c r="J16" s="386"/>
      <c r="K16" s="591"/>
      <c r="L16" s="2490"/>
      <c r="M16" s="2485"/>
      <c r="N16" s="2485"/>
      <c r="O16" s="2540"/>
      <c r="P16" s="3454"/>
      <c r="Q16" s="1261"/>
      <c r="R16" s="666"/>
      <c r="S16" s="667"/>
      <c r="T16" s="666"/>
      <c r="U16" s="667"/>
      <c r="V16" s="666"/>
      <c r="W16" s="667"/>
      <c r="X16" s="1263"/>
      <c r="Y16" s="3454"/>
      <c r="Z16" s="1262"/>
      <c r="AA16" s="1262">
        <v>1</v>
      </c>
      <c r="AB16" s="1262">
        <v>1</v>
      </c>
      <c r="AC16" s="1262">
        <v>1</v>
      </c>
    </row>
    <row r="17" spans="1:29" ht="85.5">
      <c r="A17" s="366"/>
      <c r="B17" s="555" t="s">
        <v>1825</v>
      </c>
      <c r="C17" s="1752"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454"/>
      <c r="Q17" s="1261" t="str">
        <f>B17</f>
        <v>交通便捷度</v>
      </c>
      <c r="R17" s="666" t="s">
        <v>14</v>
      </c>
      <c r="S17" s="667">
        <f>F17</f>
        <v>100</v>
      </c>
      <c r="T17" s="666" t="s">
        <v>14</v>
      </c>
      <c r="U17" s="667">
        <f>H17</f>
        <v>100</v>
      </c>
      <c r="V17" s="666" t="s">
        <v>14</v>
      </c>
      <c r="W17" s="667">
        <f>J17</f>
        <v>100</v>
      </c>
      <c r="X17" s="1263"/>
      <c r="Y17" s="3454"/>
      <c r="Z17" s="1262" t="str">
        <f>Q17</f>
        <v>交通便捷度</v>
      </c>
      <c r="AA17" s="1262">
        <f t="shared" si="3"/>
        <v>1</v>
      </c>
      <c r="AB17" s="1262">
        <f t="shared" si="4"/>
        <v>1</v>
      </c>
      <c r="AC17" s="1262">
        <f t="shared" si="5"/>
        <v>1</v>
      </c>
    </row>
    <row r="18" spans="1:29" ht="15">
      <c r="A18" s="366"/>
      <c r="B18" s="400"/>
      <c r="C18" s="385"/>
      <c r="D18" s="386"/>
      <c r="E18" s="1750"/>
      <c r="F18" s="386"/>
      <c r="G18" s="1750"/>
      <c r="H18" s="386"/>
      <c r="I18" s="1749"/>
      <c r="J18" s="386"/>
      <c r="K18" s="591"/>
      <c r="L18" s="2490"/>
      <c r="M18" s="2485"/>
      <c r="N18" s="2485"/>
      <c r="O18" s="2540"/>
      <c r="P18" s="3454"/>
      <c r="Q18" s="1261"/>
      <c r="R18" s="666"/>
      <c r="S18" s="667"/>
      <c r="T18" s="666"/>
      <c r="U18" s="667"/>
      <c r="V18" s="666"/>
      <c r="W18" s="667"/>
      <c r="X18" s="1263"/>
      <c r="Y18" s="3454"/>
      <c r="Z18" s="1262"/>
      <c r="AA18" s="1262">
        <v>1</v>
      </c>
      <c r="AB18" s="1262">
        <v>1</v>
      </c>
      <c r="AC18" s="1262">
        <v>1</v>
      </c>
    </row>
    <row r="19" spans="1:29" ht="15">
      <c r="A19" s="366"/>
      <c r="B19" s="555" t="s">
        <v>1862</v>
      </c>
      <c r="C19" s="1752">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454"/>
      <c r="Q19" s="1261" t="str">
        <f t="shared" ref="Q19:Q33" si="8">B19</f>
        <v>区域土地利用方向</v>
      </c>
      <c r="R19" s="666" t="s">
        <v>14</v>
      </c>
      <c r="S19" s="667">
        <f>F19</f>
        <v>100</v>
      </c>
      <c r="T19" s="666" t="s">
        <v>14</v>
      </c>
      <c r="U19" s="667">
        <f>H19</f>
        <v>100</v>
      </c>
      <c r="V19" s="666" t="s">
        <v>14</v>
      </c>
      <c r="W19" s="667">
        <f>J19</f>
        <v>100</v>
      </c>
      <c r="X19" s="1263"/>
      <c r="Y19" s="3454"/>
      <c r="Z19" s="1262" t="str">
        <f>Q19</f>
        <v>区域土地利用方向</v>
      </c>
      <c r="AA19" s="1262">
        <f t="shared" si="3"/>
        <v>1</v>
      </c>
      <c r="AB19" s="1262">
        <f t="shared" si="4"/>
        <v>1</v>
      </c>
      <c r="AC19" s="1262">
        <f t="shared" si="5"/>
        <v>1</v>
      </c>
    </row>
    <row r="20" spans="1:29" ht="15">
      <c r="A20" s="347"/>
      <c r="B20" s="400"/>
      <c r="C20" s="385"/>
      <c r="D20" s="386"/>
      <c r="E20" s="1750"/>
      <c r="F20" s="386"/>
      <c r="G20" s="1750"/>
      <c r="H20" s="386"/>
      <c r="I20" s="1750"/>
      <c r="J20" s="386"/>
      <c r="K20" s="696"/>
      <c r="L20" s="2490"/>
      <c r="M20" s="2485"/>
      <c r="N20" s="2485"/>
      <c r="O20" s="2540"/>
      <c r="P20" s="3454"/>
      <c r="Q20" s="1261"/>
      <c r="R20" s="666"/>
      <c r="S20" s="667"/>
      <c r="T20" s="666"/>
      <c r="U20" s="667"/>
      <c r="V20" s="666"/>
      <c r="W20" s="667"/>
      <c r="X20" s="1263"/>
      <c r="Y20" s="3454"/>
      <c r="Z20" s="1262"/>
      <c r="AA20" s="1262"/>
      <c r="AB20" s="1262"/>
      <c r="AC20" s="1262"/>
    </row>
    <row r="21" spans="1:29" ht="71.25">
      <c r="A21" s="347"/>
      <c r="B21" s="555" t="s">
        <v>1911</v>
      </c>
      <c r="C21" s="1752"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454"/>
      <c r="Q21" s="1261" t="str">
        <f t="shared" si="8"/>
        <v>环境状况</v>
      </c>
      <c r="R21" s="666" t="s">
        <v>14</v>
      </c>
      <c r="S21" s="667">
        <f>F21</f>
        <v>100</v>
      </c>
      <c r="T21" s="666" t="s">
        <v>14</v>
      </c>
      <c r="U21" s="667">
        <f>H21</f>
        <v>100</v>
      </c>
      <c r="V21" s="666" t="s">
        <v>14</v>
      </c>
      <c r="W21" s="667">
        <f>J21</f>
        <v>100</v>
      </c>
      <c r="X21" s="1263"/>
      <c r="Y21" s="3454"/>
      <c r="Z21" s="1262" t="str">
        <f>Q21</f>
        <v>环境状况</v>
      </c>
      <c r="AA21" s="1262">
        <f t="shared" si="3"/>
        <v>1</v>
      </c>
      <c r="AB21" s="1262">
        <f t="shared" si="4"/>
        <v>1</v>
      </c>
      <c r="AC21" s="1262">
        <f t="shared" si="5"/>
        <v>1</v>
      </c>
    </row>
    <row r="22" spans="1:29" ht="15">
      <c r="A22" s="347"/>
      <c r="B22" s="400"/>
      <c r="C22" s="385"/>
      <c r="D22" s="386"/>
      <c r="E22" s="1756"/>
      <c r="F22" s="386"/>
      <c r="G22" s="1756"/>
      <c r="H22" s="386"/>
      <c r="I22" s="385"/>
      <c r="J22" s="386"/>
      <c r="K22" s="591"/>
      <c r="L22" s="2490"/>
      <c r="M22" s="2485"/>
      <c r="N22" s="2485"/>
      <c r="O22" s="2540"/>
      <c r="P22" s="3454"/>
      <c r="Q22" s="1261"/>
      <c r="R22" s="666"/>
      <c r="S22" s="667"/>
      <c r="T22" s="666"/>
      <c r="U22" s="667"/>
      <c r="V22" s="666"/>
      <c r="W22" s="667"/>
      <c r="X22" s="1263"/>
      <c r="Y22" s="3454"/>
      <c r="Z22" s="1262"/>
      <c r="AA22" s="1262">
        <v>1</v>
      </c>
      <c r="AB22" s="1262">
        <v>1</v>
      </c>
      <c r="AC22" s="1262">
        <v>1</v>
      </c>
    </row>
    <row r="23" spans="1:29" s="101" customFormat="1" ht="42.75">
      <c r="A23" s="442"/>
      <c r="B23" s="556" t="s">
        <v>1770</v>
      </c>
      <c r="C23" s="1752"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6"/>
      <c r="M23" s="2437"/>
      <c r="N23" s="2437"/>
      <c r="O23" s="2538"/>
      <c r="P23" s="3454"/>
      <c r="Q23" s="529" t="str">
        <f t="shared" si="8"/>
        <v>公共配套设施</v>
      </c>
      <c r="R23" s="663" t="s">
        <v>14</v>
      </c>
      <c r="S23" s="664">
        <f>F23</f>
        <v>100</v>
      </c>
      <c r="T23" s="663" t="s">
        <v>14</v>
      </c>
      <c r="U23" s="664">
        <f>H23</f>
        <v>100</v>
      </c>
      <c r="V23" s="663" t="s">
        <v>14</v>
      </c>
      <c r="W23" s="664">
        <f>J23</f>
        <v>100</v>
      </c>
      <c r="X23" s="665"/>
      <c r="Y23" s="3454"/>
      <c r="Z23" s="50" t="str">
        <f>Q23</f>
        <v>公共配套设施</v>
      </c>
      <c r="AA23" s="1262">
        <f>D23/F23</f>
        <v>1</v>
      </c>
      <c r="AB23" s="1262">
        <f>D23/H23</f>
        <v>1</v>
      </c>
      <c r="AC23" s="1262">
        <f>D23/J23</f>
        <v>1</v>
      </c>
    </row>
    <row r="24" spans="1:29" s="101" customFormat="1" ht="15">
      <c r="A24" s="442"/>
      <c r="B24" s="400"/>
      <c r="C24" s="1824"/>
      <c r="D24" s="386"/>
      <c r="E24" s="1756"/>
      <c r="F24" s="386"/>
      <c r="G24" s="1756"/>
      <c r="H24" s="386"/>
      <c r="I24" s="385"/>
      <c r="J24" s="386"/>
      <c r="K24" s="591"/>
      <c r="L24" s="2486"/>
      <c r="M24" s="2437"/>
      <c r="N24" s="2437"/>
      <c r="O24" s="2538"/>
      <c r="P24" s="3454"/>
      <c r="Q24" s="529"/>
      <c r="R24" s="663"/>
      <c r="S24" s="664"/>
      <c r="T24" s="663"/>
      <c r="U24" s="664"/>
      <c r="V24" s="663"/>
      <c r="W24" s="664"/>
      <c r="X24" s="665"/>
      <c r="Y24" s="3454"/>
      <c r="Z24" s="50"/>
      <c r="AA24" s="50">
        <v>1</v>
      </c>
      <c r="AB24" s="50">
        <v>1</v>
      </c>
      <c r="AC24" s="50">
        <v>1</v>
      </c>
    </row>
    <row r="25" spans="1:29" s="101" customFormat="1" ht="28.5">
      <c r="A25" s="442"/>
      <c r="B25" s="556" t="s">
        <v>1771</v>
      </c>
      <c r="C25" s="1752"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6"/>
      <c r="M25" s="2437"/>
      <c r="N25" s="2437"/>
      <c r="O25" s="2538"/>
      <c r="P25" s="3454"/>
      <c r="Q25" s="529" t="str">
        <f t="shared" ref="Q25" si="9">B25</f>
        <v>基础设施水平</v>
      </c>
      <c r="R25" s="663" t="s">
        <v>14</v>
      </c>
      <c r="S25" s="664">
        <f>F25</f>
        <v>100</v>
      </c>
      <c r="T25" s="663" t="s">
        <v>14</v>
      </c>
      <c r="U25" s="664">
        <f>H25</f>
        <v>100</v>
      </c>
      <c r="V25" s="663" t="s">
        <v>14</v>
      </c>
      <c r="W25" s="664">
        <f>J25</f>
        <v>100</v>
      </c>
      <c r="X25" s="665"/>
      <c r="Y25" s="3454"/>
      <c r="Z25" s="50" t="str">
        <f>Q25</f>
        <v>基础设施水平</v>
      </c>
      <c r="AA25" s="1262">
        <f>D25/F25</f>
        <v>1</v>
      </c>
      <c r="AB25" s="1262">
        <f>D25/H25</f>
        <v>1</v>
      </c>
      <c r="AC25" s="1262">
        <f>D25/J25</f>
        <v>1</v>
      </c>
    </row>
    <row r="26" spans="1:29" s="101" customFormat="1" ht="15">
      <c r="A26" s="442"/>
      <c r="B26" s="400"/>
      <c r="C26" s="1824"/>
      <c r="D26" s="386"/>
      <c r="E26" s="1825"/>
      <c r="F26" s="386"/>
      <c r="G26" s="1825"/>
      <c r="H26" s="386"/>
      <c r="I26" s="1825"/>
      <c r="J26" s="386"/>
      <c r="K26" s="591"/>
      <c r="L26" s="2486"/>
      <c r="M26" s="2437"/>
      <c r="N26" s="2437"/>
      <c r="O26" s="2538"/>
      <c r="P26" s="3454"/>
      <c r="Q26" s="529"/>
      <c r="R26" s="663"/>
      <c r="S26" s="664"/>
      <c r="T26" s="663"/>
      <c r="U26" s="664"/>
      <c r="V26" s="663"/>
      <c r="W26" s="664"/>
      <c r="X26" s="665"/>
      <c r="Y26" s="3454"/>
      <c r="Z26" s="50"/>
      <c r="AA26" s="50">
        <v>1</v>
      </c>
      <c r="AB26" s="50">
        <v>1</v>
      </c>
      <c r="AC26" s="50">
        <v>1</v>
      </c>
    </row>
    <row r="27" spans="1:29" ht="15">
      <c r="A27" s="366"/>
      <c r="B27" s="400" t="s">
        <v>1772</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454"/>
      <c r="Q27" s="1261" t="str">
        <f t="shared" si="8"/>
        <v>临街状况</v>
      </c>
      <c r="R27" s="666" t="s">
        <v>14</v>
      </c>
      <c r="S27" s="667">
        <f t="shared" ref="S27:S40" si="10">F27</f>
        <v>100</v>
      </c>
      <c r="T27" s="666" t="s">
        <v>14</v>
      </c>
      <c r="U27" s="667">
        <f t="shared" ref="U27:U40" si="11">H27</f>
        <v>100</v>
      </c>
      <c r="V27" s="666" t="s">
        <v>14</v>
      </c>
      <c r="W27" s="667">
        <f t="shared" ref="W27:W40" si="12">J27</f>
        <v>100</v>
      </c>
      <c r="X27" s="1263"/>
      <c r="Y27" s="3454"/>
      <c r="Z27" s="1262" t="str">
        <f t="shared" ref="Z27:Z40" si="13">Q27</f>
        <v>临街状况</v>
      </c>
      <c r="AA27" s="1262">
        <f t="shared" si="3"/>
        <v>1</v>
      </c>
      <c r="AB27" s="1262">
        <f t="shared" si="4"/>
        <v>1</v>
      </c>
      <c r="AC27" s="1262">
        <f t="shared" si="5"/>
        <v>1</v>
      </c>
    </row>
    <row r="28" spans="1:29" ht="27">
      <c r="A28" s="366"/>
      <c r="B28" s="556" t="s">
        <v>1807</v>
      </c>
      <c r="C28" s="1836">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454"/>
      <c r="Q28" s="1261" t="str">
        <f t="shared" si="8"/>
        <v>毗邻道路的类型与等级</v>
      </c>
      <c r="R28" s="666" t="s">
        <v>14</v>
      </c>
      <c r="S28" s="667">
        <f t="shared" si="10"/>
        <v>100</v>
      </c>
      <c r="T28" s="666" t="s">
        <v>14</v>
      </c>
      <c r="U28" s="667">
        <f t="shared" si="11"/>
        <v>100</v>
      </c>
      <c r="V28" s="666" t="s">
        <v>14</v>
      </c>
      <c r="W28" s="667">
        <f t="shared" si="12"/>
        <v>100</v>
      </c>
      <c r="X28" s="1263"/>
      <c r="Y28" s="3454"/>
      <c r="Z28" s="1262" t="str">
        <f t="shared" si="13"/>
        <v>毗邻道路的类型与等级</v>
      </c>
      <c r="AA28" s="1262">
        <f t="shared" si="3"/>
        <v>1</v>
      </c>
      <c r="AB28" s="1262">
        <f t="shared" si="4"/>
        <v>1</v>
      </c>
      <c r="AC28" s="1262">
        <f t="shared" si="5"/>
        <v>1</v>
      </c>
    </row>
    <row r="29" spans="1:29" ht="15">
      <c r="A29" s="366"/>
      <c r="B29" s="400"/>
      <c r="C29" s="385"/>
      <c r="D29" s="386"/>
      <c r="E29" s="1756"/>
      <c r="F29" s="386"/>
      <c r="G29" s="1756"/>
      <c r="H29" s="386"/>
      <c r="I29" s="1756"/>
      <c r="J29" s="386"/>
      <c r="K29" s="538"/>
      <c r="L29" s="2490"/>
      <c r="M29" s="2485"/>
      <c r="N29" s="2485"/>
      <c r="O29" s="2540"/>
      <c r="P29" s="3454"/>
      <c r="Q29" s="1261"/>
      <c r="R29" s="666"/>
      <c r="S29" s="667"/>
      <c r="T29" s="666"/>
      <c r="U29" s="667"/>
      <c r="V29" s="666"/>
      <c r="W29" s="667"/>
      <c r="X29" s="1263"/>
      <c r="Y29" s="3454"/>
      <c r="Z29" s="1262"/>
      <c r="AA29" s="1262">
        <v>1</v>
      </c>
      <c r="AB29" s="1262">
        <v>1</v>
      </c>
      <c r="AC29" s="1262">
        <v>1</v>
      </c>
    </row>
    <row r="30" spans="1:29" ht="15">
      <c r="A30" s="366"/>
      <c r="B30" s="118" t="s">
        <v>1864</v>
      </c>
      <c r="C30" s="1067">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454"/>
      <c r="Q30" s="1261" t="str">
        <f t="shared" si="8"/>
        <v>土地级别</v>
      </c>
      <c r="R30" s="666" t="s">
        <v>14</v>
      </c>
      <c r="S30" s="667">
        <f t="shared" si="10"/>
        <v>100</v>
      </c>
      <c r="T30" s="666" t="s">
        <v>14</v>
      </c>
      <c r="U30" s="667">
        <f t="shared" si="11"/>
        <v>100</v>
      </c>
      <c r="V30" s="666" t="s">
        <v>14</v>
      </c>
      <c r="W30" s="667">
        <f t="shared" si="12"/>
        <v>100</v>
      </c>
      <c r="X30" s="1263"/>
      <c r="Y30" s="3454"/>
      <c r="Z30" s="1262" t="str">
        <f t="shared" si="13"/>
        <v>土地级别</v>
      </c>
      <c r="AA30" s="1262">
        <f t="shared" si="3"/>
        <v>1</v>
      </c>
      <c r="AB30" s="1262">
        <f t="shared" si="4"/>
        <v>1</v>
      </c>
      <c r="AC30" s="1262">
        <f t="shared" si="5"/>
        <v>1</v>
      </c>
    </row>
    <row r="31" spans="1:29" ht="15">
      <c r="A31" s="347"/>
      <c r="B31" s="1097">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454"/>
      <c r="Q31" s="1261">
        <f t="shared" si="8"/>
        <v>111</v>
      </c>
      <c r="R31" s="666" t="s">
        <v>14</v>
      </c>
      <c r="S31" s="667">
        <f t="shared" si="10"/>
        <v>100</v>
      </c>
      <c r="T31" s="666" t="s">
        <v>14</v>
      </c>
      <c r="U31" s="667">
        <f t="shared" si="11"/>
        <v>100</v>
      </c>
      <c r="V31" s="666" t="s">
        <v>14</v>
      </c>
      <c r="W31" s="667">
        <f t="shared" si="12"/>
        <v>100</v>
      </c>
      <c r="X31" s="1263"/>
      <c r="Y31" s="3454"/>
      <c r="Z31" s="1262">
        <f t="shared" si="13"/>
        <v>111</v>
      </c>
      <c r="AA31" s="1262">
        <f t="shared" si="3"/>
        <v>1</v>
      </c>
      <c r="AB31" s="1262">
        <f t="shared" si="4"/>
        <v>1</v>
      </c>
      <c r="AC31" s="1262">
        <f t="shared" si="5"/>
        <v>1</v>
      </c>
    </row>
    <row r="32" spans="1:29" ht="15">
      <c r="A32" s="594"/>
      <c r="B32" s="1837">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55" t="s">
        <v>1688</v>
      </c>
      <c r="Q32" s="1261">
        <f t="shared" si="8"/>
        <v>111</v>
      </c>
      <c r="R32" s="666" t="s">
        <v>14</v>
      </c>
      <c r="S32" s="667">
        <f t="shared" si="10"/>
        <v>100</v>
      </c>
      <c r="T32" s="666" t="s">
        <v>14</v>
      </c>
      <c r="U32" s="667">
        <f t="shared" si="11"/>
        <v>100</v>
      </c>
      <c r="V32" s="666" t="s">
        <v>14</v>
      </c>
      <c r="W32" s="667">
        <f t="shared" si="12"/>
        <v>100</v>
      </c>
      <c r="X32" s="1263"/>
      <c r="Y32" s="3456" t="s">
        <v>1688</v>
      </c>
      <c r="Z32" s="1262">
        <f t="shared" si="13"/>
        <v>111</v>
      </c>
      <c r="AA32" s="1262">
        <f t="shared" si="3"/>
        <v>1</v>
      </c>
      <c r="AB32" s="1262">
        <f t="shared" si="4"/>
        <v>1</v>
      </c>
      <c r="AC32" s="1262">
        <f t="shared" si="5"/>
        <v>1</v>
      </c>
    </row>
    <row r="33" spans="1:31" s="407" customFormat="1" ht="15.75" thickBot="1">
      <c r="A33" s="595"/>
      <c r="B33" s="1838">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456"/>
      <c r="Q33" s="1261">
        <f t="shared" si="8"/>
        <v>111</v>
      </c>
      <c r="R33" s="668" t="s">
        <v>14</v>
      </c>
      <c r="S33" s="669">
        <f t="shared" si="10"/>
        <v>100</v>
      </c>
      <c r="T33" s="668" t="s">
        <v>14</v>
      </c>
      <c r="U33" s="669">
        <f t="shared" si="11"/>
        <v>100</v>
      </c>
      <c r="V33" s="668" t="s">
        <v>14</v>
      </c>
      <c r="W33" s="669">
        <f t="shared" si="12"/>
        <v>100</v>
      </c>
      <c r="X33" s="670"/>
      <c r="Y33" s="3456"/>
      <c r="Z33" s="671">
        <f t="shared" si="13"/>
        <v>111</v>
      </c>
      <c r="AA33" s="1262">
        <f t="shared" si="3"/>
        <v>1</v>
      </c>
      <c r="AB33" s="1262">
        <f t="shared" si="4"/>
        <v>1</v>
      </c>
      <c r="AC33" s="1262">
        <f t="shared" si="5"/>
        <v>1</v>
      </c>
    </row>
    <row r="34" spans="1:31" ht="15">
      <c r="A34" s="378" t="s">
        <v>1686</v>
      </c>
      <c r="B34" s="394" t="s">
        <v>1865</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456"/>
      <c r="Q34" s="1261" t="str">
        <f>B34</f>
        <v>宗地面积</v>
      </c>
      <c r="R34" s="666" t="s">
        <v>14</v>
      </c>
      <c r="S34" s="667" t="e">
        <f t="shared" si="10"/>
        <v>#N/A</v>
      </c>
      <c r="T34" s="666" t="s">
        <v>14</v>
      </c>
      <c r="U34" s="667" t="e">
        <f t="shared" si="11"/>
        <v>#N/A</v>
      </c>
      <c r="V34" s="666" t="s">
        <v>14</v>
      </c>
      <c r="W34" s="667" t="e">
        <f t="shared" si="12"/>
        <v>#N/A</v>
      </c>
      <c r="X34" s="1263"/>
      <c r="Y34" s="3456"/>
      <c r="Z34" s="1262" t="str">
        <f t="shared" si="13"/>
        <v>宗地面积</v>
      </c>
      <c r="AA34" s="1262" t="e">
        <f t="shared" si="3"/>
        <v>#N/A</v>
      </c>
      <c r="AB34" s="1262" t="e">
        <f t="shared" si="4"/>
        <v>#N/A</v>
      </c>
      <c r="AC34" s="1262" t="e">
        <f t="shared" si="5"/>
        <v>#N/A</v>
      </c>
    </row>
    <row r="35" spans="1:31" ht="15">
      <c r="A35" s="408"/>
      <c r="B35" s="363" t="s">
        <v>1866</v>
      </c>
      <c r="C35" s="1758"/>
      <c r="D35" s="373">
        <v>100</v>
      </c>
      <c r="E35" s="1758"/>
      <c r="F35" s="373">
        <f>SUMIF(110:110,E35,111:111)-SUMIF(110:110,C35,111:111)+100</f>
        <v>100</v>
      </c>
      <c r="G35" s="1758"/>
      <c r="H35" s="373">
        <f>SUMIF(110:110,G35,111:111)-SUMIF(110:110,C35,111:111)+100</f>
        <v>100</v>
      </c>
      <c r="I35" s="1758"/>
      <c r="J35" s="373">
        <f>SUMIF(110:110,I35,111:111)-SUMIF(110:110,C35,111:111)+100</f>
        <v>100</v>
      </c>
      <c r="K35" s="537"/>
      <c r="L35" s="2490"/>
      <c r="M35" s="2485"/>
      <c r="N35" s="2485"/>
      <c r="O35" s="2540"/>
      <c r="P35" s="3456"/>
      <c r="Q35" s="1261" t="str">
        <f t="shared" ref="Q35:Q40" si="14">B35</f>
        <v>宗地形状</v>
      </c>
      <c r="R35" s="666" t="s">
        <v>14</v>
      </c>
      <c r="S35" s="667">
        <f t="shared" si="10"/>
        <v>100</v>
      </c>
      <c r="T35" s="666" t="s">
        <v>14</v>
      </c>
      <c r="U35" s="667">
        <f t="shared" si="11"/>
        <v>100</v>
      </c>
      <c r="V35" s="666" t="s">
        <v>14</v>
      </c>
      <c r="W35" s="667">
        <f t="shared" si="12"/>
        <v>100</v>
      </c>
      <c r="X35" s="1263"/>
      <c r="Y35" s="3456"/>
      <c r="Z35" s="1262" t="str">
        <f t="shared" si="13"/>
        <v>宗地形状</v>
      </c>
      <c r="AA35" s="1262">
        <f t="shared" si="3"/>
        <v>1</v>
      </c>
      <c r="AB35" s="1262">
        <f t="shared" si="4"/>
        <v>1</v>
      </c>
      <c r="AC35" s="1262">
        <f t="shared" si="5"/>
        <v>1</v>
      </c>
    </row>
    <row r="36" spans="1:31" s="101" customFormat="1" ht="15">
      <c r="A36" s="409"/>
      <c r="B36" s="363" t="s">
        <v>1868</v>
      </c>
      <c r="C36" s="1826"/>
      <c r="D36" s="118">
        <v>100</v>
      </c>
      <c r="E36" s="1826"/>
      <c r="F36" s="373">
        <f>SUMIF(112:112,E36,113:113)-SUMIF(112:112,C36,113:113)+100</f>
        <v>100</v>
      </c>
      <c r="G36" s="1826"/>
      <c r="H36" s="373">
        <f>SUMIF(112:112,G36,113:113)-SUMIF(112:112,C36,113:113)+100</f>
        <v>100</v>
      </c>
      <c r="I36" s="1826"/>
      <c r="J36" s="373">
        <f>SUMIF(112:112,I36,113:113)-SUMIF(112:112,C36,113:113)+100</f>
        <v>100</v>
      </c>
      <c r="K36" s="537"/>
      <c r="L36" s="2486"/>
      <c r="M36" s="2437"/>
      <c r="N36" s="2437"/>
      <c r="O36" s="2538"/>
      <c r="P36" s="3456"/>
      <c r="Q36" s="1261" t="str">
        <f t="shared" si="14"/>
        <v>宗地开发程度</v>
      </c>
      <c r="R36" s="663" t="s">
        <v>14</v>
      </c>
      <c r="S36" s="664">
        <f t="shared" si="10"/>
        <v>100</v>
      </c>
      <c r="T36" s="663" t="s">
        <v>14</v>
      </c>
      <c r="U36" s="664">
        <f t="shared" si="11"/>
        <v>100</v>
      </c>
      <c r="V36" s="663" t="s">
        <v>14</v>
      </c>
      <c r="W36" s="664">
        <f t="shared" si="12"/>
        <v>100</v>
      </c>
      <c r="X36" s="665"/>
      <c r="Y36" s="3456"/>
      <c r="Z36" s="50" t="str">
        <f t="shared" si="13"/>
        <v>宗地开发程度</v>
      </c>
      <c r="AA36" s="50">
        <f t="shared" si="3"/>
        <v>1</v>
      </c>
      <c r="AB36" s="50">
        <f t="shared" si="4"/>
        <v>1</v>
      </c>
      <c r="AC36" s="50">
        <f t="shared" si="5"/>
        <v>1</v>
      </c>
    </row>
    <row r="37" spans="1:31" ht="15">
      <c r="A37" s="408"/>
      <c r="B37" s="363" t="s">
        <v>1869</v>
      </c>
      <c r="C37" s="1758"/>
      <c r="D37" s="373">
        <v>100</v>
      </c>
      <c r="E37" s="1758"/>
      <c r="F37" s="373">
        <f>SUMIF(114:114,E37,115:115)-SUMIF(114:114,C37,115:115)+100</f>
        <v>100</v>
      </c>
      <c r="G37" s="1758"/>
      <c r="H37" s="373">
        <f>SUMIF(114:114,G37,115:115)-SUMIF(114:114,C37,115:115)+100</f>
        <v>100</v>
      </c>
      <c r="I37" s="1758"/>
      <c r="J37" s="373">
        <f>SUMIF(114:114,I37,115:115)-SUMIF(114:114,C37,115:115)+100</f>
        <v>100</v>
      </c>
      <c r="K37" s="537"/>
      <c r="L37" s="2490"/>
      <c r="M37" s="2485"/>
      <c r="N37" s="2485"/>
      <c r="O37" s="2540"/>
      <c r="P37" s="3456" t="s">
        <v>1688</v>
      </c>
      <c r="Q37" s="1261" t="str">
        <f t="shared" si="14"/>
        <v>工程地质条件</v>
      </c>
      <c r="R37" s="666" t="s">
        <v>14</v>
      </c>
      <c r="S37" s="667">
        <f t="shared" si="10"/>
        <v>100</v>
      </c>
      <c r="T37" s="666" t="s">
        <v>14</v>
      </c>
      <c r="U37" s="667">
        <f t="shared" si="11"/>
        <v>100</v>
      </c>
      <c r="V37" s="666" t="s">
        <v>14</v>
      </c>
      <c r="W37" s="667">
        <f t="shared" si="12"/>
        <v>100</v>
      </c>
      <c r="X37" s="1263"/>
      <c r="Y37" s="3456" t="s">
        <v>1688</v>
      </c>
      <c r="Z37" s="1262" t="str">
        <f t="shared" si="13"/>
        <v>工程地质条件</v>
      </c>
      <c r="AA37" s="1262">
        <f t="shared" si="3"/>
        <v>1</v>
      </c>
      <c r="AB37" s="1262">
        <f t="shared" si="4"/>
        <v>1</v>
      </c>
      <c r="AC37" s="1262">
        <f t="shared" si="5"/>
        <v>1</v>
      </c>
    </row>
    <row r="38" spans="1:31" ht="15">
      <c r="A38" s="408"/>
      <c r="B38" s="1065">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456"/>
      <c r="Q38" s="1261">
        <f t="shared" si="14"/>
        <v>111</v>
      </c>
      <c r="R38" s="666" t="s">
        <v>14</v>
      </c>
      <c r="S38" s="667">
        <f t="shared" si="10"/>
        <v>100</v>
      </c>
      <c r="T38" s="666" t="s">
        <v>14</v>
      </c>
      <c r="U38" s="667">
        <f t="shared" si="11"/>
        <v>100</v>
      </c>
      <c r="V38" s="666" t="s">
        <v>14</v>
      </c>
      <c r="W38" s="667">
        <f t="shared" si="12"/>
        <v>100</v>
      </c>
      <c r="X38" s="1263"/>
      <c r="Y38" s="3456"/>
      <c r="Z38" s="1262">
        <f t="shared" si="13"/>
        <v>111</v>
      </c>
      <c r="AA38" s="1262">
        <f t="shared" si="3"/>
        <v>1</v>
      </c>
      <c r="AB38" s="1262">
        <f t="shared" si="4"/>
        <v>1</v>
      </c>
      <c r="AC38" s="1262">
        <f t="shared" si="5"/>
        <v>1</v>
      </c>
    </row>
    <row r="39" spans="1:31" ht="15">
      <c r="A39" s="408"/>
      <c r="B39" s="1065">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456"/>
      <c r="Q39" s="1261">
        <f t="shared" si="14"/>
        <v>111</v>
      </c>
      <c r="R39" s="666" t="s">
        <v>14</v>
      </c>
      <c r="S39" s="667">
        <f t="shared" si="10"/>
        <v>100</v>
      </c>
      <c r="T39" s="666" t="s">
        <v>14</v>
      </c>
      <c r="U39" s="667">
        <f t="shared" si="11"/>
        <v>100</v>
      </c>
      <c r="V39" s="666" t="s">
        <v>14</v>
      </c>
      <c r="W39" s="667">
        <f t="shared" si="12"/>
        <v>100</v>
      </c>
      <c r="X39" s="1263"/>
      <c r="Y39" s="3456"/>
      <c r="Z39" s="1262">
        <f t="shared" si="13"/>
        <v>111</v>
      </c>
      <c r="AA39" s="1262">
        <f t="shared" si="3"/>
        <v>1</v>
      </c>
      <c r="AB39" s="1262">
        <f t="shared" si="4"/>
        <v>1</v>
      </c>
      <c r="AC39" s="1262">
        <f t="shared" si="5"/>
        <v>1</v>
      </c>
    </row>
    <row r="40" spans="1:31" s="407" customFormat="1" ht="15.75" thickBot="1">
      <c r="A40" s="405"/>
      <c r="B40" s="1065">
        <v>111</v>
      </c>
      <c r="C40" s="1827"/>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456"/>
      <c r="Q40" s="1261">
        <f t="shared" si="14"/>
        <v>111</v>
      </c>
      <c r="R40" s="668" t="s">
        <v>14</v>
      </c>
      <c r="S40" s="669">
        <f t="shared" si="10"/>
        <v>100</v>
      </c>
      <c r="T40" s="668" t="s">
        <v>14</v>
      </c>
      <c r="U40" s="669">
        <f t="shared" si="11"/>
        <v>100</v>
      </c>
      <c r="V40" s="668" t="s">
        <v>14</v>
      </c>
      <c r="W40" s="669">
        <f t="shared" si="12"/>
        <v>100</v>
      </c>
      <c r="X40" s="670"/>
      <c r="Y40" s="3456"/>
      <c r="Z40" s="671">
        <f t="shared" si="13"/>
        <v>111</v>
      </c>
      <c r="AA40" s="1262">
        <f t="shared" si="3"/>
        <v>1</v>
      </c>
      <c r="AB40" s="1262">
        <f t="shared" si="4"/>
        <v>1</v>
      </c>
      <c r="AC40" s="1262">
        <f t="shared" si="5"/>
        <v>1</v>
      </c>
    </row>
    <row r="41" spans="1:31" ht="15">
      <c r="A41" s="415" t="s">
        <v>1836</v>
      </c>
      <c r="B41" s="1828" t="s">
        <v>1912</v>
      </c>
      <c r="C41" s="601" t="s">
        <v>0</v>
      </c>
      <c r="D41" s="417"/>
      <c r="E41" s="418"/>
      <c r="F41" s="419"/>
      <c r="G41" s="420"/>
      <c r="H41" s="421"/>
      <c r="I41" s="418"/>
      <c r="J41" s="421"/>
      <c r="K41" s="673"/>
      <c r="L41" s="2492"/>
      <c r="M41" s="2485"/>
      <c r="N41" s="2485"/>
      <c r="O41" s="2485"/>
      <c r="P41" s="3452" t="str">
        <f>A41</f>
        <v>成交单价</v>
      </c>
      <c r="Q41" s="3452"/>
      <c r="R41" s="3457">
        <f>E41</f>
        <v>0</v>
      </c>
      <c r="S41" s="3457"/>
      <c r="T41" s="3457">
        <f>G41</f>
        <v>0</v>
      </c>
      <c r="U41" s="3457"/>
      <c r="V41" s="3457">
        <f>I41</f>
        <v>0</v>
      </c>
      <c r="W41" s="3457"/>
      <c r="X41" s="384"/>
      <c r="Y41" s="672"/>
      <c r="Z41" s="384"/>
      <c r="AA41" s="384"/>
      <c r="AB41" s="384"/>
      <c r="AC41" s="384"/>
    </row>
    <row r="42" spans="1:31" ht="15.75" thickBot="1">
      <c r="A42" s="422" t="s">
        <v>1785</v>
      </c>
      <c r="B42" s="602"/>
      <c r="C42" s="425" t="e">
        <f>R43</f>
        <v>#DIV/0!</v>
      </c>
      <c r="D42" s="2139" t="s">
        <v>2128</v>
      </c>
      <c r="E42" s="425" t="e">
        <f>R42</f>
        <v>#DIV/0!</v>
      </c>
      <c r="F42" s="2140"/>
      <c r="G42" s="424" t="e">
        <f>T42</f>
        <v>#DIV/0!</v>
      </c>
      <c r="H42" s="2140"/>
      <c r="I42" s="425" t="e">
        <f>V42</f>
        <v>#DIV/0!</v>
      </c>
      <c r="J42" s="2140"/>
      <c r="K42" s="2142">
        <f>F42+H42+J42</f>
        <v>0</v>
      </c>
      <c r="L42" s="2492"/>
      <c r="M42" s="2485"/>
      <c r="N42" s="2485"/>
      <c r="O42" s="2485"/>
      <c r="P42" s="3452" t="str">
        <f>A42</f>
        <v>比较价值（元/平方米）</v>
      </c>
      <c r="Q42" s="3452"/>
      <c r="R42" s="3445" t="e">
        <f>ROUND(PRODUCT(R41,AA7:AA40),0)</f>
        <v>#DIV/0!</v>
      </c>
      <c r="S42" s="3445"/>
      <c r="T42" s="3445" t="e">
        <f>ROUND(PRODUCT(T41,AB7:AB40),0)</f>
        <v>#DIV/0!</v>
      </c>
      <c r="U42" s="3445"/>
      <c r="V42" s="3445" t="e">
        <f>ROUND(PRODUCT(V41,AC7:AC40),0)</f>
        <v>#DIV/0!</v>
      </c>
      <c r="W42" s="3445"/>
      <c r="X42" s="384"/>
      <c r="Y42" s="384"/>
      <c r="Z42" s="384"/>
      <c r="AA42" s="384"/>
      <c r="AB42" s="384"/>
      <c r="AC42" s="384"/>
    </row>
    <row r="43" spans="1:31" ht="15.75" thickBot="1">
      <c r="A43" s="426" t="s">
        <v>1786</v>
      </c>
      <c r="B43" s="427"/>
      <c r="C43" s="428" t="e">
        <f>R43</f>
        <v>#DIV/0!</v>
      </c>
      <c r="D43" s="428"/>
      <c r="E43" s="428"/>
      <c r="F43" s="428"/>
      <c r="G43" s="428"/>
      <c r="H43" s="428"/>
      <c r="I43" s="428"/>
      <c r="J43" s="428"/>
      <c r="K43" s="674"/>
      <c r="L43" s="2492"/>
      <c r="M43" s="2485"/>
      <c r="N43" s="2485"/>
      <c r="O43" s="2485"/>
      <c r="P43" s="3446" t="str">
        <f>A43</f>
        <v>估价对象XX用房的比较价值（楼面单价，元/平方米）</v>
      </c>
      <c r="Q43" s="3447"/>
      <c r="R43" s="3448" t="e">
        <f>ROUND(IF(D42="简单平均",AVERAGE(R42:W42),R42*F42+T42*H42+V42*J42),0)</f>
        <v>#DIV/0!</v>
      </c>
      <c r="S43" s="3448"/>
      <c r="T43" s="3448"/>
      <c r="U43" s="3448"/>
      <c r="V43" s="3448"/>
      <c r="W43" s="3448"/>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1787</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1788</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1789</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5"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3" t="s">
        <v>1872</v>
      </c>
      <c r="B50" s="604" t="s">
        <v>1873</v>
      </c>
      <c r="C50" s="1829" t="s">
        <v>1874</v>
      </c>
      <c r="D50" s="1830" t="s">
        <v>1875</v>
      </c>
      <c r="E50" s="605" t="s">
        <v>1876</v>
      </c>
      <c r="F50" s="606" t="s">
        <v>1877</v>
      </c>
      <c r="G50" s="3449" t="s">
        <v>1878</v>
      </c>
      <c r="H50" s="3450"/>
      <c r="I50" s="1262" t="s">
        <v>1913</v>
      </c>
      <c r="J50" s="1262">
        <f>项目基本情况!F35</f>
        <v>0</v>
      </c>
      <c r="K50" s="1832" t="s">
        <v>1880</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1881</v>
      </c>
      <c r="B51" s="608" t="e">
        <f>C43</f>
        <v>#DIV/0!</v>
      </c>
      <c r="C51" s="609">
        <v>1</v>
      </c>
      <c r="D51" s="888">
        <v>1</v>
      </c>
      <c r="E51" s="609">
        <f>'数据-汇总表'!E8+'数据-汇总表'!E9</f>
        <v>17801.5</v>
      </c>
      <c r="F51" s="610" t="e">
        <f t="shared" ref="F51:F60" si="15">ROUND(B51*E51/10000,0)</f>
        <v>#DIV/0!</v>
      </c>
      <c r="G51" s="3451"/>
      <c r="H51" s="3452"/>
      <c r="I51" s="725">
        <v>1</v>
      </c>
      <c r="J51" s="725">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1882</v>
      </c>
      <c r="B52" s="209" t="e">
        <f>ROUND($C$43*C52*D52,0)</f>
        <v>#DIV/0!</v>
      </c>
      <c r="C52" s="162">
        <f t="shared" ref="C52:C60" si="16">IF($C$50="北京市系数",I52,J52)</f>
        <v>0.6</v>
      </c>
      <c r="D52" s="889">
        <v>0.25</v>
      </c>
      <c r="E52" s="613"/>
      <c r="F52" s="610" t="e">
        <f t="shared" si="15"/>
        <v>#DIV/0!</v>
      </c>
      <c r="G52" s="2748" t="s">
        <v>1883</v>
      </c>
      <c r="H52" s="832" t="str">
        <f>项目基本情况!B37</f>
        <v>七级</v>
      </c>
      <c r="I52" s="725">
        <f>SUMIF(修正!A57:A68,H52,修正!B57:B68)</f>
        <v>0.6</v>
      </c>
      <c r="J52" s="726"/>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1884</v>
      </c>
      <c r="B53" s="209" t="e">
        <f t="shared" ref="B53:B60" si="17">ROUND($C$43*C53*D53,0)</f>
        <v>#DIV/0!</v>
      </c>
      <c r="C53" s="162">
        <f t="shared" si="16"/>
        <v>0.3</v>
      </c>
      <c r="D53" s="889">
        <v>0.25</v>
      </c>
      <c r="E53" s="613"/>
      <c r="F53" s="610" t="e">
        <f t="shared" si="15"/>
        <v>#DIV/0!</v>
      </c>
      <c r="G53" s="2749"/>
      <c r="H53" s="832" t="str">
        <f>项目基本情况!B37</f>
        <v>七级</v>
      </c>
      <c r="I53" s="725">
        <f>SUMIF(修正!A57:A68,H53,修正!C57:C68)</f>
        <v>0.3</v>
      </c>
      <c r="J53" s="726"/>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1885</v>
      </c>
      <c r="B54" s="209" t="e">
        <f t="shared" si="17"/>
        <v>#DIV/0!</v>
      </c>
      <c r="C54" s="162">
        <f t="shared" si="16"/>
        <v>0.25</v>
      </c>
      <c r="D54" s="889">
        <v>0.25</v>
      </c>
      <c r="E54" s="613"/>
      <c r="F54" s="610" t="e">
        <f t="shared" si="15"/>
        <v>#DIV/0!</v>
      </c>
      <c r="G54" s="2749"/>
      <c r="H54" s="832" t="str">
        <f>项目基本情况!B37</f>
        <v>七级</v>
      </c>
      <c r="I54" s="725">
        <f>SUMIF(修正!A57:A68,H54,修正!D57:D68)</f>
        <v>0.25</v>
      </c>
      <c r="J54" s="726"/>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89"/>
      <c r="E55" s="613"/>
      <c r="F55" s="610"/>
      <c r="G55" s="2750"/>
      <c r="H55" s="832"/>
      <c r="I55" s="725"/>
      <c r="J55" s="726"/>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1886</v>
      </c>
      <c r="B56" s="209" t="e">
        <f t="shared" si="17"/>
        <v>#DIV/0!</v>
      </c>
      <c r="C56" s="162">
        <f t="shared" si="16"/>
        <v>0.25</v>
      </c>
      <c r="D56" s="889">
        <v>0.25</v>
      </c>
      <c r="E56" s="208">
        <f>'数据-汇总表'!E11</f>
        <v>0</v>
      </c>
      <c r="F56" s="610" t="e">
        <f t="shared" si="15"/>
        <v>#DIV/0!</v>
      </c>
      <c r="G56" s="1833" t="s">
        <v>1887</v>
      </c>
      <c r="H56" s="832" t="str">
        <f>项目基本情况!C37</f>
        <v>七级</v>
      </c>
      <c r="I56" s="725">
        <f>SUMIF(修正!A57:A68,H56,修正!E57:E68)</f>
        <v>0.25</v>
      </c>
      <c r="J56" s="726"/>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1888</v>
      </c>
      <c r="B57" s="209" t="e">
        <f t="shared" si="17"/>
        <v>#DIV/0!</v>
      </c>
      <c r="C57" s="162">
        <f t="shared" si="16"/>
        <v>0.25</v>
      </c>
      <c r="D57" s="889">
        <v>0.25</v>
      </c>
      <c r="E57" s="208">
        <f>'数据-汇总表'!E12</f>
        <v>0</v>
      </c>
      <c r="F57" s="610" t="e">
        <f t="shared" si="15"/>
        <v>#DIV/0!</v>
      </c>
      <c r="G57" s="837" t="s">
        <v>1889</v>
      </c>
      <c r="H57" s="832" t="str">
        <f>IF(G57="商业",项目基本情况!B37,IF(G57="办公",项目基本情况!C37,IF(G57="住宅",项目基本情况!D37,项目基本情况!E37)))</f>
        <v>七级</v>
      </c>
      <c r="I57" s="725">
        <f>SUMIF(修正!A57:A68,H57,修正!F57:F68)</f>
        <v>0.25</v>
      </c>
      <c r="J57" s="726"/>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1890</v>
      </c>
      <c r="B58" s="209" t="e">
        <f t="shared" si="17"/>
        <v>#DIV/0!</v>
      </c>
      <c r="C58" s="162">
        <f t="shared" si="16"/>
        <v>0.15</v>
      </c>
      <c r="D58" s="889">
        <v>0.25</v>
      </c>
      <c r="E58" s="208">
        <f>'数据-汇总表'!E13</f>
        <v>3478.24</v>
      </c>
      <c r="F58" s="610" t="e">
        <f t="shared" si="15"/>
        <v>#DIV/0!</v>
      </c>
      <c r="G58" s="837" t="s">
        <v>1891</v>
      </c>
      <c r="H58" s="832" t="str">
        <f>IF(G58="商业",项目基本情况!B37,IF(G58="办公",项目基本情况!C37,IF(G58="住宅",项目基本情况!D37,项目基本情况!E37)))</f>
        <v>七级</v>
      </c>
      <c r="I58" s="725">
        <f>SUMIF(修正!A57:A68,H58,修正!G57:G68)</f>
        <v>0.15</v>
      </c>
      <c r="J58" s="726"/>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1892</v>
      </c>
      <c r="B59" s="209" t="e">
        <f t="shared" si="17"/>
        <v>#DIV/0!</v>
      </c>
      <c r="C59" s="162">
        <f t="shared" si="16"/>
        <v>0.15</v>
      </c>
      <c r="D59" s="889">
        <v>0.25</v>
      </c>
      <c r="E59" s="208">
        <f>'数据-汇总表'!E14</f>
        <v>0</v>
      </c>
      <c r="F59" s="610" t="e">
        <f t="shared" si="15"/>
        <v>#DIV/0!</v>
      </c>
      <c r="G59" s="1833" t="s">
        <v>1883</v>
      </c>
      <c r="H59" s="832" t="str">
        <f>项目基本情况!B37</f>
        <v>七级</v>
      </c>
      <c r="I59" s="725">
        <f>SUMIF(修正!A57:A68,H59,修正!G57:G68)</f>
        <v>0.15</v>
      </c>
      <c r="J59" s="726"/>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5" thickBot="1">
      <c r="A60" s="612" t="s">
        <v>1893</v>
      </c>
      <c r="B60" s="209" t="e">
        <f t="shared" si="17"/>
        <v>#DIV/0!</v>
      </c>
      <c r="C60" s="162">
        <f t="shared" si="16"/>
        <v>0.15</v>
      </c>
      <c r="D60" s="889">
        <v>0.25</v>
      </c>
      <c r="E60" s="208">
        <f>'数据-汇总表'!E15</f>
        <v>0</v>
      </c>
      <c r="F60" s="610" t="e">
        <f t="shared" si="15"/>
        <v>#DIV/0!</v>
      </c>
      <c r="G60" s="1834" t="s">
        <v>1887</v>
      </c>
      <c r="H60" s="842" t="str">
        <f>项目基本情况!C37</f>
        <v>七级</v>
      </c>
      <c r="I60" s="725">
        <f>SUMIF(修正!A57:A68,H60,修正!G57:G68)</f>
        <v>0.15</v>
      </c>
      <c r="J60" s="726"/>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5" thickBot="1">
      <c r="A61" s="614" t="s">
        <v>1894</v>
      </c>
      <c r="B61" s="615" t="s">
        <v>22</v>
      </c>
      <c r="C61" s="615" t="s">
        <v>23</v>
      </c>
      <c r="D61" s="615" t="s">
        <v>392</v>
      </c>
      <c r="E61" s="615">
        <f>IF(B41="楼面地价",SUM(E51:E60),'数据-汇总表'!D3)</f>
        <v>6542.04</v>
      </c>
      <c r="F61" s="616" t="e">
        <f>IF(B41="楼面地价",SUM(F51:F60),ROUND(C43*E61/10000,0))</f>
        <v>#DIV/0!</v>
      </c>
      <c r="G61" s="883"/>
      <c r="H61" s="883"/>
      <c r="I61" s="883"/>
      <c r="J61" s="883"/>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9"/>
      <c r="B62" s="873"/>
      <c r="C62" s="875"/>
      <c r="D62" s="859"/>
      <c r="E62" s="859"/>
      <c r="F62" s="859"/>
      <c r="G62" s="859"/>
      <c r="H62" s="859"/>
      <c r="I62" s="859"/>
      <c r="J62" s="859"/>
      <c r="K62" s="833"/>
      <c r="L62" s="834"/>
      <c r="M62" s="859"/>
      <c r="N62" s="859"/>
      <c r="O62" s="859"/>
      <c r="P62" s="2485"/>
      <c r="Q62" s="2485"/>
      <c r="R62" s="2485"/>
      <c r="S62" s="2485"/>
      <c r="T62" s="2485"/>
      <c r="U62" s="2485"/>
      <c r="V62" s="2485"/>
      <c r="W62" s="2485"/>
      <c r="X62" s="2485"/>
      <c r="Y62" s="2485"/>
      <c r="Z62" s="2485"/>
      <c r="AA62" s="2485"/>
      <c r="AB62" s="2485"/>
      <c r="AC62" s="2485"/>
      <c r="AD62" s="2485"/>
      <c r="AE62" s="2485"/>
    </row>
    <row r="63" spans="1:31">
      <c r="A63" s="859"/>
      <c r="B63" s="873"/>
      <c r="C63" s="655" t="str">
        <f>YEAR(C7)&amp;"-"&amp;MONTH(C7)&amp;"-1"</f>
        <v>2025-2-1</v>
      </c>
      <c r="D63" s="655">
        <f>EDATE(C63,-3)</f>
        <v>45597</v>
      </c>
      <c r="E63" s="655">
        <f>EDATE(D63,-3)</f>
        <v>45505</v>
      </c>
      <c r="F63" s="655">
        <f t="shared" ref="F63:O63" si="18">EDATE(E63,-3)</f>
        <v>45413</v>
      </c>
      <c r="G63" s="655">
        <f t="shared" si="18"/>
        <v>45323</v>
      </c>
      <c r="H63" s="655">
        <f t="shared" si="18"/>
        <v>45231</v>
      </c>
      <c r="I63" s="655">
        <f t="shared" si="18"/>
        <v>45139</v>
      </c>
      <c r="J63" s="655">
        <f t="shared" si="18"/>
        <v>45047</v>
      </c>
      <c r="K63" s="655">
        <f t="shared" si="18"/>
        <v>44958</v>
      </c>
      <c r="L63" s="655">
        <f t="shared" si="18"/>
        <v>44866</v>
      </c>
      <c r="M63" s="655">
        <f t="shared" si="18"/>
        <v>44774</v>
      </c>
      <c r="N63" s="655">
        <f t="shared" si="18"/>
        <v>44682</v>
      </c>
      <c r="O63" s="655">
        <f t="shared" si="18"/>
        <v>44593</v>
      </c>
      <c r="P63" s="2485"/>
      <c r="Q63" s="2485"/>
      <c r="R63" s="2485"/>
      <c r="S63" s="2485"/>
      <c r="T63" s="2485"/>
      <c r="U63" s="2485"/>
      <c r="V63" s="2485"/>
      <c r="W63" s="2485"/>
      <c r="X63" s="2485"/>
      <c r="Y63" s="2485"/>
      <c r="Z63" s="2485"/>
      <c r="AA63" s="2485"/>
      <c r="AB63" s="2485"/>
      <c r="AC63" s="2485"/>
      <c r="AD63" s="2485"/>
      <c r="AE63" s="2485"/>
    </row>
    <row r="64" spans="1:31" ht="21.75" thickBot="1">
      <c r="A64" s="657" t="s">
        <v>1790</v>
      </c>
      <c r="B64" s="384"/>
      <c r="C64" s="658"/>
      <c r="D64" s="658"/>
      <c r="E64" s="658"/>
      <c r="F64" s="659"/>
      <c r="G64" s="659"/>
      <c r="H64" s="658"/>
      <c r="I64" s="658"/>
      <c r="J64" s="658"/>
      <c r="K64" s="660"/>
      <c r="L64" s="661"/>
      <c r="M64" s="658"/>
      <c r="N64" s="658"/>
      <c r="O64" s="884"/>
      <c r="P64" s="2535"/>
      <c r="Q64" s="2506"/>
      <c r="R64" s="2485"/>
      <c r="S64" s="2485"/>
      <c r="T64" s="2485"/>
      <c r="U64" s="2485"/>
      <c r="V64" s="2485"/>
      <c r="W64" s="2485"/>
      <c r="X64" s="2485"/>
      <c r="Y64" s="2485"/>
      <c r="Z64" s="2485"/>
      <c r="AA64" s="2485"/>
      <c r="AB64" s="2485"/>
      <c r="AC64" s="2485"/>
      <c r="AD64" s="2485"/>
      <c r="AE64" s="2485"/>
    </row>
    <row r="65" spans="1:31" s="441" customFormat="1" ht="15">
      <c r="A65" s="1628" t="s">
        <v>1895</v>
      </c>
      <c r="B65" s="1044"/>
      <c r="C65" s="1099" t="str">
        <f>YEAR(C63)&amp;"-"&amp;ROUNDUP(MONTH(C63)/3,0)</f>
        <v>2025-1</v>
      </c>
      <c r="D65" s="1099" t="str">
        <f t="shared" ref="D65:O65" si="19">YEAR(D63)&amp;"-"&amp;ROUNDUP(MONTH(D63)/3,0)</f>
        <v>2024-4</v>
      </c>
      <c r="E65" s="1099" t="str">
        <f t="shared" si="19"/>
        <v>2024-3</v>
      </c>
      <c r="F65" s="1099" t="str">
        <f t="shared" si="19"/>
        <v>2024-2</v>
      </c>
      <c r="G65" s="1099" t="str">
        <f t="shared" si="19"/>
        <v>2024-1</v>
      </c>
      <c r="H65" s="1099" t="str">
        <f t="shared" si="19"/>
        <v>2023-4</v>
      </c>
      <c r="I65" s="1099" t="str">
        <f t="shared" si="19"/>
        <v>2023-3</v>
      </c>
      <c r="J65" s="1099" t="str">
        <f t="shared" si="19"/>
        <v>2023-2</v>
      </c>
      <c r="K65" s="1099" t="str">
        <f t="shared" si="19"/>
        <v>2023-1</v>
      </c>
      <c r="L65" s="1099" t="str">
        <f t="shared" si="19"/>
        <v>2022-4</v>
      </c>
      <c r="M65" s="1099" t="str">
        <f t="shared" si="19"/>
        <v>2022-3</v>
      </c>
      <c r="N65" s="1099" t="str">
        <f t="shared" si="19"/>
        <v>2022-2</v>
      </c>
      <c r="O65" s="1099" t="str">
        <f t="shared" si="19"/>
        <v>2022-1</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39" t="s">
        <v>1914</v>
      </c>
      <c r="B66" s="279" t="str">
        <f>"北京市平均增长率"&amp;TEXT(基准地价修正!P28,"0.00%")</f>
        <v>北京市平均增长率0.00%</v>
      </c>
      <c r="C66" s="529">
        <v>100</v>
      </c>
      <c r="D66" s="6"/>
      <c r="E66" s="6"/>
      <c r="F66" s="6"/>
      <c r="G66" s="6"/>
      <c r="H66" s="6"/>
      <c r="I66" s="6"/>
      <c r="J66" s="6"/>
      <c r="K66" s="6"/>
      <c r="L66" s="6"/>
      <c r="M66" s="1064"/>
      <c r="N66" s="1064"/>
      <c r="O66" s="1097"/>
      <c r="P66" s="2506"/>
      <c r="Q66" s="2437"/>
      <c r="R66" s="2437"/>
      <c r="S66" s="2437"/>
      <c r="T66" s="2437"/>
      <c r="U66" s="2437"/>
      <c r="V66" s="2437"/>
      <c r="W66" s="2437"/>
      <c r="X66" s="2437"/>
      <c r="Y66" s="2437"/>
      <c r="Z66" s="2437"/>
      <c r="AA66" s="2437"/>
      <c r="AB66" s="2437"/>
      <c r="AC66" s="2437"/>
      <c r="AD66" s="2437"/>
      <c r="AE66" s="2437"/>
    </row>
    <row r="67" spans="1:31" s="101" customFormat="1" ht="15.75" thickBot="1">
      <c r="A67" s="448" t="s">
        <v>1708</v>
      </c>
      <c r="B67" s="449"/>
      <c r="C67" s="450"/>
      <c r="D67" s="451"/>
      <c r="E67" s="451"/>
      <c r="F67" s="451"/>
      <c r="G67" s="451"/>
      <c r="H67" s="451"/>
      <c r="I67" s="451"/>
      <c r="J67" s="451"/>
      <c r="K67" s="451"/>
      <c r="L67" s="451"/>
      <c r="M67" s="452"/>
      <c r="N67" s="452"/>
      <c r="O67" s="453"/>
      <c r="P67" s="2506"/>
      <c r="Q67" s="2506"/>
      <c r="R67" s="2437"/>
      <c r="S67" s="2437"/>
      <c r="T67" s="2437"/>
      <c r="U67" s="2437"/>
      <c r="V67" s="2437"/>
      <c r="W67" s="2437"/>
      <c r="X67" s="2437"/>
      <c r="Y67" s="2437"/>
      <c r="Z67" s="2437"/>
      <c r="AA67" s="2437"/>
      <c r="AB67" s="2437"/>
      <c r="AC67" s="2437"/>
      <c r="AD67" s="2437"/>
      <c r="AE67" s="2437"/>
    </row>
    <row r="68" spans="1:31" s="101" customFormat="1" ht="15">
      <c r="A68" s="454" t="s">
        <v>1673</v>
      </c>
      <c r="B68" s="443"/>
      <c r="C68" s="455" t="s">
        <v>1768</v>
      </c>
      <c r="D68" s="31"/>
      <c r="E68" s="31"/>
      <c r="F68" s="31"/>
      <c r="G68" s="31"/>
      <c r="H68" s="31"/>
      <c r="I68" s="31"/>
      <c r="J68" s="31"/>
      <c r="K68" s="31"/>
      <c r="L68" s="456"/>
      <c r="M68" s="457"/>
      <c r="N68" s="2518"/>
      <c r="O68" s="2518"/>
      <c r="P68" s="2542"/>
      <c r="Q68" s="2506"/>
      <c r="R68" s="2437"/>
      <c r="S68" s="2437"/>
      <c r="T68" s="2437"/>
      <c r="U68" s="2437"/>
      <c r="V68" s="2437"/>
      <c r="W68" s="2437"/>
      <c r="X68" s="2437"/>
      <c r="Y68" s="2437"/>
      <c r="Z68" s="2437"/>
      <c r="AA68" s="2437"/>
      <c r="AB68" s="2437"/>
      <c r="AC68" s="2437"/>
      <c r="AD68" s="2437"/>
      <c r="AE68" s="2437"/>
    </row>
    <row r="69" spans="1:31" s="101" customFormat="1" ht="15.75" thickBot="1">
      <c r="A69" s="454"/>
      <c r="B69" s="443"/>
      <c r="C69" s="562">
        <v>100</v>
      </c>
      <c r="D69" s="445"/>
      <c r="E69" s="445"/>
      <c r="F69" s="445"/>
      <c r="G69" s="445"/>
      <c r="H69" s="445"/>
      <c r="I69" s="445"/>
      <c r="J69" s="445"/>
      <c r="K69" s="445"/>
      <c r="L69" s="445"/>
      <c r="M69" s="447"/>
      <c r="N69" s="2518"/>
      <c r="O69" s="2518"/>
      <c r="P69" s="2506"/>
      <c r="Q69" s="2506"/>
      <c r="R69" s="2437"/>
      <c r="S69" s="2437"/>
      <c r="T69" s="2437"/>
      <c r="U69" s="2437"/>
      <c r="V69" s="2437"/>
      <c r="W69" s="2437"/>
      <c r="X69" s="2437"/>
      <c r="Y69" s="2437"/>
      <c r="Z69" s="2437"/>
      <c r="AA69" s="2437"/>
      <c r="AB69" s="2437"/>
      <c r="AC69" s="2437"/>
      <c r="AD69" s="2437"/>
      <c r="AE69" s="2437"/>
    </row>
    <row r="70" spans="1:31">
      <c r="A70" s="378" t="s">
        <v>1711</v>
      </c>
      <c r="B70" s="459" t="s">
        <v>1677</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6"/>
      <c r="B72" s="468" t="s">
        <v>1680</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6"/>
      <c r="B74" s="476" t="s">
        <v>1681</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5.75"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5.75"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5.75"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5.75"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5.75"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5.75"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c r="A83" s="378" t="s">
        <v>1682</v>
      </c>
      <c r="B83" s="459" t="s">
        <v>1821</v>
      </c>
      <c r="C83" s="503" t="s">
        <v>1713</v>
      </c>
      <c r="D83" s="503" t="s">
        <v>1714</v>
      </c>
      <c r="E83" s="503" t="s">
        <v>1715</v>
      </c>
      <c r="F83" s="503" t="s">
        <v>1716</v>
      </c>
      <c r="G83" s="503" t="s">
        <v>1717</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6"/>
      <c r="B85" s="468" t="s">
        <v>1718</v>
      </c>
      <c r="C85" s="508" t="s">
        <v>1713</v>
      </c>
      <c r="D85" s="508" t="s">
        <v>1714</v>
      </c>
      <c r="E85" s="508" t="s">
        <v>1715</v>
      </c>
      <c r="F85" s="508" t="s">
        <v>1716</v>
      </c>
      <c r="G85" s="508" t="s">
        <v>1717</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15.75" thickTop="1">
      <c r="A87" s="369"/>
      <c r="B87" s="468" t="s">
        <v>1897</v>
      </c>
      <c r="C87" s="503" t="s">
        <v>1713</v>
      </c>
      <c r="D87" s="503" t="s">
        <v>1714</v>
      </c>
      <c r="E87" s="503" t="s">
        <v>1715</v>
      </c>
      <c r="F87" s="503" t="s">
        <v>1716</v>
      </c>
      <c r="G87" s="503" t="s">
        <v>1717</v>
      </c>
      <c r="H87" s="508"/>
      <c r="I87" s="508"/>
      <c r="J87" s="508"/>
      <c r="K87" s="508"/>
      <c r="L87" s="617"/>
      <c r="M87" s="546"/>
      <c r="N87" s="2518"/>
      <c r="O87" s="2518"/>
      <c r="P87" s="2518"/>
      <c r="Q87" s="2506"/>
      <c r="R87" s="2437"/>
      <c r="S87" s="2437"/>
      <c r="T87" s="2437"/>
      <c r="U87" s="2437"/>
      <c r="V87" s="2437"/>
      <c r="W87" s="2437"/>
      <c r="X87" s="2437"/>
      <c r="Y87" s="2437"/>
      <c r="Z87" s="2437"/>
      <c r="AA87" s="2437"/>
      <c r="AB87" s="2437"/>
      <c r="AC87" s="2437"/>
      <c r="AD87" s="2437"/>
      <c r="AE87" s="2437"/>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7"/>
      <c r="S88" s="2437"/>
      <c r="T88" s="2437"/>
      <c r="U88" s="2437"/>
      <c r="V88" s="2437"/>
      <c r="W88" s="2437"/>
      <c r="X88" s="2437"/>
      <c r="Y88" s="2437"/>
      <c r="Z88" s="2437"/>
      <c r="AA88" s="2437"/>
      <c r="AB88" s="2437"/>
      <c r="AC88" s="2437"/>
      <c r="AD88" s="2437"/>
      <c r="AE88" s="2437"/>
    </row>
    <row r="89" spans="1:31" s="101" customFormat="1" ht="27.75" thickTop="1">
      <c r="A89" s="369"/>
      <c r="B89" s="468" t="s">
        <v>1898</v>
      </c>
      <c r="C89" s="503" t="s">
        <v>1713</v>
      </c>
      <c r="D89" s="503" t="s">
        <v>1714</v>
      </c>
      <c r="E89" s="503" t="s">
        <v>1715</v>
      </c>
      <c r="F89" s="503" t="s">
        <v>1716</v>
      </c>
      <c r="G89" s="503" t="s">
        <v>1717</v>
      </c>
      <c r="H89" s="508"/>
      <c r="I89" s="508"/>
      <c r="J89" s="508"/>
      <c r="K89" s="508"/>
      <c r="L89" s="508"/>
      <c r="M89" s="546"/>
      <c r="N89" s="2518"/>
      <c r="O89" s="2518"/>
      <c r="P89" s="2518"/>
      <c r="Q89" s="2506"/>
      <c r="R89" s="2437"/>
      <c r="S89" s="2437"/>
      <c r="T89" s="2437"/>
      <c r="U89" s="2437"/>
      <c r="V89" s="2437"/>
      <c r="W89" s="2437"/>
      <c r="X89" s="2437"/>
      <c r="Y89" s="2437"/>
      <c r="Z89" s="2437"/>
      <c r="AA89" s="2437"/>
      <c r="AB89" s="2437"/>
      <c r="AC89" s="2437"/>
      <c r="AD89" s="2437"/>
      <c r="AE89" s="2437"/>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7"/>
      <c r="S90" s="2437"/>
      <c r="T90" s="2437"/>
      <c r="U90" s="2437"/>
      <c r="V90" s="2437"/>
      <c r="W90" s="2437"/>
      <c r="X90" s="2437"/>
      <c r="Y90" s="2437"/>
      <c r="Z90" s="2437"/>
      <c r="AA90" s="2437"/>
      <c r="AB90" s="2437"/>
      <c r="AC90" s="2437"/>
      <c r="AD90" s="2437"/>
      <c r="AE90" s="2437"/>
    </row>
    <row r="91" spans="1:31" s="407" customFormat="1" ht="15.75" thickTop="1">
      <c r="A91" s="483"/>
      <c r="B91" s="468" t="s">
        <v>1770</v>
      </c>
      <c r="C91" s="503" t="s">
        <v>1713</v>
      </c>
      <c r="D91" s="503" t="s">
        <v>1714</v>
      </c>
      <c r="E91" s="503" t="s">
        <v>1715</v>
      </c>
      <c r="F91" s="503" t="s">
        <v>1716</v>
      </c>
      <c r="G91" s="503" t="s">
        <v>1717</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75" thickTop="1">
      <c r="A93" s="483"/>
      <c r="B93" s="476" t="s">
        <v>1915</v>
      </c>
      <c r="C93" s="580" t="s">
        <v>1791</v>
      </c>
      <c r="D93" s="580" t="s">
        <v>1792</v>
      </c>
      <c r="E93" s="580" t="s">
        <v>1793</v>
      </c>
      <c r="F93" s="580" t="s">
        <v>1794</v>
      </c>
      <c r="G93" s="580" t="s">
        <v>1795</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3"/>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6"/>
      <c r="B95" s="468" t="str">
        <f>B27</f>
        <v>临街状况</v>
      </c>
      <c r="C95" s="469" t="s">
        <v>1899</v>
      </c>
      <c r="D95" s="469" t="s">
        <v>1900</v>
      </c>
      <c r="E95" s="469" t="s">
        <v>1901</v>
      </c>
      <c r="F95" s="469" t="s">
        <v>1902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6"/>
      <c r="B97" s="468" t="s">
        <v>1807</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6"/>
      <c r="B99" s="468" t="s">
        <v>1864</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5"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5.75"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8" t="s">
        <v>1686</v>
      </c>
      <c r="B107" s="459" t="s">
        <v>1903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4" t="str">
        <f t="shared" si="25"/>
        <v>(含)-</v>
      </c>
      <c r="L107" s="1244" t="str">
        <f t="shared" si="25"/>
        <v>(含)-</v>
      </c>
      <c r="M107" s="1245"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1904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1906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1907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5"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5.75"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7" t="s">
        <v>2073</v>
      </c>
      <c r="C1" s="3544" t="s">
        <v>2074</v>
      </c>
      <c r="D1" s="3545"/>
      <c r="E1" s="3545"/>
      <c r="F1" s="3545"/>
      <c r="G1" s="3545"/>
      <c r="H1" s="3545"/>
      <c r="I1" s="3545"/>
      <c r="J1" s="3545"/>
      <c r="K1" s="3545"/>
      <c r="L1" s="3545"/>
      <c r="M1" s="3545"/>
      <c r="N1" s="3545"/>
      <c r="O1" s="3545"/>
      <c r="P1" s="3545"/>
      <c r="Q1" s="3545"/>
      <c r="R1" s="3545"/>
      <c r="S1" s="3546"/>
      <c r="T1" s="927" t="s">
        <v>2075</v>
      </c>
    </row>
    <row r="2" spans="1:45" s="624" customFormat="1">
      <c r="A2" s="928"/>
      <c r="B2" s="621" t="s">
        <v>2076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9"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0"/>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1"/>
      <c r="B4" s="932"/>
      <c r="C4" s="933"/>
      <c r="D4" s="934"/>
      <c r="E4" s="934"/>
      <c r="F4" s="1222"/>
      <c r="G4" s="1222"/>
      <c r="H4" s="1222"/>
      <c r="I4" s="1222"/>
      <c r="J4" s="1222"/>
      <c r="K4" s="1222"/>
      <c r="L4" s="1222"/>
      <c r="M4" s="1223"/>
      <c r="N4" s="1223"/>
      <c r="O4" s="1222"/>
      <c r="P4" s="1222"/>
      <c r="Q4" s="1222"/>
      <c r="R4" s="1222"/>
      <c r="S4" s="1224"/>
      <c r="T4" s="937"/>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3"/>
      <c r="B5" s="1247" t="s">
        <v>2077</v>
      </c>
      <c r="C5" s="938"/>
      <c r="D5" s="939"/>
      <c r="E5" s="939"/>
      <c r="F5" s="1225"/>
      <c r="G5" s="1225"/>
      <c r="H5" s="1225"/>
      <c r="I5" s="1225"/>
      <c r="J5" s="1225"/>
      <c r="K5" s="1225"/>
      <c r="L5" s="1226"/>
      <c r="M5" s="1227"/>
      <c r="N5" s="1227"/>
      <c r="O5" s="1225"/>
      <c r="P5" s="1225"/>
      <c r="Q5" s="1225"/>
      <c r="R5" s="1225"/>
      <c r="S5" s="1228"/>
      <c r="T5" s="941"/>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3"/>
      <c r="B7" s="1248" t="s">
        <v>2078</v>
      </c>
      <c r="C7" s="849"/>
      <c r="D7" s="843"/>
      <c r="E7" s="843"/>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3"/>
      <c r="B9" s="1248" t="s">
        <v>2079</v>
      </c>
      <c r="C9" s="849"/>
      <c r="D9" s="843"/>
      <c r="E9" s="843"/>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3"/>
      <c r="B11" s="1247" t="s">
        <v>2080</v>
      </c>
      <c r="C11" s="938"/>
      <c r="D11" s="939"/>
      <c r="E11" s="939"/>
      <c r="F11" s="939"/>
      <c r="G11" s="939"/>
      <c r="H11" s="939"/>
      <c r="I11" s="939"/>
      <c r="J11" s="939"/>
      <c r="K11" s="939"/>
      <c r="L11" s="939"/>
      <c r="M11" s="940"/>
      <c r="N11" s="943"/>
      <c r="O11" s="944"/>
      <c r="P11" s="944"/>
      <c r="Q11" s="945"/>
      <c r="R11" s="946"/>
      <c r="S11" s="947"/>
      <c r="T11" s="941"/>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3"/>
      <c r="B13" s="1247" t="s">
        <v>2081</v>
      </c>
      <c r="C13" s="938"/>
      <c r="D13" s="939"/>
      <c r="E13" s="939"/>
      <c r="F13" s="939"/>
      <c r="G13" s="939"/>
      <c r="H13" s="939"/>
      <c r="I13" s="939"/>
      <c r="J13" s="939"/>
      <c r="K13" s="939"/>
      <c r="L13" s="939"/>
      <c r="M13" s="940"/>
      <c r="N13" s="943"/>
      <c r="O13" s="944"/>
      <c r="P13" s="944"/>
      <c r="Q13" s="945"/>
      <c r="R13" s="946"/>
      <c r="S13" s="947"/>
      <c r="T13" s="948"/>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3"/>
      <c r="B15" s="1247" t="s">
        <v>2082</v>
      </c>
      <c r="C15" s="938"/>
      <c r="D15" s="939"/>
      <c r="E15" s="939"/>
      <c r="F15" s="939"/>
      <c r="G15" s="939"/>
      <c r="H15" s="939"/>
      <c r="I15" s="939"/>
      <c r="J15" s="939"/>
      <c r="K15" s="939"/>
      <c r="L15" s="939"/>
      <c r="M15" s="940"/>
      <c r="N15" s="943"/>
      <c r="O15" s="944"/>
      <c r="P15" s="944"/>
      <c r="Q15" s="945"/>
      <c r="R15" s="946"/>
      <c r="S15" s="947"/>
      <c r="T15" s="948"/>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2083</v>
      </c>
      <c r="B17" s="1985" t="s">
        <v>2084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4"/>
      <c r="AS17" s="684"/>
    </row>
    <row r="18" spans="1:45" s="624"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4"/>
      <c r="AS18" s="684"/>
    </row>
    <row r="19" spans="1:45">
      <c r="A19" s="120"/>
      <c r="B19" s="150"/>
      <c r="C19" s="150"/>
      <c r="D19" s="1986" t="s">
        <v>2085</v>
      </c>
      <c r="E19" s="1251"/>
      <c r="F19" s="1251"/>
      <c r="G19" s="1251"/>
      <c r="H19" s="994"/>
      <c r="I19" s="150"/>
      <c r="J19" s="150"/>
      <c r="K19" s="150"/>
      <c r="L19" s="150"/>
      <c r="M19" s="150"/>
      <c r="N19" s="150"/>
      <c r="O19" s="150"/>
      <c r="P19" s="150"/>
      <c r="Q19" s="150"/>
      <c r="R19" s="150"/>
      <c r="S19" s="120"/>
    </row>
    <row r="20" spans="1:45" ht="16.5" thickBot="1">
      <c r="A20" s="631" t="s">
        <v>2086</v>
      </c>
      <c r="B20" s="285" t="e">
        <f ca="1">IF(D20="——",S22,S22-F20)</f>
        <v>#REF!</v>
      </c>
      <c r="C20" s="150"/>
      <c r="D20" s="1987"/>
      <c r="E20" s="1252"/>
      <c r="F20" s="927" t="e">
        <f ca="1">SUMIF(INDIRECT("'"&amp;H20&amp;"'"&amp;"!A:A"),"承租人权益价值",INDIRECT("'"&amp;H20&amp;"'"&amp;"!c:c"))</f>
        <v>#REF!</v>
      </c>
      <c r="G20" s="927" t="s">
        <v>2087</v>
      </c>
      <c r="H20" s="1988"/>
      <c r="I20" s="150"/>
      <c r="J20" s="150"/>
      <c r="K20" s="150"/>
      <c r="L20" s="150"/>
      <c r="M20" s="150"/>
      <c r="N20" s="150"/>
      <c r="O20" s="150"/>
      <c r="P20" s="150"/>
      <c r="Q20" s="150"/>
      <c r="R20" s="150"/>
      <c r="S20" s="120"/>
    </row>
    <row r="21" spans="1:45" ht="15.75">
      <c r="A21" s="631" t="s">
        <v>2088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2089</v>
      </c>
      <c r="B22" s="21">
        <f>SUM(B24:B10000)</f>
        <v>0</v>
      </c>
      <c r="C22" s="3541" t="s">
        <v>27</v>
      </c>
      <c r="D22" s="3542"/>
      <c r="E22" s="3542"/>
      <c r="F22" s="3542"/>
      <c r="G22" s="3542"/>
      <c r="H22" s="3542"/>
      <c r="I22" s="3542"/>
      <c r="J22" s="3542"/>
      <c r="K22" s="3542"/>
      <c r="L22" s="3542"/>
      <c r="M22" s="3542"/>
      <c r="N22" s="3542"/>
      <c r="O22" s="3542"/>
      <c r="P22" s="3542"/>
      <c r="Q22" s="3543"/>
      <c r="R22" s="21" t="e">
        <f>ROUND(S22*10000/B22,0)</f>
        <v>#DIV/0!</v>
      </c>
      <c r="S22" s="21">
        <f>SUM(S24:S10000)</f>
        <v>0</v>
      </c>
    </row>
    <row r="23" spans="1:45" s="9" customFormat="1" ht="24">
      <c r="A23" s="8" t="s">
        <v>2090</v>
      </c>
      <c r="B23" s="8" t="s">
        <v>2091</v>
      </c>
      <c r="C23" s="8" t="s">
        <v>2092</v>
      </c>
      <c r="D23" s="8" t="str">
        <f>B5</f>
        <v>修正项2</v>
      </c>
      <c r="E23" s="8" t="s">
        <v>2092</v>
      </c>
      <c r="F23" s="8" t="str">
        <f>B7</f>
        <v>修正项3</v>
      </c>
      <c r="G23" s="8" t="s">
        <v>2092</v>
      </c>
      <c r="H23" s="8" t="str">
        <f>B9</f>
        <v>修正项4</v>
      </c>
      <c r="I23" s="8" t="s">
        <v>2092</v>
      </c>
      <c r="J23" s="8" t="str">
        <f>B11</f>
        <v>修正项5</v>
      </c>
      <c r="K23" s="8" t="s">
        <v>2092</v>
      </c>
      <c r="L23" s="8" t="str">
        <f>B13</f>
        <v>修正项6</v>
      </c>
      <c r="M23" s="8" t="s">
        <v>2092</v>
      </c>
      <c r="N23" s="8" t="str">
        <f>B15</f>
        <v>修正项7</v>
      </c>
      <c r="O23" s="8" t="s">
        <v>2092</v>
      </c>
      <c r="P23" s="8" t="str">
        <f>B17</f>
        <v>楼层</v>
      </c>
      <c r="Q23" s="8" t="s">
        <v>2092</v>
      </c>
      <c r="R23" s="8" t="s">
        <v>2093</v>
      </c>
      <c r="S23" s="8" t="s">
        <v>2094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2095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902</v>
      </c>
    </row>
    <row r="2" spans="1:5" ht="78" customHeight="1">
      <c r="A2" s="32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5"/>
      <c r="C2" s="3235"/>
      <c r="D2" s="3235"/>
      <c r="E2" s="3235"/>
    </row>
    <row r="3" spans="1:5" ht="18">
      <c r="A3" s="3236" t="str">
        <f>IF(项目基本情况!B9="房地产市场价值","估价结果一览表（市场价值不需“结果表-1”）","估价结果一览表")</f>
        <v>估价结果一览表</v>
      </c>
      <c r="B3" s="3236"/>
      <c r="C3" s="3236"/>
      <c r="D3" s="3236"/>
      <c r="E3" s="3236"/>
    </row>
    <row r="4" spans="1:5" ht="19.5" thickBot="1">
      <c r="A4" s="1389"/>
      <c r="B4" s="3234" t="s">
        <v>911</v>
      </c>
      <c r="C4" s="3234"/>
      <c r="D4" s="3234"/>
      <c r="E4" s="1389"/>
    </row>
    <row r="5" spans="1:5" ht="16.5" thickTop="1">
      <c r="B5" s="3232" t="s">
        <v>903</v>
      </c>
      <c r="C5" s="1390" t="s">
        <v>904</v>
      </c>
      <c r="D5" s="795">
        <f ca="1">结果表!H101</f>
        <v>34292</v>
      </c>
    </row>
    <row r="6" spans="1:5" ht="15.75">
      <c r="B6" s="3232"/>
      <c r="C6" s="1390" t="s">
        <v>905</v>
      </c>
      <c r="D6" s="795" t="str">
        <f ca="1">NUMBERSTRING(INT(D5*10000),2)&amp;"元整"</f>
        <v>叁亿肆仟贰佰玖拾贰万元整</v>
      </c>
    </row>
    <row r="7" spans="1:5" ht="15.75">
      <c r="B7" s="3237"/>
      <c r="C7" s="1391" t="s">
        <v>906</v>
      </c>
      <c r="D7" s="796">
        <f ca="1">结果表!H102</f>
        <v>14290</v>
      </c>
    </row>
    <row r="8" spans="1:5" ht="15.75">
      <c r="B8" s="3238" t="str">
        <f>结果表!E103</f>
        <v>2.估价师知悉的法定优先受偿款</v>
      </c>
      <c r="C8" s="1392" t="s">
        <v>907</v>
      </c>
      <c r="D8" s="796">
        <f>结果表!H103</f>
        <v>0</v>
      </c>
    </row>
    <row r="9" spans="1:5" ht="15.75">
      <c r="B9" s="3240"/>
      <c r="C9" s="1390" t="s">
        <v>905</v>
      </c>
      <c r="D9" s="795" t="str">
        <f>NUMBERSTRING(INT(D8*10000),2)&amp;"元整"</f>
        <v>零元整</v>
      </c>
    </row>
    <row r="10" spans="1:5" ht="15">
      <c r="B10" s="1393" t="s">
        <v>910</v>
      </c>
      <c r="C10" s="1394" t="s">
        <v>908</v>
      </c>
      <c r="D10" s="797">
        <f>结果表!H104</f>
        <v>0</v>
      </c>
    </row>
    <row r="11" spans="1:5" ht="15">
      <c r="B11" s="1393" t="s">
        <v>912</v>
      </c>
      <c r="C11" s="1394" t="s">
        <v>913</v>
      </c>
      <c r="D11" s="797">
        <f>结果表!H105</f>
        <v>0</v>
      </c>
    </row>
    <row r="12" spans="1:5" ht="15">
      <c r="B12" s="1393" t="s">
        <v>914</v>
      </c>
      <c r="C12" s="1394" t="s">
        <v>913</v>
      </c>
      <c r="D12" s="797">
        <f>结果表!H106</f>
        <v>0</v>
      </c>
    </row>
    <row r="13" spans="1:5" ht="15.75">
      <c r="B13" s="3231" t="str">
        <f>结果表!E107</f>
        <v>3.房地产抵押价值</v>
      </c>
      <c r="C13" s="1395" t="s">
        <v>904</v>
      </c>
      <c r="D13" s="798">
        <f ca="1">结果表!H107</f>
        <v>34292</v>
      </c>
    </row>
    <row r="14" spans="1:5" ht="15.75">
      <c r="B14" s="3232"/>
      <c r="C14" s="1390" t="s">
        <v>905</v>
      </c>
      <c r="D14" s="795" t="str">
        <f ca="1">NUMBERSTRING(INT(D13*10000),2)&amp;"元整"</f>
        <v>叁亿肆仟贰佰玖拾贰万元整</v>
      </c>
    </row>
    <row r="15" spans="1:5" ht="15">
      <c r="B15" s="3237"/>
      <c r="C15" s="1391" t="s">
        <v>915</v>
      </c>
      <c r="D15" s="804">
        <f ca="1">结果表!H108</f>
        <v>14290</v>
      </c>
    </row>
    <row r="16" spans="1:5" ht="15">
      <c r="B16" s="3238" t="str">
        <f>结果表!E109</f>
        <v>——</v>
      </c>
      <c r="C16" s="1395" t="s">
        <v>916</v>
      </c>
      <c r="D16" s="1396" t="str">
        <f>结果表!H109</f>
        <v>——</v>
      </c>
    </row>
    <row r="17" spans="1:5" ht="15.75">
      <c r="B17" s="3239"/>
      <c r="C17" s="1390" t="s">
        <v>917</v>
      </c>
      <c r="D17" s="795" t="e">
        <f>NUMBERSTRING(INT(D16*10000),2)&amp;"元整"</f>
        <v>#VALUE!</v>
      </c>
    </row>
    <row r="18" spans="1:5" ht="15">
      <c r="B18" s="3240"/>
      <c r="C18" s="1391" t="s">
        <v>906</v>
      </c>
      <c r="D18" s="804" t="str">
        <f>结果表!H110</f>
        <v>——</v>
      </c>
    </row>
    <row r="19" spans="1:5" ht="15.75">
      <c r="B19" s="3231" t="str">
        <f>结果表!E111</f>
        <v>——</v>
      </c>
      <c r="C19" s="1395" t="s">
        <v>904</v>
      </c>
      <c r="D19" s="796" t="str">
        <f>结果表!H111</f>
        <v>——</v>
      </c>
    </row>
    <row r="20" spans="1:5" ht="15.75">
      <c r="B20" s="3232"/>
      <c r="C20" s="1390" t="s">
        <v>917</v>
      </c>
      <c r="D20" s="795" t="e">
        <f>NUMBERSTRING(INT(D19*10000),2)&amp;"元整"</f>
        <v>#VALUE!</v>
      </c>
    </row>
    <row r="21" spans="1:5" ht="15.75" thickBot="1">
      <c r="B21" s="3233"/>
      <c r="C21" s="1397" t="s">
        <v>915</v>
      </c>
      <c r="D21" s="805" t="str">
        <f>结果表!H112</f>
        <v>——</v>
      </c>
    </row>
    <row r="22" spans="1:5" ht="15" thickTop="1">
      <c r="B22" s="1398" t="s">
        <v>918</v>
      </c>
    </row>
    <row r="24" spans="1:5" ht="18.75">
      <c r="A24" s="1399"/>
      <c r="B24" s="1400" t="s">
        <v>909</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2071</v>
      </c>
      <c r="B1" s="4"/>
      <c r="C1" s="4"/>
      <c r="D1" s="4"/>
      <c r="E1" s="4"/>
      <c r="F1" s="2542"/>
      <c r="G1" s="2542"/>
      <c r="H1" s="2542"/>
      <c r="I1" s="2542"/>
      <c r="J1" s="2542"/>
      <c r="K1" s="2542"/>
      <c r="L1" s="2542"/>
      <c r="M1" s="2542"/>
      <c r="N1" s="2542"/>
      <c r="O1" s="2542"/>
      <c r="P1" s="2542"/>
    </row>
    <row r="2" spans="1:16" ht="15.75">
      <c r="A2" s="1982" t="s">
        <v>2063</v>
      </c>
      <c r="B2" s="2385">
        <f ca="1">SUMIF(B6:B13,"&lt;&gt;#ref!",B6:B13)</f>
        <v>17025</v>
      </c>
      <c r="C2" s="1982" t="s">
        <v>2064</v>
      </c>
      <c r="D2" s="1982" t="s">
        <v>2065</v>
      </c>
      <c r="E2" s="2395">
        <f ca="1">SUMIF(E6:E13,"&lt;&gt;#ref!",E6:E13)</f>
        <v>21279.739999999998</v>
      </c>
      <c r="F2" s="2542"/>
      <c r="G2" s="2542"/>
      <c r="H2" s="2542"/>
      <c r="I2" s="2542"/>
      <c r="J2" s="2542"/>
      <c r="K2" s="2542"/>
      <c r="L2" s="2542"/>
      <c r="M2" s="2542"/>
      <c r="N2" s="2542"/>
      <c r="O2" s="2542"/>
      <c r="P2" s="2542"/>
    </row>
    <row r="3" spans="1:16" ht="15.75">
      <c r="A3" s="1982" t="s">
        <v>2066</v>
      </c>
      <c r="B3" s="2385">
        <f ca="1">ROUND(B2*10000/E2,0)</f>
        <v>8001</v>
      </c>
      <c r="C3" s="1982" t="s">
        <v>2072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2067</v>
      </c>
      <c r="B5" s="2393" t="s">
        <v>2068</v>
      </c>
      <c r="C5" s="1983"/>
      <c r="D5" s="2542"/>
      <c r="E5" s="2394" t="s">
        <v>2069</v>
      </c>
      <c r="F5" s="2542"/>
      <c r="G5" s="2542"/>
      <c r="H5" s="2542"/>
      <c r="I5" s="2542"/>
      <c r="J5" s="2542"/>
      <c r="K5" s="2542"/>
      <c r="L5" s="2542"/>
      <c r="M5" s="2542"/>
      <c r="N5" s="2542"/>
      <c r="O5" s="2542"/>
      <c r="P5" s="2542"/>
    </row>
    <row r="6" spans="1:16" ht="15.75">
      <c r="A6" s="2392" t="s">
        <v>2070</v>
      </c>
      <c r="B6" s="2385">
        <f ca="1">SUMIF(INDIRECT("'"&amp;A6&amp;"'"&amp;"!A:A"),"总价",INDIRECT("'"&amp;A6&amp;"'"&amp;"!B:B"))</f>
        <v>17025</v>
      </c>
      <c r="C6" s="1982" t="s">
        <v>2064</v>
      </c>
      <c r="D6" s="2542"/>
      <c r="E6" s="2395">
        <f ca="1">SUMIF(INDIRECT("'"&amp;A6&amp;"'"&amp;"!C:C"),"建筑面积",INDIRECT("'"&amp;A6&amp;"'"&amp;"!D:D"))</f>
        <v>21279.739999999998</v>
      </c>
      <c r="F6" s="2542"/>
      <c r="G6" s="2542"/>
      <c r="H6" s="2542"/>
      <c r="I6" s="2542"/>
      <c r="J6" s="2542"/>
      <c r="K6" s="2542"/>
      <c r="L6" s="2542"/>
      <c r="M6" s="2542"/>
      <c r="N6" s="2542"/>
      <c r="O6" s="2542"/>
      <c r="P6" s="2542"/>
    </row>
    <row r="7" spans="1:16" ht="15.75">
      <c r="A7" s="2392"/>
      <c r="B7" s="2385" t="e">
        <f ca="1">SUMIF(INDIRECT("'"&amp;A7&amp;"'"&amp;"!A:A"),"总价",INDIRECT("'"&amp;A7&amp;"'"&amp;"!B:B"))</f>
        <v>#REF!</v>
      </c>
      <c r="C7" s="1982" t="s">
        <v>2064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2064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2064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2064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2064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2064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2064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2582</v>
      </c>
      <c r="B1" s="2809" t="s">
        <v>2583</v>
      </c>
      <c r="C1" s="2809" t="s">
        <v>2584</v>
      </c>
      <c r="D1" s="2809" t="s">
        <v>2585</v>
      </c>
      <c r="E1" s="2809" t="s">
        <v>2586</v>
      </c>
      <c r="F1" s="2809" t="s">
        <v>2587</v>
      </c>
      <c r="G1" s="2809" t="s">
        <v>2588</v>
      </c>
      <c r="H1" s="2809" t="s">
        <v>2589</v>
      </c>
      <c r="I1" s="2809" t="s">
        <v>2590</v>
      </c>
      <c r="J1" s="2809" t="s">
        <v>2591</v>
      </c>
      <c r="K1" s="2809" t="s">
        <v>2592</v>
      </c>
      <c r="L1" s="2809" t="s">
        <v>2593</v>
      </c>
      <c r="M1" s="2810" t="s">
        <v>2594</v>
      </c>
    </row>
    <row r="2" spans="1:13" ht="19.5" customHeight="1">
      <c r="A2" s="2812" t="s">
        <v>2595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2597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2598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2599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2607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2608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2609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2611</v>
      </c>
      <c r="B18" s="2834"/>
      <c r="C18" s="2835"/>
      <c r="D18" s="2835"/>
      <c r="E18" s="2834"/>
      <c r="F18" s="2835"/>
      <c r="G18" s="2835"/>
    </row>
    <row r="19" spans="1:13" ht="19.5" customHeight="1" thickBot="1">
      <c r="A19" s="2832" t="s">
        <v>2612</v>
      </c>
      <c r="B19" s="2837" t="s">
        <v>2613</v>
      </c>
      <c r="C19" s="2837" t="s">
        <v>2614</v>
      </c>
      <c r="D19" s="2838"/>
      <c r="E19" s="2832" t="s">
        <v>2615</v>
      </c>
      <c r="F19" s="2839"/>
      <c r="G19" s="2839"/>
    </row>
    <row r="20" spans="1:13" ht="19.5" customHeight="1">
      <c r="A20" s="3556" t="s">
        <v>2595</v>
      </c>
      <c r="B20" s="3551" t="s">
        <v>2616</v>
      </c>
      <c r="C20" s="2840" t="s">
        <v>2427</v>
      </c>
      <c r="D20" s="2841"/>
      <c r="E20" s="2842">
        <v>1</v>
      </c>
      <c r="F20" s="2843" t="s">
        <v>2428</v>
      </c>
      <c r="G20" s="2843"/>
    </row>
    <row r="21" spans="1:13" ht="19.5" customHeight="1">
      <c r="A21" s="3557"/>
      <c r="B21" s="3550"/>
      <c r="C21" s="2844" t="s">
        <v>2429</v>
      </c>
      <c r="D21" s="2845"/>
      <c r="E21" s="2846">
        <v>1</v>
      </c>
      <c r="F21" s="2843" t="s">
        <v>2430</v>
      </c>
      <c r="G21" s="2843"/>
    </row>
    <row r="22" spans="1:13" ht="19.5" customHeight="1">
      <c r="A22" s="3557"/>
      <c r="B22" s="3550"/>
      <c r="C22" s="2844" t="s">
        <v>2431</v>
      </c>
      <c r="D22" s="2845"/>
      <c r="E22" s="2846">
        <v>0.9</v>
      </c>
      <c r="F22" s="2843" t="s">
        <v>2432</v>
      </c>
      <c r="G22" s="2843"/>
    </row>
    <row r="23" spans="1:13" ht="19.5" customHeight="1">
      <c r="A23" s="3557"/>
      <c r="B23" s="3550"/>
      <c r="C23" s="2844" t="s">
        <v>2433</v>
      </c>
      <c r="D23" s="2845"/>
      <c r="E23" s="2846">
        <v>0.9</v>
      </c>
      <c r="F23" s="2843" t="s">
        <v>2434</v>
      </c>
      <c r="G23" s="2843"/>
    </row>
    <row r="24" spans="1:13" ht="19.5" customHeight="1">
      <c r="A24" s="3557"/>
      <c r="B24" s="3550"/>
      <c r="C24" s="2844" t="s">
        <v>2435</v>
      </c>
      <c r="D24" s="2845"/>
      <c r="E24" s="2846">
        <v>0.8</v>
      </c>
      <c r="F24" s="2843" t="s">
        <v>2436</v>
      </c>
      <c r="G24" s="2843"/>
    </row>
    <row r="25" spans="1:13" ht="19.5" customHeight="1" thickBot="1">
      <c r="A25" s="3558"/>
      <c r="B25" s="3552"/>
      <c r="C25" s="2847" t="s">
        <v>2437</v>
      </c>
      <c r="D25" s="2848"/>
      <c r="E25" s="2849">
        <v>0.8</v>
      </c>
      <c r="F25" s="2843" t="s">
        <v>2438</v>
      </c>
      <c r="G25" s="2843"/>
    </row>
    <row r="26" spans="1:13" ht="19.5" customHeight="1" thickBot="1">
      <c r="A26" s="2850" t="s">
        <v>2617</v>
      </c>
      <c r="B26" s="2851" t="s">
        <v>2616</v>
      </c>
      <c r="C26" s="2852" t="s">
        <v>2618</v>
      </c>
      <c r="D26" s="2853"/>
      <c r="E26" s="2854">
        <v>1</v>
      </c>
      <c r="F26" s="2843" t="s">
        <v>2439</v>
      </c>
      <c r="G26" s="2843"/>
    </row>
    <row r="27" spans="1:13" ht="19.5" customHeight="1">
      <c r="A27" s="3553" t="s">
        <v>2619</v>
      </c>
      <c r="B27" s="3551" t="s">
        <v>2600</v>
      </c>
      <c r="C27" s="2840" t="s">
        <v>2440</v>
      </c>
      <c r="D27" s="2841"/>
      <c r="E27" s="2842">
        <v>1</v>
      </c>
      <c r="F27" s="2843" t="s">
        <v>2441</v>
      </c>
      <c r="G27" s="2843"/>
    </row>
    <row r="28" spans="1:13" ht="19.5" customHeight="1">
      <c r="A28" s="3554"/>
      <c r="B28" s="3550"/>
      <c r="C28" s="2844" t="s">
        <v>2442</v>
      </c>
      <c r="D28" s="2845"/>
      <c r="E28" s="2846">
        <v>1</v>
      </c>
      <c r="F28" s="2843" t="s">
        <v>2443</v>
      </c>
      <c r="G28" s="2843"/>
    </row>
    <row r="29" spans="1:13" ht="19.5" customHeight="1">
      <c r="A29" s="3554"/>
      <c r="B29" s="3550"/>
      <c r="C29" s="2844" t="s">
        <v>2444</v>
      </c>
      <c r="D29" s="2845"/>
      <c r="E29" s="2846">
        <v>0.8</v>
      </c>
      <c r="F29" s="2843" t="s">
        <v>2445</v>
      </c>
      <c r="G29" s="2843"/>
    </row>
    <row r="30" spans="1:13" ht="19.5" customHeight="1">
      <c r="A30" s="3554"/>
      <c r="B30" s="3550"/>
      <c r="C30" s="2844" t="s">
        <v>2446</v>
      </c>
      <c r="D30" s="2845"/>
      <c r="E30" s="2846">
        <v>0.8</v>
      </c>
      <c r="F30" s="2843" t="s">
        <v>2447</v>
      </c>
      <c r="G30" s="2843"/>
    </row>
    <row r="31" spans="1:13" ht="19.5" customHeight="1">
      <c r="A31" s="3554"/>
      <c r="B31" s="3550"/>
      <c r="C31" s="2844" t="s">
        <v>2448</v>
      </c>
      <c r="D31" s="2845"/>
      <c r="E31" s="2846">
        <v>0.8</v>
      </c>
      <c r="F31" s="2843" t="s">
        <v>2449</v>
      </c>
      <c r="G31" s="2843"/>
    </row>
    <row r="32" spans="1:13" ht="19.5" customHeight="1">
      <c r="A32" s="3554"/>
      <c r="B32" s="3550"/>
      <c r="C32" s="2844" t="s">
        <v>2450</v>
      </c>
      <c r="D32" s="2845"/>
      <c r="E32" s="2846">
        <v>0.7</v>
      </c>
      <c r="F32" s="2843" t="s">
        <v>2451</v>
      </c>
      <c r="G32" s="2843"/>
    </row>
    <row r="33" spans="1:7" ht="19.5" customHeight="1">
      <c r="A33" s="3554"/>
      <c r="B33" s="3550"/>
      <c r="C33" s="2844" t="s">
        <v>2452</v>
      </c>
      <c r="D33" s="2845"/>
      <c r="E33" s="2846">
        <v>0.8</v>
      </c>
      <c r="F33" s="2843" t="s">
        <v>2453</v>
      </c>
      <c r="G33" s="2843"/>
    </row>
    <row r="34" spans="1:7" ht="19.5" customHeight="1">
      <c r="A34" s="3554"/>
      <c r="B34" s="3550"/>
      <c r="C34" s="2844" t="s">
        <v>2454</v>
      </c>
      <c r="D34" s="2845"/>
      <c r="E34" s="2846">
        <v>0.6</v>
      </c>
      <c r="F34" s="2843" t="s">
        <v>2455</v>
      </c>
      <c r="G34" s="2843"/>
    </row>
    <row r="35" spans="1:7" ht="19.5" customHeight="1">
      <c r="A35" s="3554"/>
      <c r="B35" s="3550"/>
      <c r="C35" s="2844" t="s">
        <v>2456</v>
      </c>
      <c r="D35" s="2845"/>
      <c r="E35" s="2846">
        <v>0.2</v>
      </c>
      <c r="F35" s="2843" t="s">
        <v>2457</v>
      </c>
      <c r="G35" s="2843"/>
    </row>
    <row r="36" spans="1:7" ht="19.5" customHeight="1">
      <c r="A36" s="3554"/>
      <c r="B36" s="3550"/>
      <c r="C36" s="2844" t="s">
        <v>2458</v>
      </c>
      <c r="D36" s="2845"/>
      <c r="E36" s="2846">
        <v>0.2</v>
      </c>
      <c r="F36" s="2843" t="s">
        <v>2459</v>
      </c>
      <c r="G36" s="2843"/>
    </row>
    <row r="37" spans="1:7" ht="19.5" customHeight="1">
      <c r="A37" s="3554"/>
      <c r="B37" s="3548" t="s">
        <v>2620</v>
      </c>
      <c r="C37" s="2844" t="s">
        <v>2460</v>
      </c>
      <c r="D37" s="2845"/>
      <c r="E37" s="2846">
        <v>0.6</v>
      </c>
      <c r="F37" s="2843" t="s">
        <v>2461</v>
      </c>
      <c r="G37" s="2843"/>
    </row>
    <row r="38" spans="1:7" ht="19.5" customHeight="1">
      <c r="A38" s="3554"/>
      <c r="B38" s="3550"/>
      <c r="C38" s="2844" t="s">
        <v>2462</v>
      </c>
      <c r="D38" s="2845"/>
      <c r="E38" s="2846">
        <v>0.6</v>
      </c>
      <c r="F38" s="2843" t="s">
        <v>2463</v>
      </c>
      <c r="G38" s="2843"/>
    </row>
    <row r="39" spans="1:7" ht="19.5" customHeight="1" thickBot="1">
      <c r="A39" s="3555"/>
      <c r="B39" s="3552"/>
      <c r="C39" s="2847" t="s">
        <v>2464</v>
      </c>
      <c r="D39" s="2848"/>
      <c r="E39" s="2849">
        <v>0.6</v>
      </c>
      <c r="F39" s="2843" t="s">
        <v>2465</v>
      </c>
      <c r="G39" s="2843"/>
    </row>
    <row r="40" spans="1:7" ht="19.5" customHeight="1" thickBot="1">
      <c r="A40" s="2850" t="s">
        <v>2597</v>
      </c>
      <c r="B40" s="2851" t="s">
        <v>2597</v>
      </c>
      <c r="C40" s="2852" t="s">
        <v>2621</v>
      </c>
      <c r="D40" s="2853"/>
      <c r="E40" s="2854">
        <v>1</v>
      </c>
      <c r="F40" s="2843" t="s">
        <v>2466</v>
      </c>
      <c r="G40" s="2843"/>
    </row>
    <row r="41" spans="1:7" ht="19.5" customHeight="1">
      <c r="A41" s="3556" t="s">
        <v>2598</v>
      </c>
      <c r="B41" s="3551" t="s">
        <v>2622</v>
      </c>
      <c r="C41" s="2840" t="s">
        <v>2467</v>
      </c>
      <c r="D41" s="2841"/>
      <c r="E41" s="2842">
        <v>1</v>
      </c>
      <c r="F41" s="2843" t="s">
        <v>2468</v>
      </c>
      <c r="G41" s="2843"/>
    </row>
    <row r="42" spans="1:7" ht="19.5" customHeight="1">
      <c r="A42" s="3557"/>
      <c r="B42" s="3550"/>
      <c r="C42" s="2844" t="s">
        <v>2469</v>
      </c>
      <c r="D42" s="2845"/>
      <c r="E42" s="2846">
        <v>1</v>
      </c>
      <c r="F42" s="2843" t="s">
        <v>2470</v>
      </c>
      <c r="G42" s="2843"/>
    </row>
    <row r="43" spans="1:7" ht="19.5" customHeight="1">
      <c r="A43" s="3557"/>
      <c r="B43" s="3549"/>
      <c r="C43" s="2844" t="s">
        <v>2471</v>
      </c>
      <c r="D43" s="2845"/>
      <c r="E43" s="2846">
        <v>1.5</v>
      </c>
      <c r="F43" s="2843" t="s">
        <v>2472</v>
      </c>
      <c r="G43" s="2843"/>
    </row>
    <row r="44" spans="1:7" ht="19.5" customHeight="1">
      <c r="A44" s="3557"/>
      <c r="B44" s="2855" t="s">
        <v>2623</v>
      </c>
      <c r="C44" s="2844" t="s">
        <v>2624</v>
      </c>
      <c r="D44" s="2845"/>
      <c r="E44" s="2846">
        <v>2</v>
      </c>
      <c r="F44" s="2843" t="s">
        <v>2473</v>
      </c>
      <c r="G44" s="2843"/>
    </row>
    <row r="45" spans="1:7" ht="19.5" customHeight="1">
      <c r="A45" s="3557"/>
      <c r="B45" s="3548" t="s">
        <v>2625</v>
      </c>
      <c r="C45" s="2844" t="s">
        <v>2474</v>
      </c>
      <c r="D45" s="2845"/>
      <c r="E45" s="2846">
        <v>1</v>
      </c>
      <c r="F45" s="2843" t="s">
        <v>2475</v>
      </c>
      <c r="G45" s="2843"/>
    </row>
    <row r="46" spans="1:7" ht="19.5" customHeight="1">
      <c r="A46" s="3557"/>
      <c r="B46" s="3550"/>
      <c r="C46" s="2844" t="s">
        <v>2476</v>
      </c>
      <c r="D46" s="2845"/>
      <c r="E46" s="2846">
        <v>1</v>
      </c>
      <c r="F46" s="2843" t="s">
        <v>2477</v>
      </c>
      <c r="G46" s="2843"/>
    </row>
    <row r="47" spans="1:7" ht="19.5" customHeight="1">
      <c r="A47" s="3557"/>
      <c r="B47" s="3550"/>
      <c r="C47" s="2844" t="s">
        <v>2478</v>
      </c>
      <c r="D47" s="2845"/>
      <c r="E47" s="2846">
        <v>1</v>
      </c>
      <c r="F47" s="2843" t="s">
        <v>2479</v>
      </c>
      <c r="G47" s="2843"/>
    </row>
    <row r="48" spans="1:7" ht="19.5" customHeight="1">
      <c r="A48" s="3557"/>
      <c r="B48" s="3550"/>
      <c r="C48" s="2844" t="s">
        <v>2480</v>
      </c>
      <c r="D48" s="2845"/>
      <c r="E48" s="2846">
        <v>1</v>
      </c>
      <c r="F48" s="2843" t="s">
        <v>2481</v>
      </c>
      <c r="G48" s="2843"/>
    </row>
    <row r="49" spans="1:7" ht="19.5" customHeight="1">
      <c r="A49" s="3557"/>
      <c r="B49" s="3550"/>
      <c r="C49" s="2844" t="s">
        <v>2482</v>
      </c>
      <c r="D49" s="2845"/>
      <c r="E49" s="2846">
        <v>1</v>
      </c>
      <c r="F49" s="2843" t="s">
        <v>2483</v>
      </c>
      <c r="G49" s="2843"/>
    </row>
    <row r="50" spans="1:7" ht="19.5" customHeight="1">
      <c r="A50" s="3557"/>
      <c r="B50" s="3550"/>
      <c r="C50" s="2844" t="s">
        <v>2484</v>
      </c>
      <c r="D50" s="2845"/>
      <c r="E50" s="2846">
        <v>1</v>
      </c>
      <c r="F50" s="2843" t="s">
        <v>2485</v>
      </c>
      <c r="G50" s="2843"/>
    </row>
    <row r="51" spans="1:7" ht="19.5" customHeight="1" thickBot="1">
      <c r="A51" s="3558"/>
      <c r="B51" s="3552"/>
      <c r="C51" s="2847" t="s">
        <v>2486</v>
      </c>
      <c r="D51" s="2848"/>
      <c r="E51" s="2849">
        <v>1</v>
      </c>
      <c r="F51" s="2843" t="s">
        <v>2487</v>
      </c>
      <c r="G51" s="2843"/>
    </row>
    <row r="52" spans="1:7" ht="19.5" customHeight="1">
      <c r="A52" s="2856"/>
      <c r="B52" s="2856"/>
      <c r="C52" s="2856"/>
      <c r="D52" s="2856"/>
      <c r="E52" s="2856"/>
      <c r="F52" s="2856"/>
      <c r="G52" s="2856"/>
    </row>
    <row r="54" spans="1:7" ht="19.5" customHeight="1">
      <c r="A54" s="2857"/>
      <c r="B54" s="2829" t="s">
        <v>2626</v>
      </c>
      <c r="C54" s="2829" t="s">
        <v>2626</v>
      </c>
      <c r="D54" s="2829" t="s">
        <v>2626</v>
      </c>
      <c r="E54" s="2832" t="s">
        <v>2626</v>
      </c>
      <c r="F54" s="2832" t="s">
        <v>2627</v>
      </c>
      <c r="G54" s="2832" t="s">
        <v>2628</v>
      </c>
    </row>
    <row r="55" spans="1:7" ht="19.5" customHeight="1">
      <c r="A55" s="2858"/>
      <c r="B55" s="2832" t="s">
        <v>2595</v>
      </c>
      <c r="C55" s="2832" t="s">
        <v>2595</v>
      </c>
      <c r="D55" s="2832" t="s">
        <v>2595</v>
      </c>
      <c r="E55" s="2829" t="s">
        <v>2596</v>
      </c>
      <c r="F55" s="2829" t="s">
        <v>2598</v>
      </c>
      <c r="G55" s="2829" t="s">
        <v>2629</v>
      </c>
    </row>
    <row r="56" spans="1:7" ht="19.5" customHeight="1">
      <c r="A56" s="2859"/>
      <c r="B56" s="2829">
        <v>1</v>
      </c>
      <c r="C56" s="2829">
        <v>2</v>
      </c>
      <c r="D56" s="2829">
        <v>3</v>
      </c>
      <c r="E56" s="2860" t="s">
        <v>2630</v>
      </c>
      <c r="F56" s="2860" t="s">
        <v>2630</v>
      </c>
      <c r="G56" s="2860" t="s">
        <v>2630</v>
      </c>
    </row>
    <row r="57" spans="1:7" ht="19.5" customHeight="1">
      <c r="A57" s="2861" t="s">
        <v>2583</v>
      </c>
      <c r="B57" s="2829">
        <v>0.7</v>
      </c>
      <c r="C57" s="2829">
        <v>0.4</v>
      </c>
      <c r="D57" s="2829">
        <v>0.3</v>
      </c>
      <c r="E57" s="2860">
        <v>0.3</v>
      </c>
      <c r="F57" s="2829">
        <v>0.3</v>
      </c>
      <c r="G57" s="2829">
        <v>0.2</v>
      </c>
    </row>
    <row r="58" spans="1:7" ht="19.5" customHeight="1">
      <c r="A58" s="2861" t="s">
        <v>2584</v>
      </c>
      <c r="B58" s="2829">
        <v>0.7</v>
      </c>
      <c r="C58" s="2829">
        <v>0.4</v>
      </c>
      <c r="D58" s="2829">
        <v>0.3</v>
      </c>
      <c r="E58" s="2829">
        <v>0.3</v>
      </c>
      <c r="F58" s="2829">
        <v>0.3</v>
      </c>
      <c r="G58" s="2829">
        <v>0.2</v>
      </c>
    </row>
    <row r="59" spans="1:7" ht="19.5" customHeight="1">
      <c r="A59" s="2861" t="s">
        <v>2585</v>
      </c>
      <c r="B59" s="2829">
        <v>0.6</v>
      </c>
      <c r="C59" s="2829">
        <v>0.3</v>
      </c>
      <c r="D59" s="2829">
        <v>0.25</v>
      </c>
      <c r="E59" s="2829">
        <v>0.25</v>
      </c>
      <c r="F59" s="2829">
        <v>0.25</v>
      </c>
      <c r="G59" s="2829">
        <v>0.15</v>
      </c>
    </row>
    <row r="60" spans="1:7" ht="19.5" customHeight="1">
      <c r="A60" s="2861" t="s">
        <v>2586</v>
      </c>
      <c r="B60" s="2829">
        <v>0.6</v>
      </c>
      <c r="C60" s="2829">
        <v>0.3</v>
      </c>
      <c r="D60" s="2829">
        <v>0.25</v>
      </c>
      <c r="E60" s="2829">
        <v>0.25</v>
      </c>
      <c r="F60" s="2829">
        <v>0.25</v>
      </c>
      <c r="G60" s="2829">
        <v>0.15</v>
      </c>
    </row>
    <row r="61" spans="1:7" ht="19.5" customHeight="1">
      <c r="A61" s="2861" t="s">
        <v>2587</v>
      </c>
      <c r="B61" s="2829">
        <v>0.6</v>
      </c>
      <c r="C61" s="2829">
        <v>0.3</v>
      </c>
      <c r="D61" s="2829">
        <v>0.25</v>
      </c>
      <c r="E61" s="2829">
        <v>0.25</v>
      </c>
      <c r="F61" s="2829">
        <v>0.25</v>
      </c>
      <c r="G61" s="2829">
        <v>0.15</v>
      </c>
    </row>
    <row r="62" spans="1:7" ht="19.5" customHeight="1">
      <c r="A62" s="2861" t="s">
        <v>2588</v>
      </c>
      <c r="B62" s="2829">
        <v>0.6</v>
      </c>
      <c r="C62" s="2829">
        <v>0.3</v>
      </c>
      <c r="D62" s="2829">
        <v>0.25</v>
      </c>
      <c r="E62" s="2829">
        <v>0.25</v>
      </c>
      <c r="F62" s="2829">
        <v>0.25</v>
      </c>
      <c r="G62" s="2829">
        <v>0.15</v>
      </c>
    </row>
    <row r="63" spans="1:7" ht="19.5" customHeight="1">
      <c r="A63" s="2861" t="s">
        <v>2589</v>
      </c>
      <c r="B63" s="2829">
        <v>0.6</v>
      </c>
      <c r="C63" s="2829">
        <v>0.3</v>
      </c>
      <c r="D63" s="2829">
        <v>0.25</v>
      </c>
      <c r="E63" s="2829">
        <v>0.25</v>
      </c>
      <c r="F63" s="2829">
        <v>0.25</v>
      </c>
      <c r="G63" s="2829">
        <v>0.15</v>
      </c>
    </row>
    <row r="64" spans="1:7" ht="19.5" customHeight="1">
      <c r="A64" s="2861" t="s">
        <v>2590</v>
      </c>
      <c r="B64" s="2829">
        <v>0.5</v>
      </c>
      <c r="C64" s="2829">
        <v>0.2</v>
      </c>
      <c r="D64" s="2829">
        <v>0.2</v>
      </c>
      <c r="E64" s="2829">
        <v>0.2</v>
      </c>
      <c r="F64" s="2829">
        <v>0.2</v>
      </c>
      <c r="G64" s="2829">
        <v>0.1</v>
      </c>
    </row>
    <row r="65" spans="1:7" ht="19.5" customHeight="1">
      <c r="A65" s="2861" t="s">
        <v>2591</v>
      </c>
      <c r="B65" s="2829">
        <v>0.5</v>
      </c>
      <c r="C65" s="2829">
        <v>0.2</v>
      </c>
      <c r="D65" s="2829">
        <v>0.2</v>
      </c>
      <c r="E65" s="2829">
        <v>0.2</v>
      </c>
      <c r="F65" s="2829">
        <v>0.2</v>
      </c>
      <c r="G65" s="2829">
        <v>0.1</v>
      </c>
    </row>
    <row r="66" spans="1:7" ht="19.5" customHeight="1">
      <c r="A66" s="2861" t="s">
        <v>2592</v>
      </c>
      <c r="B66" s="2829">
        <v>0.5</v>
      </c>
      <c r="C66" s="2829">
        <v>0.2</v>
      </c>
      <c r="D66" s="2829">
        <v>0.2</v>
      </c>
      <c r="E66" s="2829">
        <v>0.2</v>
      </c>
      <c r="F66" s="2829">
        <v>0.2</v>
      </c>
      <c r="G66" s="2829">
        <v>0.1</v>
      </c>
    </row>
    <row r="67" spans="1:7" ht="19.5" customHeight="1">
      <c r="A67" s="2861" t="s">
        <v>2593</v>
      </c>
      <c r="B67" s="2829">
        <v>0.5</v>
      </c>
      <c r="C67" s="2829">
        <v>0.2</v>
      </c>
      <c r="D67" s="2829">
        <v>0.2</v>
      </c>
      <c r="E67" s="2829">
        <v>0.2</v>
      </c>
      <c r="F67" s="2829">
        <v>0.2</v>
      </c>
      <c r="G67" s="2829">
        <v>0.1</v>
      </c>
    </row>
    <row r="68" spans="1:7" ht="19.5" customHeight="1">
      <c r="A68" s="2861" t="s">
        <v>2594</v>
      </c>
      <c r="B68" s="2829">
        <v>0.5</v>
      </c>
      <c r="C68" s="2829">
        <v>0.2</v>
      </c>
      <c r="D68" s="2829">
        <v>0.2</v>
      </c>
      <c r="E68" s="2829">
        <v>0.2</v>
      </c>
      <c r="F68" s="2829">
        <v>0.2</v>
      </c>
      <c r="G68" s="2829">
        <v>0.1</v>
      </c>
    </row>
    <row r="70" spans="1:7" ht="19.5" customHeight="1">
      <c r="A70" s="2843"/>
      <c r="B70" s="2862"/>
      <c r="C70" s="2862"/>
      <c r="D70" s="2862" t="s">
        <v>2631</v>
      </c>
      <c r="E70" s="2862"/>
      <c r="F70" s="2862"/>
    </row>
    <row r="71" spans="1:7" ht="19.5" customHeight="1">
      <c r="A71" s="2855" t="s">
        <v>2632</v>
      </c>
      <c r="B71" s="2855" t="s">
        <v>2633</v>
      </c>
      <c r="C71" s="2855" t="s">
        <v>2634</v>
      </c>
      <c r="D71" s="2855" t="s">
        <v>2635</v>
      </c>
      <c r="E71" s="2855" t="s">
        <v>2636</v>
      </c>
      <c r="F71" s="2855" t="s">
        <v>2637</v>
      </c>
    </row>
    <row r="72" spans="1:7" ht="13.5">
      <c r="A72" s="2855"/>
      <c r="B72" s="2855"/>
      <c r="C72" s="2855" t="s">
        <v>2638</v>
      </c>
      <c r="D72" s="2855"/>
      <c r="E72" s="2855" t="s">
        <v>2609</v>
      </c>
      <c r="F72" s="2855" t="s">
        <v>2609</v>
      </c>
    </row>
    <row r="73" spans="1:7" ht="13.5">
      <c r="A73" s="2855">
        <v>1</v>
      </c>
      <c r="B73" s="3548" t="s">
        <v>2639</v>
      </c>
      <c r="C73" s="2829" t="s">
        <v>2640</v>
      </c>
      <c r="D73" s="2829" t="s">
        <v>2641</v>
      </c>
      <c r="E73" s="2855">
        <v>0.2</v>
      </c>
      <c r="F73" s="2855">
        <v>25</v>
      </c>
    </row>
    <row r="74" spans="1:7" ht="24">
      <c r="A74" s="2855">
        <v>2</v>
      </c>
      <c r="B74" s="3550"/>
      <c r="C74" s="2829" t="s">
        <v>2642</v>
      </c>
      <c r="D74" s="2829" t="s">
        <v>2643</v>
      </c>
      <c r="E74" s="2855">
        <v>0.2</v>
      </c>
      <c r="F74" s="2855">
        <v>25</v>
      </c>
    </row>
    <row r="75" spans="1:7" ht="24">
      <c r="A75" s="2855">
        <v>3</v>
      </c>
      <c r="B75" s="3550"/>
      <c r="C75" s="2829" t="s">
        <v>2644</v>
      </c>
      <c r="D75" s="2829" t="s">
        <v>2645</v>
      </c>
      <c r="E75" s="2855">
        <v>0.2</v>
      </c>
      <c r="F75" s="2855">
        <v>25</v>
      </c>
    </row>
    <row r="76" spans="1:7" ht="13.5">
      <c r="A76" s="2855">
        <v>4</v>
      </c>
      <c r="B76" s="3550"/>
      <c r="C76" s="2829" t="s">
        <v>2646</v>
      </c>
      <c r="D76" s="2829" t="s">
        <v>2647</v>
      </c>
      <c r="E76" s="2855">
        <v>0.15</v>
      </c>
      <c r="F76" s="2855">
        <v>20</v>
      </c>
    </row>
    <row r="77" spans="1:7" ht="24">
      <c r="A77" s="2855">
        <v>5</v>
      </c>
      <c r="B77" s="3550"/>
      <c r="C77" s="2829" t="s">
        <v>2648</v>
      </c>
      <c r="D77" s="2829" t="s">
        <v>2649</v>
      </c>
      <c r="E77" s="2855">
        <v>0.15</v>
      </c>
      <c r="F77" s="2855">
        <v>20</v>
      </c>
    </row>
    <row r="78" spans="1:7" ht="24">
      <c r="A78" s="2855">
        <v>6</v>
      </c>
      <c r="B78" s="3550"/>
      <c r="C78" s="2829" t="s">
        <v>2650</v>
      </c>
      <c r="D78" s="2829" t="s">
        <v>2651</v>
      </c>
      <c r="E78" s="2855">
        <v>0.15</v>
      </c>
      <c r="F78" s="2855">
        <v>20</v>
      </c>
    </row>
    <row r="79" spans="1:7" ht="24">
      <c r="A79" s="2855">
        <v>7</v>
      </c>
      <c r="B79" s="3550"/>
      <c r="C79" s="2829" t="s">
        <v>2652</v>
      </c>
      <c r="D79" s="2829" t="s">
        <v>2653</v>
      </c>
      <c r="E79" s="2855">
        <v>0.15</v>
      </c>
      <c r="F79" s="2855">
        <v>20</v>
      </c>
    </row>
    <row r="80" spans="1:7" ht="24">
      <c r="A80" s="2855">
        <v>8</v>
      </c>
      <c r="B80" s="3550"/>
      <c r="C80" s="2829" t="s">
        <v>2654</v>
      </c>
      <c r="D80" s="2829" t="s">
        <v>2655</v>
      </c>
      <c r="E80" s="2855">
        <v>0.1</v>
      </c>
      <c r="F80" s="2855">
        <v>15</v>
      </c>
    </row>
    <row r="81" spans="1:6" ht="24">
      <c r="A81" s="2855">
        <v>9</v>
      </c>
      <c r="B81" s="3550"/>
      <c r="C81" s="2829" t="s">
        <v>2656</v>
      </c>
      <c r="D81" s="2829" t="s">
        <v>2657</v>
      </c>
      <c r="E81" s="2855">
        <v>0.1</v>
      </c>
      <c r="F81" s="2855">
        <v>15</v>
      </c>
    </row>
    <row r="82" spans="1:6" ht="24">
      <c r="A82" s="2855">
        <v>10</v>
      </c>
      <c r="B82" s="3550"/>
      <c r="C82" s="2829" t="s">
        <v>2658</v>
      </c>
      <c r="D82" s="2829" t="s">
        <v>2659</v>
      </c>
      <c r="E82" s="2855">
        <v>0.1</v>
      </c>
      <c r="F82" s="2855">
        <v>15</v>
      </c>
    </row>
    <row r="83" spans="1:6" ht="24">
      <c r="A83" s="2855">
        <v>11</v>
      </c>
      <c r="B83" s="3550"/>
      <c r="C83" s="2829" t="s">
        <v>2660</v>
      </c>
      <c r="D83" s="2829" t="s">
        <v>2661</v>
      </c>
      <c r="E83" s="2855">
        <v>0.1</v>
      </c>
      <c r="F83" s="2855">
        <v>15</v>
      </c>
    </row>
    <row r="84" spans="1:6" ht="24">
      <c r="A84" s="2855">
        <v>12</v>
      </c>
      <c r="B84" s="3550"/>
      <c r="C84" s="2829" t="s">
        <v>2662</v>
      </c>
      <c r="D84" s="2829" t="s">
        <v>2663</v>
      </c>
      <c r="E84" s="2855">
        <v>0.1</v>
      </c>
      <c r="F84" s="2855">
        <v>15</v>
      </c>
    </row>
    <row r="85" spans="1:6" ht="13.5">
      <c r="A85" s="2855">
        <v>13</v>
      </c>
      <c r="B85" s="3550"/>
      <c r="C85" s="2829" t="s">
        <v>2664</v>
      </c>
      <c r="D85" s="2829" t="s">
        <v>2665</v>
      </c>
      <c r="E85" s="2855">
        <v>0.1</v>
      </c>
      <c r="F85" s="2855">
        <v>15</v>
      </c>
    </row>
    <row r="86" spans="1:6" ht="13.5">
      <c r="A86" s="2855">
        <v>14</v>
      </c>
      <c r="B86" s="3550"/>
      <c r="C86" s="2829" t="s">
        <v>2666</v>
      </c>
      <c r="D86" s="2829" t="s">
        <v>2667</v>
      </c>
      <c r="E86" s="2855">
        <v>0.1</v>
      </c>
      <c r="F86" s="2855">
        <v>15</v>
      </c>
    </row>
    <row r="87" spans="1:6" ht="13.5">
      <c r="A87" s="2855">
        <v>15</v>
      </c>
      <c r="B87" s="3550"/>
      <c r="C87" s="2829" t="s">
        <v>2668</v>
      </c>
      <c r="D87" s="2829" t="s">
        <v>2669</v>
      </c>
      <c r="E87" s="2855">
        <v>0.1</v>
      </c>
      <c r="F87" s="2855">
        <v>15</v>
      </c>
    </row>
    <row r="88" spans="1:6" ht="24">
      <c r="A88" s="2855">
        <v>16</v>
      </c>
      <c r="B88" s="3550"/>
      <c r="C88" s="2829" t="s">
        <v>2670</v>
      </c>
      <c r="D88" s="2829" t="s">
        <v>2671</v>
      </c>
      <c r="E88" s="2855">
        <v>0.1</v>
      </c>
      <c r="F88" s="2855">
        <v>15</v>
      </c>
    </row>
    <row r="89" spans="1:6" ht="24">
      <c r="A89" s="2855">
        <v>17</v>
      </c>
      <c r="B89" s="3549"/>
      <c r="C89" s="2829" t="s">
        <v>2672</v>
      </c>
      <c r="D89" s="2829" t="s">
        <v>2673</v>
      </c>
      <c r="E89" s="2855">
        <v>0.1</v>
      </c>
      <c r="F89" s="2855">
        <v>15</v>
      </c>
    </row>
    <row r="90" spans="1:6" ht="13.5">
      <c r="A90" s="2855">
        <v>18</v>
      </c>
      <c r="B90" s="3548" t="s">
        <v>2674</v>
      </c>
      <c r="C90" s="2829" t="s">
        <v>2675</v>
      </c>
      <c r="D90" s="2829" t="s">
        <v>2676</v>
      </c>
      <c r="E90" s="2855">
        <v>0.2</v>
      </c>
      <c r="F90" s="2855">
        <v>25</v>
      </c>
    </row>
    <row r="91" spans="1:6" ht="24">
      <c r="A91" s="2855">
        <v>19</v>
      </c>
      <c r="B91" s="3550"/>
      <c r="C91" s="2829" t="s">
        <v>2677</v>
      </c>
      <c r="D91" s="2829" t="s">
        <v>2678</v>
      </c>
      <c r="E91" s="2855">
        <v>0.2</v>
      </c>
      <c r="F91" s="2855">
        <v>25</v>
      </c>
    </row>
    <row r="92" spans="1:6" ht="13.5">
      <c r="A92" s="2855">
        <v>20</v>
      </c>
      <c r="B92" s="3550"/>
      <c r="C92" s="2829" t="s">
        <v>2679</v>
      </c>
      <c r="D92" s="2829" t="s">
        <v>2680</v>
      </c>
      <c r="E92" s="2855">
        <v>0.15</v>
      </c>
      <c r="F92" s="2855">
        <v>20</v>
      </c>
    </row>
    <row r="93" spans="1:6" ht="13.5">
      <c r="A93" s="2855">
        <v>21</v>
      </c>
      <c r="B93" s="3550"/>
      <c r="C93" s="2829" t="s">
        <v>2681</v>
      </c>
      <c r="D93" s="2829" t="s">
        <v>2682</v>
      </c>
      <c r="E93" s="2855">
        <v>0.15</v>
      </c>
      <c r="F93" s="2855">
        <v>20</v>
      </c>
    </row>
    <row r="94" spans="1:6" ht="13.5">
      <c r="A94" s="2855">
        <v>22</v>
      </c>
      <c r="B94" s="3550"/>
      <c r="C94" s="2829" t="s">
        <v>2683</v>
      </c>
      <c r="D94" s="2829" t="s">
        <v>2684</v>
      </c>
      <c r="E94" s="2855">
        <v>0.15</v>
      </c>
      <c r="F94" s="2855">
        <v>20</v>
      </c>
    </row>
    <row r="95" spans="1:6" ht="36">
      <c r="A95" s="2855">
        <v>23</v>
      </c>
      <c r="B95" s="3550"/>
      <c r="C95" s="2829" t="s">
        <v>2685</v>
      </c>
      <c r="D95" s="2829" t="s">
        <v>2686</v>
      </c>
      <c r="E95" s="2855">
        <v>0.15</v>
      </c>
      <c r="F95" s="2855">
        <v>20</v>
      </c>
    </row>
    <row r="96" spans="1:6" ht="13.5">
      <c r="A96" s="2855">
        <v>24</v>
      </c>
      <c r="B96" s="3550"/>
      <c r="C96" s="2829" t="s">
        <v>2687</v>
      </c>
      <c r="D96" s="2829" t="s">
        <v>2688</v>
      </c>
      <c r="E96" s="2855">
        <v>0.1</v>
      </c>
      <c r="F96" s="2855">
        <v>15</v>
      </c>
    </row>
    <row r="97" spans="1:6" ht="13.5">
      <c r="A97" s="2855">
        <v>25</v>
      </c>
      <c r="B97" s="3550"/>
      <c r="C97" s="2829" t="s">
        <v>2689</v>
      </c>
      <c r="D97" s="2829" t="s">
        <v>2690</v>
      </c>
      <c r="E97" s="2855">
        <v>0.1</v>
      </c>
      <c r="F97" s="2855">
        <v>15</v>
      </c>
    </row>
    <row r="98" spans="1:6" ht="24">
      <c r="A98" s="2855">
        <v>26</v>
      </c>
      <c r="B98" s="3550"/>
      <c r="C98" s="2829" t="s">
        <v>2691</v>
      </c>
      <c r="D98" s="2829" t="s">
        <v>2692</v>
      </c>
      <c r="E98" s="2855">
        <v>0.1</v>
      </c>
      <c r="F98" s="2855">
        <v>15</v>
      </c>
    </row>
    <row r="99" spans="1:6" ht="24">
      <c r="A99" s="2855">
        <v>27</v>
      </c>
      <c r="B99" s="3550"/>
      <c r="C99" s="2829" t="s">
        <v>2693</v>
      </c>
      <c r="D99" s="2829" t="s">
        <v>2694</v>
      </c>
      <c r="E99" s="2855">
        <v>0.1</v>
      </c>
      <c r="F99" s="2855">
        <v>15</v>
      </c>
    </row>
    <row r="100" spans="1:6" ht="13.5">
      <c r="A100" s="2855">
        <v>28</v>
      </c>
      <c r="B100" s="3550"/>
      <c r="C100" s="2829" t="s">
        <v>2695</v>
      </c>
      <c r="D100" s="2829" t="s">
        <v>2696</v>
      </c>
      <c r="E100" s="2855">
        <v>0.1</v>
      </c>
      <c r="F100" s="2855">
        <v>15</v>
      </c>
    </row>
    <row r="101" spans="1:6" ht="13.5">
      <c r="A101" s="2855">
        <v>29</v>
      </c>
      <c r="B101" s="3550"/>
      <c r="C101" s="2829" t="s">
        <v>2697</v>
      </c>
      <c r="D101" s="2829" t="s">
        <v>2698</v>
      </c>
      <c r="E101" s="2855">
        <v>0.1</v>
      </c>
      <c r="F101" s="2855">
        <v>15</v>
      </c>
    </row>
    <row r="102" spans="1:6" ht="13.5">
      <c r="A102" s="2855">
        <v>30</v>
      </c>
      <c r="B102" s="3550"/>
      <c r="C102" s="2829" t="s">
        <v>2699</v>
      </c>
      <c r="D102" s="2829" t="s">
        <v>2700</v>
      </c>
      <c r="E102" s="2855">
        <v>0.1</v>
      </c>
      <c r="F102" s="2855">
        <v>15</v>
      </c>
    </row>
    <row r="103" spans="1:6" ht="24">
      <c r="A103" s="2855">
        <v>31</v>
      </c>
      <c r="B103" s="3550"/>
      <c r="C103" s="2829" t="s">
        <v>2701</v>
      </c>
      <c r="D103" s="2829" t="s">
        <v>2702</v>
      </c>
      <c r="E103" s="2855">
        <v>0.1</v>
      </c>
      <c r="F103" s="2855">
        <v>15</v>
      </c>
    </row>
    <row r="104" spans="1:6" ht="24">
      <c r="A104" s="2855">
        <v>32</v>
      </c>
      <c r="B104" s="3550"/>
      <c r="C104" s="2829" t="s">
        <v>2703</v>
      </c>
      <c r="D104" s="2829" t="s">
        <v>2704</v>
      </c>
      <c r="E104" s="2855">
        <v>0.1</v>
      </c>
      <c r="F104" s="2855">
        <v>15</v>
      </c>
    </row>
    <row r="105" spans="1:6" ht="24">
      <c r="A105" s="2855">
        <v>33</v>
      </c>
      <c r="B105" s="3550"/>
      <c r="C105" s="2829" t="s">
        <v>2705</v>
      </c>
      <c r="D105" s="2829" t="s">
        <v>2706</v>
      </c>
      <c r="E105" s="2855">
        <v>0.1</v>
      </c>
      <c r="F105" s="2855">
        <v>15</v>
      </c>
    </row>
    <row r="106" spans="1:6" ht="24">
      <c r="A106" s="2855">
        <v>34</v>
      </c>
      <c r="B106" s="3549"/>
      <c r="C106" s="2829" t="s">
        <v>2707</v>
      </c>
      <c r="D106" s="2829" t="s">
        <v>2708</v>
      </c>
      <c r="E106" s="2855">
        <v>0.1</v>
      </c>
      <c r="F106" s="2855">
        <v>15</v>
      </c>
    </row>
    <row r="107" spans="1:6" ht="24">
      <c r="A107" s="2855">
        <v>35</v>
      </c>
      <c r="B107" s="3548" t="s">
        <v>2709</v>
      </c>
      <c r="C107" s="2855" t="s">
        <v>2710</v>
      </c>
      <c r="D107" s="2829" t="s">
        <v>2711</v>
      </c>
      <c r="E107" s="2855">
        <v>0.15</v>
      </c>
      <c r="F107" s="2855">
        <v>20</v>
      </c>
    </row>
    <row r="108" spans="1:6" ht="13.5">
      <c r="A108" s="2855">
        <v>36</v>
      </c>
      <c r="B108" s="3550"/>
      <c r="C108" s="2855" t="s">
        <v>2712</v>
      </c>
      <c r="D108" s="2829" t="s">
        <v>2713</v>
      </c>
      <c r="E108" s="2855">
        <v>0.15</v>
      </c>
      <c r="F108" s="2855">
        <v>20</v>
      </c>
    </row>
    <row r="109" spans="1:6" ht="13.5">
      <c r="A109" s="2855">
        <v>37</v>
      </c>
      <c r="B109" s="3550"/>
      <c r="C109" s="2855" t="s">
        <v>2714</v>
      </c>
      <c r="D109" s="2829" t="s">
        <v>2715</v>
      </c>
      <c r="E109" s="2855">
        <v>0.15</v>
      </c>
      <c r="F109" s="2855">
        <v>20</v>
      </c>
    </row>
    <row r="110" spans="1:6" ht="13.5">
      <c r="A110" s="2855">
        <v>38</v>
      </c>
      <c r="B110" s="3550"/>
      <c r="C110" s="2855" t="s">
        <v>2716</v>
      </c>
      <c r="D110" s="2829" t="s">
        <v>2717</v>
      </c>
      <c r="E110" s="2855">
        <v>0.1</v>
      </c>
      <c r="F110" s="2855">
        <v>15</v>
      </c>
    </row>
    <row r="111" spans="1:6" ht="24">
      <c r="A111" s="2855">
        <v>39</v>
      </c>
      <c r="B111" s="3550"/>
      <c r="C111" s="2855" t="s">
        <v>2718</v>
      </c>
      <c r="D111" s="2829" t="s">
        <v>2719</v>
      </c>
      <c r="E111" s="2855">
        <v>0.1</v>
      </c>
      <c r="F111" s="2855">
        <v>15</v>
      </c>
    </row>
    <row r="112" spans="1:6" ht="24">
      <c r="A112" s="2855">
        <v>40</v>
      </c>
      <c r="B112" s="3549"/>
      <c r="C112" s="2855" t="s">
        <v>2720</v>
      </c>
      <c r="D112" s="2829" t="s">
        <v>2721</v>
      </c>
      <c r="E112" s="2855">
        <v>0.1</v>
      </c>
      <c r="F112" s="2855">
        <v>15</v>
      </c>
    </row>
    <row r="113" spans="1:6" ht="13.5">
      <c r="A113" s="2855">
        <v>41</v>
      </c>
      <c r="B113" s="3547" t="s">
        <v>2722</v>
      </c>
      <c r="C113" s="2855" t="s">
        <v>2723</v>
      </c>
      <c r="D113" s="2829" t="s">
        <v>2724</v>
      </c>
      <c r="E113" s="2855">
        <v>0.1</v>
      </c>
      <c r="F113" s="2855">
        <v>15</v>
      </c>
    </row>
    <row r="114" spans="1:6" ht="13.5">
      <c r="A114" s="2855">
        <v>42</v>
      </c>
      <c r="B114" s="3547"/>
      <c r="C114" s="2855" t="s">
        <v>2725</v>
      </c>
      <c r="D114" s="2829" t="s">
        <v>2726</v>
      </c>
      <c r="E114" s="2855">
        <v>0.1</v>
      </c>
      <c r="F114" s="2855">
        <v>15</v>
      </c>
    </row>
    <row r="115" spans="1:6" ht="24">
      <c r="A115" s="2855">
        <v>43</v>
      </c>
      <c r="B115" s="3547"/>
      <c r="C115" s="2855" t="s">
        <v>2727</v>
      </c>
      <c r="D115" s="2829" t="s">
        <v>2728</v>
      </c>
      <c r="E115" s="2855">
        <v>0.1</v>
      </c>
      <c r="F115" s="2855">
        <v>15</v>
      </c>
    </row>
    <row r="116" spans="1:6" ht="13.5">
      <c r="A116" s="2855">
        <v>44</v>
      </c>
      <c r="B116" s="3548" t="s">
        <v>2729</v>
      </c>
      <c r="C116" s="2855" t="s">
        <v>2730</v>
      </c>
      <c r="D116" s="2829" t="s">
        <v>2731</v>
      </c>
      <c r="E116" s="2855">
        <v>0.1</v>
      </c>
      <c r="F116" s="2855">
        <v>15</v>
      </c>
    </row>
    <row r="117" spans="1:6" ht="24">
      <c r="A117" s="2855">
        <v>45</v>
      </c>
      <c r="B117" s="3549"/>
      <c r="C117" s="2829" t="s">
        <v>2732</v>
      </c>
      <c r="D117" s="2829" t="s">
        <v>2733</v>
      </c>
      <c r="E117" s="2855">
        <v>0.1</v>
      </c>
      <c r="F117" s="2855">
        <v>15</v>
      </c>
    </row>
    <row r="118" spans="1:6" ht="24">
      <c r="A118" s="2855">
        <v>46</v>
      </c>
      <c r="B118" s="3548" t="s">
        <v>2734</v>
      </c>
      <c r="C118" s="2855" t="s">
        <v>2735</v>
      </c>
      <c r="D118" s="2829" t="s">
        <v>2736</v>
      </c>
      <c r="E118" s="2855">
        <v>0.1</v>
      </c>
      <c r="F118" s="2855">
        <v>15</v>
      </c>
    </row>
    <row r="119" spans="1:6" ht="24">
      <c r="A119" s="2855">
        <v>47</v>
      </c>
      <c r="B119" s="3549"/>
      <c r="C119" s="2855" t="s">
        <v>2737</v>
      </c>
      <c r="D119" s="2829" t="s">
        <v>2738</v>
      </c>
      <c r="E119" s="2855">
        <v>0.1</v>
      </c>
      <c r="F119" s="2855">
        <v>15</v>
      </c>
    </row>
    <row r="120" spans="1:6" ht="13.5">
      <c r="A120" s="2855">
        <v>48</v>
      </c>
      <c r="B120" s="3548" t="s">
        <v>2739</v>
      </c>
      <c r="C120" s="2855" t="s">
        <v>2740</v>
      </c>
      <c r="D120" s="2829" t="s">
        <v>2741</v>
      </c>
      <c r="E120" s="2855">
        <v>0.1</v>
      </c>
      <c r="F120" s="2855">
        <v>15</v>
      </c>
    </row>
    <row r="121" spans="1:6" ht="13.5">
      <c r="A121" s="2855">
        <v>49</v>
      </c>
      <c r="B121" s="3549"/>
      <c r="C121" s="2855" t="s">
        <v>2742</v>
      </c>
      <c r="D121" s="2829" t="s">
        <v>2743</v>
      </c>
      <c r="E121" s="2855">
        <v>0.1</v>
      </c>
      <c r="F121" s="2855">
        <v>15</v>
      </c>
    </row>
    <row r="122" spans="1:6" ht="24">
      <c r="A122" s="2855">
        <v>50</v>
      </c>
      <c r="B122" s="3547" t="s">
        <v>2744</v>
      </c>
      <c r="C122" s="2855" t="s">
        <v>2745</v>
      </c>
      <c r="D122" s="2829" t="s">
        <v>2746</v>
      </c>
      <c r="E122" s="2855">
        <v>0.1</v>
      </c>
      <c r="F122" s="2855">
        <v>15</v>
      </c>
    </row>
    <row r="123" spans="1:6" ht="24">
      <c r="A123" s="2855">
        <v>51</v>
      </c>
      <c r="B123" s="3547"/>
      <c r="C123" s="2855" t="s">
        <v>2747</v>
      </c>
      <c r="D123" s="2829" t="s">
        <v>2748</v>
      </c>
      <c r="E123" s="2855">
        <v>0.1</v>
      </c>
      <c r="F123" s="2855">
        <v>15</v>
      </c>
    </row>
    <row r="124" spans="1:6" ht="24">
      <c r="A124" s="2855">
        <v>52</v>
      </c>
      <c r="B124" s="3547" t="s">
        <v>2749</v>
      </c>
      <c r="C124" s="2855" t="s">
        <v>2750</v>
      </c>
      <c r="D124" s="2829" t="s">
        <v>2751</v>
      </c>
      <c r="E124" s="2855">
        <v>0.1</v>
      </c>
      <c r="F124" s="2855">
        <v>15</v>
      </c>
    </row>
    <row r="125" spans="1:6" ht="24">
      <c r="A125" s="2855">
        <v>53</v>
      </c>
      <c r="B125" s="3547"/>
      <c r="C125" s="2855" t="s">
        <v>2752</v>
      </c>
      <c r="D125" s="2829" t="s">
        <v>2753</v>
      </c>
      <c r="E125" s="2855">
        <v>0.1</v>
      </c>
      <c r="F125" s="2855">
        <v>15</v>
      </c>
    </row>
    <row r="126" spans="1:6" ht="13.5">
      <c r="A126" s="2855">
        <v>54</v>
      </c>
      <c r="B126" s="2855" t="s">
        <v>2754</v>
      </c>
      <c r="C126" s="2855" t="s">
        <v>2755</v>
      </c>
      <c r="D126" s="2829" t="s">
        <v>2756</v>
      </c>
      <c r="E126" s="2855">
        <v>0.1</v>
      </c>
      <c r="F126" s="2855">
        <v>15</v>
      </c>
    </row>
    <row r="127" spans="1:6" ht="13.5">
      <c r="A127" s="2855">
        <v>55</v>
      </c>
      <c r="B127" s="3547" t="s">
        <v>2757</v>
      </c>
      <c r="C127" s="2855" t="s">
        <v>2758</v>
      </c>
      <c r="D127" s="2829" t="s">
        <v>2759</v>
      </c>
      <c r="E127" s="2855">
        <v>0.1</v>
      </c>
      <c r="F127" s="2855">
        <v>15</v>
      </c>
    </row>
    <row r="128" spans="1:6" ht="13.5">
      <c r="A128" s="2855">
        <v>56</v>
      </c>
      <c r="B128" s="3547"/>
      <c r="C128" s="2855" t="s">
        <v>2760</v>
      </c>
      <c r="D128" s="2829" t="s">
        <v>2761</v>
      </c>
      <c r="E128" s="2855">
        <v>0.1</v>
      </c>
      <c r="F128" s="2855">
        <v>15</v>
      </c>
    </row>
    <row r="129" spans="1:6" ht="24">
      <c r="A129" s="2855">
        <v>57</v>
      </c>
      <c r="B129" s="3547"/>
      <c r="C129" s="2855" t="s">
        <v>2762</v>
      </c>
      <c r="D129" s="2829" t="s">
        <v>2763</v>
      </c>
      <c r="E129" s="2855">
        <v>0.1</v>
      </c>
      <c r="F129" s="2855">
        <v>15</v>
      </c>
    </row>
    <row r="130" spans="1:6" ht="24">
      <c r="A130" s="2855">
        <v>58</v>
      </c>
      <c r="B130" s="3547" t="s">
        <v>2764</v>
      </c>
      <c r="C130" s="2855" t="s">
        <v>2765</v>
      </c>
      <c r="D130" s="2829" t="s">
        <v>2766</v>
      </c>
      <c r="E130" s="2855">
        <v>0.1</v>
      </c>
      <c r="F130" s="2855">
        <v>15</v>
      </c>
    </row>
    <row r="131" spans="1:6" ht="13.5">
      <c r="A131" s="2855">
        <v>59</v>
      </c>
      <c r="B131" s="3547"/>
      <c r="C131" s="2855" t="s">
        <v>2767</v>
      </c>
      <c r="D131" s="2829" t="s">
        <v>2768</v>
      </c>
      <c r="E131" s="2855">
        <v>0.1</v>
      </c>
      <c r="F131" s="2855">
        <v>15</v>
      </c>
    </row>
    <row r="132" spans="1:6" ht="13.5">
      <c r="A132" s="2855">
        <v>60</v>
      </c>
      <c r="B132" s="3548" t="s">
        <v>2769</v>
      </c>
      <c r="C132" s="2855" t="s">
        <v>2770</v>
      </c>
      <c r="D132" s="2829" t="s">
        <v>2771</v>
      </c>
      <c r="E132" s="2855">
        <v>0.1</v>
      </c>
      <c r="F132" s="2855">
        <v>15</v>
      </c>
    </row>
    <row r="133" spans="1:6" ht="13.5">
      <c r="A133" s="2855">
        <v>61</v>
      </c>
      <c r="B133" s="3549"/>
      <c r="C133" s="2855" t="s">
        <v>2772</v>
      </c>
      <c r="D133" s="2829" t="s">
        <v>2773</v>
      </c>
      <c r="E133" s="2855">
        <v>0.1</v>
      </c>
      <c r="F133" s="2855">
        <v>15</v>
      </c>
    </row>
    <row r="134" spans="1:6" ht="24">
      <c r="A134" s="2855">
        <v>62</v>
      </c>
      <c r="B134" s="2855" t="s">
        <v>2774</v>
      </c>
      <c r="C134" s="2855" t="s">
        <v>2775</v>
      </c>
      <c r="D134" s="2829" t="s">
        <v>2776</v>
      </c>
      <c r="E134" s="2855">
        <v>0.1</v>
      </c>
      <c r="F134" s="2855">
        <v>15</v>
      </c>
    </row>
    <row r="135" spans="1:6" ht="13.5">
      <c r="A135" s="2855">
        <v>63</v>
      </c>
      <c r="B135" s="3547" t="s">
        <v>2777</v>
      </c>
      <c r="C135" s="2855" t="s">
        <v>2778</v>
      </c>
      <c r="D135" s="2829" t="s">
        <v>2779</v>
      </c>
      <c r="E135" s="2855">
        <v>0.1</v>
      </c>
      <c r="F135" s="2855">
        <v>15</v>
      </c>
    </row>
    <row r="136" spans="1:6" ht="13.5">
      <c r="A136" s="2855">
        <v>64</v>
      </c>
      <c r="B136" s="3547"/>
      <c r="C136" s="2855" t="s">
        <v>2780</v>
      </c>
      <c r="D136" s="2829" t="s">
        <v>2781</v>
      </c>
      <c r="E136" s="2855">
        <v>0.1</v>
      </c>
      <c r="F136" s="2855">
        <v>15</v>
      </c>
    </row>
    <row r="137" spans="1:6" ht="13.5">
      <c r="A137" s="2855">
        <v>65</v>
      </c>
      <c r="B137" s="2855" t="s">
        <v>2782</v>
      </c>
      <c r="C137" s="2855" t="s">
        <v>2783</v>
      </c>
      <c r="D137" s="2829" t="s">
        <v>2784</v>
      </c>
      <c r="E137" s="2855">
        <v>0.1</v>
      </c>
      <c r="F137" s="2855">
        <v>15</v>
      </c>
    </row>
    <row r="138" spans="1:6" ht="13.5">
      <c r="A138" s="2855"/>
      <c r="B138" s="2855"/>
      <c r="C138" s="2855"/>
      <c r="D138" s="2855"/>
      <c r="E138" s="2855" t="s">
        <v>2785</v>
      </c>
      <c r="F138" s="2855"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2786</v>
      </c>
      <c r="B1" s="2863"/>
      <c r="C1" s="2863"/>
      <c r="D1" s="2863"/>
      <c r="E1" s="2863"/>
      <c r="F1" s="2863"/>
      <c r="G1" s="2863"/>
      <c r="H1" s="2863"/>
      <c r="I1" s="2863"/>
      <c r="J1" s="2863"/>
      <c r="K1" s="2863"/>
      <c r="L1" s="2863"/>
      <c r="M1" s="2863"/>
      <c r="N1" s="705"/>
    </row>
    <row r="2" spans="1:20">
      <c r="A2" s="2864" t="s">
        <v>2787</v>
      </c>
      <c r="B2" s="2865" t="s">
        <v>2583</v>
      </c>
      <c r="C2" s="2865" t="s">
        <v>2584</v>
      </c>
      <c r="D2" s="2865" t="s">
        <v>2585</v>
      </c>
      <c r="E2" s="2865" t="s">
        <v>2586</v>
      </c>
      <c r="F2" s="2865" t="s">
        <v>2587</v>
      </c>
      <c r="G2" s="2865" t="s">
        <v>2588</v>
      </c>
      <c r="H2" s="2866" t="s">
        <v>2589</v>
      </c>
      <c r="I2" s="2866" t="s">
        <v>2590</v>
      </c>
      <c r="J2" s="2867" t="s">
        <v>2591</v>
      </c>
      <c r="K2" s="2867" t="s">
        <v>2592</v>
      </c>
      <c r="L2" s="2867" t="s">
        <v>2593</v>
      </c>
      <c r="M2" s="2868" t="s">
        <v>2594</v>
      </c>
      <c r="Q2" s="2878" t="s">
        <v>2792</v>
      </c>
      <c r="R2" s="2878" t="s">
        <v>2793</v>
      </c>
      <c r="S2" s="2878" t="s">
        <v>2794</v>
      </c>
      <c r="T2" s="2878" t="s">
        <v>2795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2788</v>
      </c>
      <c r="B93" s="2863"/>
      <c r="C93" s="2863"/>
      <c r="D93" s="2863"/>
      <c r="E93" s="2863"/>
      <c r="F93" s="2863"/>
      <c r="G93" s="2863"/>
      <c r="H93" s="2863"/>
      <c r="I93" s="2863"/>
      <c r="J93" s="2863"/>
      <c r="K93" s="2863"/>
      <c r="L93" s="2863"/>
      <c r="M93" s="2863"/>
    </row>
    <row r="94" spans="1:20">
      <c r="A94" s="2864" t="s">
        <v>2787</v>
      </c>
      <c r="B94" s="2865" t="s">
        <v>2583</v>
      </c>
      <c r="C94" s="2865" t="s">
        <v>2584</v>
      </c>
      <c r="D94" s="2865" t="s">
        <v>2585</v>
      </c>
      <c r="E94" s="2865" t="s">
        <v>2586</v>
      </c>
      <c r="F94" s="2865" t="s">
        <v>2587</v>
      </c>
      <c r="G94" s="2865" t="s">
        <v>2588</v>
      </c>
      <c r="H94" s="2866" t="s">
        <v>2589</v>
      </c>
      <c r="I94" s="2866" t="s">
        <v>2590</v>
      </c>
      <c r="J94" s="2867" t="s">
        <v>2591</v>
      </c>
      <c r="K94" s="2867" t="s">
        <v>2592</v>
      </c>
      <c r="L94" s="2867" t="s">
        <v>2593</v>
      </c>
      <c r="M94" s="2868" t="s">
        <v>2594</v>
      </c>
      <c r="N94">
        <f>SUMPRODUCT((A95:A184=ROUNDDOWN(基准地价修正!G3,1))*(B94:M94=基准地价修正!G2)*(B95:M184))</f>
        <v>1.0185999999999999</v>
      </c>
      <c r="Q94" s="2878" t="s">
        <v>2792</v>
      </c>
      <c r="R94" s="2878" t="s">
        <v>2793</v>
      </c>
      <c r="S94" s="2878" t="s">
        <v>2794</v>
      </c>
      <c r="T94" s="2878" t="s">
        <v>2795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5"/>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5"/>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2789</v>
      </c>
      <c r="B185" s="2863"/>
      <c r="C185" s="2863"/>
      <c r="D185" s="2863"/>
      <c r="E185" s="2863"/>
      <c r="F185" s="2863"/>
      <c r="G185" s="2863"/>
      <c r="H185" s="2863"/>
      <c r="I185" s="2863"/>
      <c r="J185" s="2863"/>
      <c r="K185" s="2863"/>
      <c r="L185" s="2863"/>
      <c r="M185" s="2863"/>
    </row>
    <row r="186" spans="1:20">
      <c r="A186" s="2864" t="s">
        <v>2787</v>
      </c>
      <c r="B186" s="2865" t="s">
        <v>2583</v>
      </c>
      <c r="C186" s="2865" t="s">
        <v>2584</v>
      </c>
      <c r="D186" s="2865" t="s">
        <v>2585</v>
      </c>
      <c r="E186" s="2865" t="s">
        <v>2586</v>
      </c>
      <c r="F186" s="2865" t="s">
        <v>2587</v>
      </c>
      <c r="G186" s="2865" t="s">
        <v>2588</v>
      </c>
      <c r="H186" s="2866" t="s">
        <v>2589</v>
      </c>
      <c r="I186" s="2866" t="s">
        <v>2590</v>
      </c>
      <c r="J186" s="2867" t="s">
        <v>2591</v>
      </c>
      <c r="K186" s="2867" t="s">
        <v>2592</v>
      </c>
      <c r="L186" s="2867" t="s">
        <v>2593</v>
      </c>
      <c r="M186" s="2868" t="s">
        <v>2594</v>
      </c>
      <c r="Q186" s="2878" t="s">
        <v>2792</v>
      </c>
      <c r="R186" s="2878" t="s">
        <v>2793</v>
      </c>
      <c r="S186" s="2878" t="s">
        <v>2794</v>
      </c>
      <c r="T186" s="2878" t="s">
        <v>2795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2790</v>
      </c>
      <c r="B277" s="2863"/>
      <c r="C277" s="2863"/>
      <c r="D277" s="2863"/>
      <c r="E277" s="2863"/>
      <c r="F277" s="2863"/>
      <c r="G277" s="2863"/>
      <c r="H277" s="2863"/>
      <c r="I277" s="2863"/>
      <c r="J277" s="2863"/>
      <c r="K277" s="2863"/>
      <c r="L277" s="2863"/>
      <c r="M277" s="2863"/>
    </row>
    <row r="278" spans="1:21">
      <c r="A278" s="2864" t="s">
        <v>2787</v>
      </c>
      <c r="B278" s="2865" t="s">
        <v>2583</v>
      </c>
      <c r="C278" s="2865" t="s">
        <v>2584</v>
      </c>
      <c r="D278" s="2865" t="s">
        <v>2585</v>
      </c>
      <c r="E278" s="2865" t="s">
        <v>2586</v>
      </c>
      <c r="F278" s="2865" t="s">
        <v>2587</v>
      </c>
      <c r="G278" s="2865" t="s">
        <v>2588</v>
      </c>
      <c r="H278" s="2866" t="s">
        <v>2589</v>
      </c>
      <c r="I278" s="2866" t="s">
        <v>2590</v>
      </c>
      <c r="J278" s="2867" t="s">
        <v>2591</v>
      </c>
      <c r="K278" s="2867" t="s">
        <v>2592</v>
      </c>
      <c r="L278" s="2867" t="s">
        <v>2593</v>
      </c>
      <c r="M278" s="2868" t="s">
        <v>2594</v>
      </c>
      <c r="Q278" s="2878" t="s">
        <v>2792</v>
      </c>
      <c r="R278" s="2878" t="s">
        <v>2793</v>
      </c>
      <c r="S278" s="2878" t="s">
        <v>2796</v>
      </c>
      <c r="T278" s="2878" t="s">
        <v>2797</v>
      </c>
      <c r="U278" s="2878" t="s">
        <v>2795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2791</v>
      </c>
      <c r="B369" s="2876"/>
      <c r="C369" s="2876"/>
      <c r="D369" s="2876"/>
      <c r="E369" s="2876"/>
      <c r="F369" s="2876"/>
      <c r="G369" s="2876"/>
      <c r="H369" s="2876"/>
      <c r="I369" s="2876"/>
      <c r="J369" s="2876"/>
      <c r="K369" s="2876"/>
      <c r="L369" s="2876"/>
      <c r="M369" s="2876"/>
    </row>
    <row r="370" spans="1:20">
      <c r="A370" s="2864" t="s">
        <v>2787</v>
      </c>
      <c r="B370" s="2865" t="s">
        <v>2583</v>
      </c>
      <c r="C370" s="2865" t="s">
        <v>2584</v>
      </c>
      <c r="D370" s="2865" t="s">
        <v>2585</v>
      </c>
      <c r="E370" s="2865" t="s">
        <v>2586</v>
      </c>
      <c r="F370" s="2865" t="s">
        <v>2587</v>
      </c>
      <c r="G370" s="2865" t="s">
        <v>2588</v>
      </c>
      <c r="H370" s="2866" t="s">
        <v>2589</v>
      </c>
      <c r="I370" s="2866" t="s">
        <v>2590</v>
      </c>
      <c r="J370" s="2867" t="s">
        <v>2591</v>
      </c>
      <c r="K370" s="2867" t="s">
        <v>2592</v>
      </c>
      <c r="L370" s="2867" t="s">
        <v>2593</v>
      </c>
      <c r="M370" s="2868" t="s">
        <v>2594</v>
      </c>
      <c r="N370">
        <f>SUMPRODUCT((A371:A460=ROUNDDOWN(基准地价修正!G3,1))*(B370:M370=基准地价修正!G2)*(B371:M460))</f>
        <v>0.96889999999999998</v>
      </c>
      <c r="Q370" s="2878" t="s">
        <v>2792</v>
      </c>
      <c r="R370" s="2878" t="s">
        <v>2793</v>
      </c>
      <c r="S370" s="2878" t="s">
        <v>2794</v>
      </c>
      <c r="T370" s="2878" t="s">
        <v>2795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43246</v>
      </c>
      <c r="C2" s="2" t="s">
        <v>106</v>
      </c>
      <c r="D2" s="190"/>
      <c r="E2" s="190"/>
      <c r="F2" s="190"/>
      <c r="G2" s="190"/>
    </row>
    <row r="3" spans="1:7" s="191" customFormat="1" ht="18" customHeight="1" thickBot="1">
      <c r="A3" s="194" t="s">
        <v>58</v>
      </c>
      <c r="B3" s="195">
        <f ca="1">ROUND(B2*10000/'数据-汇总表'!E3,0)</f>
        <v>18021</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160</v>
      </c>
      <c r="F9" s="212"/>
      <c r="G9" s="217"/>
    </row>
    <row r="10" spans="1:7" s="205" customFormat="1" ht="13.5" customHeight="1">
      <c r="A10" s="731" t="s">
        <v>356</v>
      </c>
      <c r="B10" s="215" t="s">
        <v>67</v>
      </c>
      <c r="C10" s="216">
        <f>ROUND(D10*E10/10000,0)</f>
        <v>480</v>
      </c>
      <c r="D10" s="793">
        <f>'数据-汇总表'!E6</f>
        <v>23997.3</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480</v>
      </c>
      <c r="D19" s="203">
        <f>'数据-汇总表'!E3</f>
        <v>23997.3</v>
      </c>
      <c r="E19" s="202">
        <f>'数据-取费表'!B31</f>
        <v>200</v>
      </c>
      <c r="F19" s="222"/>
      <c r="G19" s="1" t="s">
        <v>436</v>
      </c>
    </row>
    <row r="20" spans="1:7" s="205" customFormat="1" ht="13.5" customHeight="1">
      <c r="A20" s="729" t="s">
        <v>419</v>
      </c>
      <c r="B20" s="201" t="s">
        <v>77</v>
      </c>
      <c r="C20" s="223">
        <f>ROUND((C5+C19)*F20,0)</f>
        <v>633</v>
      </c>
      <c r="D20" s="223"/>
      <c r="E20" s="223"/>
      <c r="F20" s="224">
        <f>'数据-取费表'!B37</f>
        <v>0.03</v>
      </c>
      <c r="G20" s="1002" t="s">
        <v>430</v>
      </c>
    </row>
    <row r="21" spans="1:7" s="205" customFormat="1" ht="13.5" customHeight="1">
      <c r="A21" s="729" t="s">
        <v>421</v>
      </c>
      <c r="B21" s="201" t="s">
        <v>78</v>
      </c>
      <c r="C21" s="226">
        <f>F21</f>
        <v>0.03</v>
      </c>
      <c r="D21" s="227" t="s">
        <v>99</v>
      </c>
      <c r="E21" s="223"/>
      <c r="F21" s="224">
        <f>'数据-取费表'!B38</f>
        <v>0.03</v>
      </c>
      <c r="G21" s="225" t="s">
        <v>79</v>
      </c>
    </row>
    <row r="22" spans="1:7" s="205" customFormat="1" ht="13.5" customHeight="1">
      <c r="A22" s="729" t="s">
        <v>341</v>
      </c>
      <c r="B22" s="201" t="s">
        <v>80</v>
      </c>
      <c r="C22" s="1039">
        <f ca="1">ROUND(SUM(C23:C25),0)</f>
        <v>1141</v>
      </c>
      <c r="D22" s="226">
        <f ca="1">C26</f>
        <v>8.0000000000000004E-4</v>
      </c>
      <c r="E22" s="227" t="s">
        <v>99</v>
      </c>
      <c r="F22" s="228">
        <f ca="1">'数据-取费表'!B40</f>
        <v>3.1E-2</v>
      </c>
      <c r="G22" s="1002" t="str">
        <f>IF('数据-取费表'!B22&lt;=1,"单利计息","复利计息")</f>
        <v>复利计息</v>
      </c>
    </row>
    <row r="23" spans="1:7" s="205" customFormat="1" ht="13.5" customHeight="1">
      <c r="A23" s="732" t="s">
        <v>349</v>
      </c>
      <c r="B23" s="206" t="s">
        <v>423</v>
      </c>
      <c r="C23" s="1040">
        <f ca="1">ROUND(IF('数据-取费表'!B22&lt;=1,C5*F22*'数据-取费表'!B23,C5*(POWER((1+F22),'数据-取费表'!B23)-1)),0)</f>
        <v>1098</v>
      </c>
      <c r="D23" s="229"/>
      <c r="E23" s="229"/>
      <c r="F23" s="230"/>
      <c r="G23" s="231" t="s">
        <v>81</v>
      </c>
    </row>
    <row r="24" spans="1:7" s="205" customFormat="1" ht="13.5" customHeight="1">
      <c r="A24" s="732" t="s">
        <v>347</v>
      </c>
      <c r="B24" s="206" t="s">
        <v>418</v>
      </c>
      <c r="C24" s="1040">
        <f ca="1">ROUND(IF('数据-取费表'!B22&lt;=1,C19*F22*('数据-取费表'!B19/2+'数据-取费表'!B21),C19*(POWER((1+F22),('数据-取费表'!B19/2+'数据-取费表'!B21))-1)),0)</f>
        <v>26</v>
      </c>
      <c r="D24" s="229"/>
      <c r="E24" s="229"/>
      <c r="F24" s="230"/>
      <c r="G24" s="231" t="s">
        <v>82</v>
      </c>
    </row>
    <row r="25" spans="1:7" s="205" customFormat="1" ht="24">
      <c r="A25" s="732" t="s">
        <v>348</v>
      </c>
      <c r="B25" s="206" t="s">
        <v>420</v>
      </c>
      <c r="C25" s="1040">
        <f ca="1">ROUND(IF('数据-取费表'!B22&lt;=1,C20*F22*'数据-取费表'!B23/2,C20*(POWER((1+F22),'数据-取费表'!B23/2)-1)),0)</f>
        <v>17</v>
      </c>
      <c r="D25" s="229"/>
      <c r="E25" s="232"/>
      <c r="F25" s="230"/>
      <c r="G25" s="233" t="s">
        <v>83</v>
      </c>
    </row>
    <row r="26" spans="1:7" s="205" customFormat="1">
      <c r="A26" s="732" t="s">
        <v>350</v>
      </c>
      <c r="B26" s="206" t="s">
        <v>422</v>
      </c>
      <c r="C26" s="229">
        <f ca="1">ROUND(IF('数据-取费表'!B22&lt;=1,F21*F22*'数据-取费表'!B23/2,F21*(POWER((1+F22),'数据-取费表'!B23/2)-1)),4)</f>
        <v>8.0000000000000004E-4</v>
      </c>
      <c r="D26" s="229"/>
      <c r="E26" s="232"/>
      <c r="F26" s="230"/>
      <c r="G26" s="234"/>
    </row>
    <row r="27" spans="1:7" s="205" customFormat="1" ht="24.75">
      <c r="A27" s="729" t="s">
        <v>342</v>
      </c>
      <c r="B27" s="235" t="s">
        <v>85</v>
      </c>
      <c r="C27" s="236">
        <f>C28</f>
        <v>2770</v>
      </c>
      <c r="D27" s="226">
        <f>C29</f>
        <v>3.8E-3</v>
      </c>
      <c r="E27" s="227" t="s">
        <v>99</v>
      </c>
      <c r="F27" s="237">
        <f>'数据-取费表'!Q16</f>
        <v>0.15</v>
      </c>
      <c r="G27" s="238" t="s">
        <v>431</v>
      </c>
    </row>
    <row r="28" spans="1:7" s="205" customFormat="1" ht="13.5" customHeight="1">
      <c r="A28" s="732" t="s">
        <v>349</v>
      </c>
      <c r="B28" s="239" t="s">
        <v>424</v>
      </c>
      <c r="C28" s="240">
        <f>ROUND((C5+C19+C20)*F27*'数据-取费表'!B21/'数据-取费表'!B20,0)</f>
        <v>2770</v>
      </c>
      <c r="D28" s="226"/>
      <c r="E28" s="227"/>
      <c r="F28" s="237"/>
      <c r="G28" s="238"/>
    </row>
    <row r="29" spans="1:7" s="205" customFormat="1" ht="13.5" customHeight="1">
      <c r="A29" s="732" t="s">
        <v>347</v>
      </c>
      <c r="B29" s="239" t="s">
        <v>425</v>
      </c>
      <c r="C29" s="229">
        <f>ROUND(C21*F27*'数据-取费表'!B21/'数据-取费表'!B20,4)</f>
        <v>3.8E-3</v>
      </c>
      <c r="D29" s="226"/>
      <c r="E29" s="227"/>
      <c r="F29" s="237"/>
      <c r="G29" s="238"/>
    </row>
    <row r="30" spans="1:7" s="205" customFormat="1" ht="13.5" customHeight="1">
      <c r="A30" s="729"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28076</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11423</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10199</v>
      </c>
      <c r="D34" s="208"/>
      <c r="E34" s="211"/>
      <c r="F34" s="248">
        <f>IF('数据-取费表'!B24=0,1,'数据-取费表'!N16)</f>
        <v>0.85</v>
      </c>
      <c r="G34" s="210" t="s">
        <v>89</v>
      </c>
    </row>
    <row r="35" spans="1:7" ht="13.5" customHeight="1">
      <c r="A35" s="732" t="s">
        <v>351</v>
      </c>
      <c r="B35" s="206" t="s">
        <v>33</v>
      </c>
      <c r="C35" s="211">
        <f>ROUND(C34*F35,0)</f>
        <v>510</v>
      </c>
      <c r="D35" s="211"/>
      <c r="E35" s="211"/>
      <c r="F35" s="250">
        <f>'数据-取费表'!B33</f>
        <v>0.05</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408</v>
      </c>
      <c r="D37" s="208">
        <f>'数据-汇总表'!E3</f>
        <v>23997.3</v>
      </c>
      <c r="E37" s="240">
        <f>'数据-取费表'!B35</f>
        <v>200</v>
      </c>
      <c r="F37" s="250"/>
      <c r="G37" s="252" t="s">
        <v>92</v>
      </c>
    </row>
    <row r="38" spans="1:7" ht="13.5" customHeight="1">
      <c r="A38" s="732" t="s">
        <v>354</v>
      </c>
      <c r="B38" s="206" t="s">
        <v>36</v>
      </c>
      <c r="C38" s="211">
        <f>ROUND(C34*F38,0)</f>
        <v>306</v>
      </c>
      <c r="D38" s="211"/>
      <c r="E38" s="211"/>
      <c r="F38" s="250">
        <f>'数据-取费表'!B36</f>
        <v>0.03</v>
      </c>
      <c r="G38" s="210" t="s">
        <v>90</v>
      </c>
    </row>
    <row r="39" spans="1:7" s="205" customFormat="1" ht="13.5" customHeight="1">
      <c r="A39" s="729" t="s">
        <v>338</v>
      </c>
      <c r="B39" s="201" t="s">
        <v>77</v>
      </c>
      <c r="C39" s="223">
        <f>ROUND(C33*F20,0)</f>
        <v>343</v>
      </c>
      <c r="D39" s="223"/>
      <c r="E39" s="223"/>
      <c r="F39" s="224"/>
      <c r="G39" s="1002" t="s">
        <v>433</v>
      </c>
    </row>
    <row r="40" spans="1:7" s="205" customFormat="1" ht="13.5" customHeight="1">
      <c r="A40" s="729" t="s">
        <v>339</v>
      </c>
      <c r="B40" s="201" t="s">
        <v>78</v>
      </c>
      <c r="C40" s="253">
        <f>F21</f>
        <v>0.03</v>
      </c>
      <c r="D40" s="227" t="s">
        <v>102</v>
      </c>
      <c r="E40" s="223"/>
      <c r="F40" s="224"/>
      <c r="G40" s="225" t="s">
        <v>93</v>
      </c>
    </row>
    <row r="41" spans="1:7" s="205" customFormat="1" ht="13.5" customHeight="1">
      <c r="A41" s="729" t="s">
        <v>340</v>
      </c>
      <c r="B41" s="201" t="s">
        <v>80</v>
      </c>
      <c r="C41" s="223">
        <f ca="1">ROUND(SUM(C42:C43),0)</f>
        <v>309</v>
      </c>
      <c r="D41" s="226">
        <f ca="1">C44</f>
        <v>8.0000000000000004E-4</v>
      </c>
      <c r="E41" s="227" t="s">
        <v>102</v>
      </c>
      <c r="F41" s="228"/>
      <c r="G41" s="1002" t="str">
        <f>IF('数据-取费表'!B22&lt;=1,"单利计息","复利计息")</f>
        <v>复利计息</v>
      </c>
    </row>
    <row r="42" spans="1:7" ht="13.5" customHeight="1">
      <c r="A42" s="732" t="s">
        <v>349</v>
      </c>
      <c r="B42" s="206" t="s">
        <v>423</v>
      </c>
      <c r="C42" s="229">
        <f ca="1">ROUND(IF('数据-取费表'!B22&lt;=1,C33*F22*'数据-取费表'!B21/2,C33*(POWER((1+F22),'数据-取费表'!B21/2)-1)),0)</f>
        <v>300</v>
      </c>
      <c r="D42" s="229"/>
      <c r="E42" s="229"/>
      <c r="F42" s="230"/>
      <c r="G42" s="3423" t="s">
        <v>94</v>
      </c>
    </row>
    <row r="43" spans="1:7" ht="13.5" customHeight="1">
      <c r="A43" s="732" t="s">
        <v>347</v>
      </c>
      <c r="B43" s="206" t="s">
        <v>426</v>
      </c>
      <c r="C43" s="229">
        <f ca="1">ROUND(IF('数据-取费表'!B22&lt;=1,C39*F22*'数据-取费表'!B21/2,C39*(POWER((1+F22),'数据-取费表'!B21/2)-1)),0)</f>
        <v>9</v>
      </c>
      <c r="D43" s="229"/>
      <c r="E43" s="229"/>
      <c r="F43" s="230"/>
      <c r="G43" s="3424"/>
    </row>
    <row r="44" spans="1:7" ht="13.5" customHeight="1">
      <c r="A44" s="732" t="s">
        <v>348</v>
      </c>
      <c r="B44" s="206" t="s">
        <v>428</v>
      </c>
      <c r="C44" s="229">
        <f ca="1">ROUND(IF('数据-取费表'!B22&lt;=1,C40*F22*'数据-取费表'!B21/2,C40*(POWER((1+F22),'数据-取费表'!B21/2)-1)),4)</f>
        <v>8.0000000000000004E-4</v>
      </c>
      <c r="D44" s="229"/>
      <c r="E44" s="229"/>
      <c r="F44" s="230"/>
      <c r="G44" s="3425"/>
    </row>
    <row r="45" spans="1:7" s="205" customFormat="1" ht="13.5" customHeight="1">
      <c r="A45" s="729" t="s">
        <v>341</v>
      </c>
      <c r="B45" s="235" t="s">
        <v>85</v>
      </c>
      <c r="C45" s="236">
        <f>C46</f>
        <v>1765</v>
      </c>
      <c r="D45" s="226">
        <f>C47</f>
        <v>4.4999999999999997E-3</v>
      </c>
      <c r="E45" s="227" t="s">
        <v>102</v>
      </c>
      <c r="F45" s="237"/>
      <c r="G45" s="238" t="s">
        <v>434</v>
      </c>
    </row>
    <row r="46" spans="1:7" s="205" customFormat="1" ht="13.5" customHeight="1">
      <c r="A46" s="732" t="s">
        <v>349</v>
      </c>
      <c r="B46" s="239" t="s">
        <v>427</v>
      </c>
      <c r="C46" s="240">
        <f>ROUND((C33+C39)*F27,0)</f>
        <v>1765</v>
      </c>
      <c r="D46" s="254"/>
      <c r="E46" s="227"/>
      <c r="F46" s="237"/>
      <c r="G46" s="238"/>
    </row>
    <row r="47" spans="1:7" s="205" customFormat="1" ht="13.5" customHeight="1">
      <c r="A47" s="732" t="s">
        <v>347</v>
      </c>
      <c r="B47" s="239" t="s">
        <v>429</v>
      </c>
      <c r="C47" s="229">
        <f>ROUND(C40*F27,4)</f>
        <v>4.4999999999999997E-3</v>
      </c>
      <c r="D47" s="254"/>
      <c r="E47" s="227"/>
      <c r="F47" s="237"/>
      <c r="G47" s="238"/>
    </row>
    <row r="48" spans="1:7" s="205" customFormat="1" ht="13.5" customHeight="1">
      <c r="A48" s="729" t="s">
        <v>342</v>
      </c>
      <c r="B48" s="201" t="s">
        <v>95</v>
      </c>
      <c r="C48" s="253">
        <f>F30</f>
        <v>5.5000000000000007E-2</v>
      </c>
      <c r="D48" s="227" t="s">
        <v>103</v>
      </c>
      <c r="E48" s="223"/>
      <c r="F48" s="228"/>
      <c r="G48" s="225" t="s">
        <v>96</v>
      </c>
    </row>
    <row r="49" spans="1:7" ht="16.5" customHeight="1">
      <c r="A49" s="729" t="s">
        <v>343</v>
      </c>
      <c r="B49" s="201" t="s">
        <v>104</v>
      </c>
      <c r="C49" s="223">
        <f ca="1">ROUND((C33+C39+C41+C45)/(1-C40-D41-D45-C48/(1+'数据-取费表'!B42)),0)</f>
        <v>15170</v>
      </c>
      <c r="D49" s="223"/>
      <c r="E49" s="223"/>
      <c r="F49" s="255"/>
      <c r="G49" s="225" t="s">
        <v>435</v>
      </c>
    </row>
    <row r="50" spans="1:7" s="249" customFormat="1" ht="24">
      <c r="A50" s="729" t="s">
        <v>344</v>
      </c>
      <c r="B50" s="201" t="s">
        <v>97</v>
      </c>
      <c r="C50" s="223"/>
      <c r="D50" s="223"/>
      <c r="E50" s="223"/>
      <c r="F50" s="255">
        <f>IF('数据-取费表'!B24=0,'数据-取费表'!N16,1)</f>
        <v>1</v>
      </c>
      <c r="G50" s="238" t="s">
        <v>98</v>
      </c>
    </row>
    <row r="51" spans="1:7" ht="16.5" customHeight="1">
      <c r="A51" s="729" t="s">
        <v>345</v>
      </c>
      <c r="B51" s="201" t="s">
        <v>105</v>
      </c>
      <c r="C51" s="223">
        <f ca="1">ROUND(C49*F50,0)</f>
        <v>15170</v>
      </c>
      <c r="D51" s="223"/>
      <c r="E51" s="223"/>
      <c r="F51" s="255"/>
      <c r="G51" s="225" t="s">
        <v>37</v>
      </c>
    </row>
    <row r="52" spans="1:7" s="199" customFormat="1" ht="16.5" thickBot="1">
      <c r="A52" s="256" t="s">
        <v>38</v>
      </c>
      <c r="B52" s="257"/>
      <c r="C52" s="258">
        <f ca="1">C31+C51</f>
        <v>43246</v>
      </c>
      <c r="D52" s="257"/>
      <c r="E52" s="257"/>
      <c r="F52" s="257"/>
      <c r="G52" s="259"/>
    </row>
    <row r="55" spans="1:7" ht="15">
      <c r="B55" s="261" t="s">
        <v>39</v>
      </c>
      <c r="C55" s="262"/>
    </row>
    <row r="56" spans="1:7">
      <c r="B56" s="264" t="s">
        <v>40</v>
      </c>
      <c r="C56" s="265">
        <f ca="1">ROUND(C51/C52,3)</f>
        <v>0.35099999999999998</v>
      </c>
    </row>
    <row r="57" spans="1:7">
      <c r="B57" s="264" t="s">
        <v>41</v>
      </c>
      <c r="C57" s="266">
        <f ca="1">1-C56</f>
        <v>0.64900000000000002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61" t="s">
        <v>2827</v>
      </c>
      <c r="B1" s="3561"/>
      <c r="C1" s="3561"/>
      <c r="D1" s="3561"/>
      <c r="E1" s="3561"/>
      <c r="F1" s="3561"/>
      <c r="G1" s="3562"/>
      <c r="I1" s="2936" t="s">
        <v>2828</v>
      </c>
      <c r="J1" s="2937" t="s">
        <v>2829</v>
      </c>
      <c r="K1" s="2937" t="s">
        <v>2830</v>
      </c>
      <c r="L1" s="2937" t="s">
        <v>2831</v>
      </c>
      <c r="M1" s="2937" t="s">
        <v>2832</v>
      </c>
      <c r="N1" s="2937" t="s">
        <v>2833</v>
      </c>
      <c r="O1" s="2937" t="s">
        <v>2834</v>
      </c>
      <c r="P1" s="2937" t="s">
        <v>2835</v>
      </c>
      <c r="Q1" s="2937" t="s">
        <v>2836</v>
      </c>
      <c r="R1" s="2937" t="s">
        <v>2837</v>
      </c>
      <c r="S1" s="2937" t="s">
        <v>2838</v>
      </c>
      <c r="T1" s="2938" t="s">
        <v>2839</v>
      </c>
    </row>
    <row r="2" spans="1:20" ht="12" thickBot="1">
      <c r="A2" s="2939" t="s">
        <v>2840</v>
      </c>
      <c r="B2" s="2939"/>
      <c r="C2" s="2939"/>
      <c r="D2" s="2939"/>
      <c r="E2" s="2939"/>
      <c r="F2" s="2939"/>
      <c r="G2" s="2940" t="s">
        <v>2841</v>
      </c>
      <c r="I2" s="2941" t="s">
        <v>2842</v>
      </c>
      <c r="J2" s="2941" t="s">
        <v>2843</v>
      </c>
      <c r="K2" s="2941" t="s">
        <v>2844</v>
      </c>
      <c r="L2" s="2941" t="s">
        <v>2845</v>
      </c>
      <c r="M2" s="2941" t="s">
        <v>2846</v>
      </c>
      <c r="N2" s="2941" t="s">
        <v>2847</v>
      </c>
      <c r="O2" s="2941" t="s">
        <v>2848</v>
      </c>
      <c r="P2" s="2941" t="s">
        <v>2849</v>
      </c>
      <c r="Q2" s="2941" t="s">
        <v>2850</v>
      </c>
      <c r="R2" s="2941" t="s">
        <v>2851</v>
      </c>
      <c r="S2" s="2941" t="s">
        <v>2852</v>
      </c>
      <c r="T2" s="2941" t="s">
        <v>2853</v>
      </c>
    </row>
    <row r="3" spans="1:20" s="2947" customFormat="1">
      <c r="A3" s="3559" t="s">
        <v>2854</v>
      </c>
      <c r="B3" s="2942"/>
      <c r="C3" s="2943" t="s">
        <v>2799</v>
      </c>
      <c r="D3" s="2943" t="s">
        <v>2855</v>
      </c>
      <c r="E3" s="2943" t="s">
        <v>2801</v>
      </c>
      <c r="F3" s="2943" t="s">
        <v>2856</v>
      </c>
      <c r="G3" s="2943" t="s">
        <v>2619</v>
      </c>
      <c r="H3" s="2944"/>
      <c r="I3" s="2945" t="s">
        <v>2857</v>
      </c>
      <c r="J3" s="2946" t="s">
        <v>128</v>
      </c>
      <c r="K3" s="2946" t="s">
        <v>129</v>
      </c>
      <c r="L3" s="2945" t="s">
        <v>130</v>
      </c>
      <c r="M3" s="2945" t="s">
        <v>131</v>
      </c>
      <c r="N3" s="2945" t="s">
        <v>132</v>
      </c>
      <c r="O3" s="2945" t="s">
        <v>133</v>
      </c>
      <c r="P3" s="2945" t="s">
        <v>134</v>
      </c>
      <c r="Q3" s="2945" t="s">
        <v>135</v>
      </c>
      <c r="R3" s="2945" t="s">
        <v>136</v>
      </c>
      <c r="S3" s="2945" t="s">
        <v>2858</v>
      </c>
      <c r="T3" s="2945" t="s">
        <v>2859</v>
      </c>
    </row>
    <row r="4" spans="1:20" s="2947" customFormat="1" ht="12" thickBot="1">
      <c r="A4" s="3560"/>
      <c r="B4" s="2948" t="s">
        <v>2860</v>
      </c>
      <c r="C4" s="2948" t="s">
        <v>2861</v>
      </c>
      <c r="D4" s="2948" t="s">
        <v>2861</v>
      </c>
      <c r="E4" s="2948" t="s">
        <v>2861</v>
      </c>
      <c r="F4" s="2949" t="s">
        <v>2861</v>
      </c>
      <c r="G4" s="2949" t="s">
        <v>2861</v>
      </c>
      <c r="H4" s="2944"/>
      <c r="I4" s="2946" t="s">
        <v>137</v>
      </c>
      <c r="J4" s="2946" t="s">
        <v>111</v>
      </c>
      <c r="K4" s="2946" t="s">
        <v>138</v>
      </c>
      <c r="L4" s="2945" t="s">
        <v>139</v>
      </c>
      <c r="M4" s="2945" t="s">
        <v>140</v>
      </c>
      <c r="N4" s="2945" t="s">
        <v>141</v>
      </c>
      <c r="O4" s="2945" t="s">
        <v>142</v>
      </c>
      <c r="P4" s="2945" t="s">
        <v>143</v>
      </c>
      <c r="Q4" s="2945" t="s">
        <v>2862</v>
      </c>
      <c r="R4" s="2945" t="s">
        <v>2863</v>
      </c>
      <c r="S4" s="2945" t="s">
        <v>2864</v>
      </c>
      <c r="T4" s="2945" t="s">
        <v>2865</v>
      </c>
    </row>
    <row r="5" spans="1:20">
      <c r="A5" s="2950" t="s">
        <v>2828</v>
      </c>
      <c r="B5" s="2941" t="s">
        <v>2842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2866</v>
      </c>
      <c r="R5" s="2945" t="s">
        <v>2867</v>
      </c>
      <c r="S5" s="2945" t="s">
        <v>153</v>
      </c>
      <c r="T5" s="2945" t="s">
        <v>2868</v>
      </c>
    </row>
    <row r="6" spans="1:20" ht="12" thickBot="1">
      <c r="A6" s="2945" t="s">
        <v>144</v>
      </c>
      <c r="B6" s="2945" t="s">
        <v>2857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2869</v>
      </c>
      <c r="Q6" s="2945" t="s">
        <v>2870</v>
      </c>
      <c r="R6" s="2945" t="s">
        <v>161</v>
      </c>
      <c r="S6" s="2945" t="s">
        <v>2871</v>
      </c>
      <c r="T6" s="2945" t="s">
        <v>2872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2873</v>
      </c>
      <c r="Q7" s="2945" t="s">
        <v>2874</v>
      </c>
      <c r="R7" s="2945" t="s">
        <v>2875</v>
      </c>
      <c r="S7" s="2945" t="s">
        <v>2876</v>
      </c>
      <c r="T7" s="2945" t="s">
        <v>2877</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2878</v>
      </c>
      <c r="Q8" s="2945" t="s">
        <v>174</v>
      </c>
      <c r="R8" s="2945" t="s">
        <v>2879</v>
      </c>
      <c r="S8" s="2945" t="s">
        <v>2880</v>
      </c>
      <c r="T8" s="2952" t="s">
        <v>2881</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2882</v>
      </c>
      <c r="Q9" s="2945" t="s">
        <v>182</v>
      </c>
      <c r="R9" s="2945" t="s">
        <v>183</v>
      </c>
      <c r="S9" s="2945" t="s">
        <v>200</v>
      </c>
    </row>
    <row r="10" spans="1:20">
      <c r="A10" s="2950" t="s">
        <v>184</v>
      </c>
      <c r="B10" s="2941" t="s">
        <v>2843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2884</v>
      </c>
      <c r="P11" s="2945" t="s">
        <v>191</v>
      </c>
      <c r="Q11" s="2945" t="s">
        <v>199</v>
      </c>
      <c r="R11" s="2945" t="s">
        <v>2885</v>
      </c>
      <c r="S11" s="2945" t="s">
        <v>2886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2887</v>
      </c>
      <c r="P12" s="2945" t="s">
        <v>2888</v>
      </c>
      <c r="Q12" s="2945" t="s">
        <v>2889</v>
      </c>
      <c r="R12" s="2945" t="s">
        <v>2890</v>
      </c>
      <c r="S12" s="2945" t="s">
        <v>2891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2893</v>
      </c>
      <c r="K14" s="2946" t="s">
        <v>215</v>
      </c>
      <c r="L14" s="2945" t="s">
        <v>216</v>
      </c>
      <c r="M14" s="2945" t="s">
        <v>217</v>
      </c>
      <c r="N14" s="2945" t="s">
        <v>218</v>
      </c>
      <c r="O14" s="2945" t="s">
        <v>240</v>
      </c>
      <c r="P14" s="2945" t="s">
        <v>213</v>
      </c>
      <c r="Q14" s="2945" t="s">
        <v>2894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2895</v>
      </c>
      <c r="P15" s="2945" t="s">
        <v>2896</v>
      </c>
      <c r="Q15" s="2945" t="s">
        <v>242</v>
      </c>
      <c r="R15" s="2945" t="s">
        <v>2897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2898</v>
      </c>
      <c r="P16" s="2945" t="s">
        <v>227</v>
      </c>
      <c r="Q16" s="2945" t="s">
        <v>250</v>
      </c>
      <c r="R16" s="2945" t="s">
        <v>207</v>
      </c>
      <c r="S16" s="2945" t="s">
        <v>2899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2900</v>
      </c>
      <c r="P17" s="2945" t="s">
        <v>2901</v>
      </c>
      <c r="Q17" s="2945" t="s">
        <v>256</v>
      </c>
      <c r="R17" s="2945" t="s">
        <v>2902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2903</v>
      </c>
      <c r="P18" s="2945" t="s">
        <v>241</v>
      </c>
      <c r="Q18" s="2945" t="s">
        <v>2904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2905</v>
      </c>
      <c r="P19" s="2945" t="s">
        <v>249</v>
      </c>
      <c r="Q19" s="2945" t="s">
        <v>2906</v>
      </c>
      <c r="R19" s="2945" t="s">
        <v>265</v>
      </c>
      <c r="S19" s="2945" t="s">
        <v>2907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2908</v>
      </c>
      <c r="P20" s="2945" t="s">
        <v>2909</v>
      </c>
      <c r="Q20" s="2945" t="s">
        <v>290</v>
      </c>
      <c r="R20" s="2945" t="s">
        <v>2910</v>
      </c>
      <c r="S20" s="2945" t="s">
        <v>277</v>
      </c>
    </row>
    <row r="21" spans="1:19" ht="14.25" customHeight="1" thickBot="1">
      <c r="A21" s="2945" t="s">
        <v>184</v>
      </c>
      <c r="B21" s="2946" t="s">
        <v>208</v>
      </c>
      <c r="C21" s="2945">
        <v>32370</v>
      </c>
      <c r="D21" s="2945">
        <v>26730</v>
      </c>
      <c r="E21" s="2945">
        <v>26640</v>
      </c>
      <c r="F21" s="2945"/>
      <c r="G21" s="2945">
        <v>19440</v>
      </c>
      <c r="J21" s="2952" t="s">
        <v>2911</v>
      </c>
      <c r="K21" s="2946" t="s">
        <v>267</v>
      </c>
      <c r="L21" s="2945" t="s">
        <v>268</v>
      </c>
      <c r="M21" s="2945" t="s">
        <v>269</v>
      </c>
      <c r="N21" s="2945" t="s">
        <v>270</v>
      </c>
      <c r="O21" s="2945" t="s">
        <v>264</v>
      </c>
      <c r="P21" s="2945" t="s">
        <v>283</v>
      </c>
      <c r="Q21" s="2945" t="s">
        <v>293</v>
      </c>
      <c r="R21" s="2945" t="s">
        <v>2912</v>
      </c>
      <c r="S21" s="2952" t="s">
        <v>2913</v>
      </c>
    </row>
    <row r="22" spans="1:19" ht="14.25" customHeight="1">
      <c r="A22" s="2945" t="s">
        <v>184</v>
      </c>
      <c r="B22" s="2946" t="s">
        <v>2893</v>
      </c>
      <c r="C22" s="2945">
        <v>29830</v>
      </c>
      <c r="D22" s="2945">
        <v>27600</v>
      </c>
      <c r="E22" s="2945">
        <v>28150</v>
      </c>
      <c r="F22" s="2945"/>
      <c r="G22" s="2945">
        <v>20080</v>
      </c>
      <c r="K22" s="2946" t="s">
        <v>2914</v>
      </c>
      <c r="L22" s="2945" t="s">
        <v>272</v>
      </c>
      <c r="M22" s="2945" t="s">
        <v>273</v>
      </c>
      <c r="N22" s="2945" t="s">
        <v>274</v>
      </c>
      <c r="O22" s="2945" t="s">
        <v>2915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2916</v>
      </c>
      <c r="L23" s="2945" t="s">
        <v>278</v>
      </c>
      <c r="M23" s="2945" t="s">
        <v>279</v>
      </c>
      <c r="N23" s="2945" t="s">
        <v>2917</v>
      </c>
      <c r="O23" s="2945" t="s">
        <v>2918</v>
      </c>
      <c r="P23" s="2945" t="s">
        <v>289</v>
      </c>
      <c r="Q23" s="2945" t="s">
        <v>298</v>
      </c>
      <c r="R23" s="2945" t="s">
        <v>2919</v>
      </c>
    </row>
    <row r="24" spans="1:19" ht="14.25" customHeight="1">
      <c r="A24" s="2945" t="s">
        <v>184</v>
      </c>
      <c r="B24" s="2946" t="s">
        <v>230</v>
      </c>
      <c r="C24" s="2945">
        <v>27930</v>
      </c>
      <c r="D24" s="2945">
        <v>32260</v>
      </c>
      <c r="E24" s="2945">
        <v>32120</v>
      </c>
      <c r="F24" s="2945"/>
      <c r="G24" s="2945">
        <v>23470</v>
      </c>
      <c r="K24" s="2946" t="s">
        <v>2920</v>
      </c>
      <c r="L24" s="2945" t="s">
        <v>281</v>
      </c>
      <c r="M24" s="2945" t="s">
        <v>282</v>
      </c>
      <c r="N24" s="2945" t="s">
        <v>2921</v>
      </c>
      <c r="O24" s="2945" t="s">
        <v>285</v>
      </c>
      <c r="P24" s="2945" t="s">
        <v>2922</v>
      </c>
      <c r="Q24" s="2954" t="s">
        <v>2923</v>
      </c>
      <c r="R24" s="2945" t="s">
        <v>2924</v>
      </c>
    </row>
    <row r="25" spans="1:19" ht="14.25" customHeight="1">
      <c r="A25" s="2945" t="s">
        <v>184</v>
      </c>
      <c r="B25" s="2946" t="s">
        <v>235</v>
      </c>
      <c r="C25" s="2945">
        <v>32230</v>
      </c>
      <c r="D25" s="2945">
        <v>29640</v>
      </c>
      <c r="E25" s="2945">
        <v>29510</v>
      </c>
      <c r="F25" s="2945"/>
      <c r="G25" s="2945">
        <v>21560</v>
      </c>
      <c r="K25" s="2946" t="s">
        <v>2925</v>
      </c>
      <c r="L25" s="2945" t="s">
        <v>2926</v>
      </c>
      <c r="M25" s="2945" t="s">
        <v>284</v>
      </c>
      <c r="N25" s="2945" t="s">
        <v>292</v>
      </c>
      <c r="O25" s="2945" t="s">
        <v>288</v>
      </c>
      <c r="P25" s="2945" t="s">
        <v>275</v>
      </c>
      <c r="Q25" s="2954" t="s">
        <v>271</v>
      </c>
      <c r="R25" s="2945" t="s">
        <v>2927</v>
      </c>
    </row>
    <row r="26" spans="1:19" ht="14.25" customHeight="1" thickBot="1">
      <c r="A26" s="2945" t="s">
        <v>184</v>
      </c>
      <c r="B26" s="2946" t="s">
        <v>244</v>
      </c>
      <c r="C26" s="2945">
        <v>31690</v>
      </c>
      <c r="D26" s="2945">
        <v>27650</v>
      </c>
      <c r="E26" s="2945">
        <v>28200</v>
      </c>
      <c r="F26" s="2945"/>
      <c r="G26" s="2945">
        <v>20110</v>
      </c>
      <c r="K26" s="2951" t="s">
        <v>2928</v>
      </c>
      <c r="L26" s="2945" t="s">
        <v>2929</v>
      </c>
      <c r="M26" s="2945" t="s">
        <v>287</v>
      </c>
      <c r="N26" s="2945" t="s">
        <v>294</v>
      </c>
      <c r="O26" s="2945" t="s">
        <v>2930</v>
      </c>
      <c r="P26" s="2945" t="s">
        <v>2931</v>
      </c>
      <c r="Q26" s="2954" t="s">
        <v>276</v>
      </c>
      <c r="R26" s="2945" t="s">
        <v>2932</v>
      </c>
    </row>
    <row r="27" spans="1:19" ht="14.25" customHeight="1">
      <c r="A27" s="2945" t="s">
        <v>184</v>
      </c>
      <c r="B27" s="2946" t="s">
        <v>251</v>
      </c>
      <c r="C27" s="2945">
        <v>29610</v>
      </c>
      <c r="D27" s="2945">
        <v>27770</v>
      </c>
      <c r="E27" s="2945">
        <v>28300</v>
      </c>
      <c r="F27" s="2945"/>
      <c r="G27" s="2945">
        <v>20210</v>
      </c>
      <c r="L27" s="2945" t="s">
        <v>2933</v>
      </c>
      <c r="M27" s="2945" t="s">
        <v>291</v>
      </c>
      <c r="N27" s="2945" t="s">
        <v>297</v>
      </c>
      <c r="O27" s="2945" t="s">
        <v>2934</v>
      </c>
      <c r="P27" s="2945" t="s">
        <v>2935</v>
      </c>
      <c r="Q27" s="2945" t="s">
        <v>2936</v>
      </c>
      <c r="R27" s="2945" t="s">
        <v>2937</v>
      </c>
    </row>
    <row r="28" spans="1:19" ht="14.25" customHeight="1">
      <c r="A28" s="2945" t="s">
        <v>184</v>
      </c>
      <c r="B28" s="2946" t="s">
        <v>259</v>
      </c>
      <c r="C28" s="2945"/>
      <c r="D28" s="2945">
        <v>31520</v>
      </c>
      <c r="E28" s="2945">
        <v>31410</v>
      </c>
      <c r="F28" s="2945"/>
      <c r="G28" s="2945">
        <v>22940</v>
      </c>
      <c r="L28" s="2945" t="s">
        <v>2938</v>
      </c>
      <c r="M28" s="2945" t="s">
        <v>2939</v>
      </c>
      <c r="N28" s="2945" t="s">
        <v>2940</v>
      </c>
      <c r="O28" s="2945" t="s">
        <v>2941</v>
      </c>
      <c r="P28" s="2945" t="s">
        <v>2942</v>
      </c>
      <c r="Q28" s="2945" t="s">
        <v>2943</v>
      </c>
      <c r="R28" s="2945" t="s">
        <v>2944</v>
      </c>
    </row>
    <row r="29" spans="1:19" ht="14.25" customHeight="1" thickBot="1">
      <c r="A29" s="2953" t="s">
        <v>184</v>
      </c>
      <c r="B29" s="2955" t="s">
        <v>2911</v>
      </c>
      <c r="C29" s="2956"/>
      <c r="D29" s="2956">
        <v>29460</v>
      </c>
      <c r="E29" s="2956">
        <v>28640</v>
      </c>
      <c r="F29" s="2956"/>
      <c r="G29" s="2956">
        <v>21430</v>
      </c>
      <c r="L29" s="2945" t="s">
        <v>2945</v>
      </c>
      <c r="M29" s="2945" t="s">
        <v>2946</v>
      </c>
      <c r="N29" s="2945" t="s">
        <v>2947</v>
      </c>
      <c r="O29" s="2945" t="s">
        <v>2948</v>
      </c>
      <c r="P29" s="2945" t="s">
        <v>2949</v>
      </c>
      <c r="Q29" s="2945" t="s">
        <v>2950</v>
      </c>
      <c r="R29" s="2945" t="s">
        <v>280</v>
      </c>
    </row>
    <row r="30" spans="1:19" ht="14.25" customHeight="1">
      <c r="A30" s="2950" t="s">
        <v>296</v>
      </c>
      <c r="B30" s="2941" t="s">
        <v>2844</v>
      </c>
      <c r="C30" s="2941">
        <v>26890</v>
      </c>
      <c r="D30" s="2941">
        <v>26770</v>
      </c>
      <c r="E30" s="2941">
        <v>25700</v>
      </c>
      <c r="F30" s="2941">
        <v>8180</v>
      </c>
      <c r="G30" s="2957">
        <v>18740</v>
      </c>
      <c r="L30" s="2945" t="s">
        <v>2951</v>
      </c>
      <c r="M30" s="2945" t="s">
        <v>2952</v>
      </c>
      <c r="N30" s="2945" t="s">
        <v>2953</v>
      </c>
      <c r="O30" s="2945" t="s">
        <v>2954</v>
      </c>
      <c r="P30" s="2945" t="s">
        <v>2955</v>
      </c>
      <c r="Q30" s="2945" t="s">
        <v>2956</v>
      </c>
      <c r="R30" s="2945" t="s">
        <v>2957</v>
      </c>
    </row>
    <row r="31" spans="1:19" ht="14.25" customHeight="1">
      <c r="A31" s="2945" t="s">
        <v>296</v>
      </c>
      <c r="B31" s="2946" t="s">
        <v>129</v>
      </c>
      <c r="C31" s="2945">
        <v>24550</v>
      </c>
      <c r="D31" s="2945">
        <v>23990</v>
      </c>
      <c r="E31" s="2945">
        <v>22930</v>
      </c>
      <c r="F31" s="2945">
        <v>7470</v>
      </c>
      <c r="G31" s="2958">
        <v>16790</v>
      </c>
      <c r="L31" s="2945" t="s">
        <v>2958</v>
      </c>
      <c r="M31" s="2945" t="s">
        <v>2959</v>
      </c>
      <c r="N31" s="2945" t="s">
        <v>2960</v>
      </c>
      <c r="O31" s="2945" t="s">
        <v>2961</v>
      </c>
      <c r="P31" s="2945" t="s">
        <v>2962</v>
      </c>
      <c r="Q31" s="2945" t="s">
        <v>2963</v>
      </c>
      <c r="R31" s="2945" t="s">
        <v>2964</v>
      </c>
    </row>
    <row r="32" spans="1:19" ht="14.25" customHeight="1" thickBot="1">
      <c r="A32" s="2945" t="s">
        <v>296</v>
      </c>
      <c r="B32" s="2946" t="s">
        <v>138</v>
      </c>
      <c r="C32" s="2945">
        <v>27210</v>
      </c>
      <c r="D32" s="2945">
        <v>23240</v>
      </c>
      <c r="E32" s="2945">
        <v>23260</v>
      </c>
      <c r="F32" s="2945">
        <v>7130</v>
      </c>
      <c r="G32" s="2958">
        <v>16270</v>
      </c>
      <c r="L32" s="2945" t="s">
        <v>2965</v>
      </c>
      <c r="M32" s="2945" t="s">
        <v>2966</v>
      </c>
      <c r="N32" s="2945" t="s">
        <v>300</v>
      </c>
      <c r="O32" s="2945" t="s">
        <v>2967</v>
      </c>
      <c r="P32" s="2945" t="s">
        <v>299</v>
      </c>
      <c r="Q32" s="2945" t="s">
        <v>2968</v>
      </c>
      <c r="R32" s="2952" t="s">
        <v>2969</v>
      </c>
    </row>
    <row r="33" spans="1:17" ht="14.25" customHeight="1" thickBot="1">
      <c r="A33" s="2945" t="s">
        <v>296</v>
      </c>
      <c r="B33" s="2946" t="s">
        <v>147</v>
      </c>
      <c r="C33" s="2945">
        <v>27300</v>
      </c>
      <c r="D33" s="2945">
        <v>22980</v>
      </c>
      <c r="E33" s="2945">
        <v>24260</v>
      </c>
      <c r="F33" s="2945">
        <v>5860</v>
      </c>
      <c r="G33" s="2958">
        <v>16090</v>
      </c>
      <c r="L33" s="2952" t="s">
        <v>2970</v>
      </c>
      <c r="M33" s="2945" t="s">
        <v>2971</v>
      </c>
      <c r="N33" s="2945" t="s">
        <v>301</v>
      </c>
      <c r="O33" s="2945" t="s">
        <v>2972</v>
      </c>
      <c r="P33" s="2945" t="s">
        <v>2973</v>
      </c>
      <c r="Q33" s="2945" t="s">
        <v>2974</v>
      </c>
    </row>
    <row r="34" spans="1:17" ht="14.25" customHeight="1">
      <c r="A34" s="2945" t="s">
        <v>296</v>
      </c>
      <c r="B34" s="2946" t="s">
        <v>156</v>
      </c>
      <c r="C34" s="2945">
        <v>23090</v>
      </c>
      <c r="D34" s="2945">
        <v>23390</v>
      </c>
      <c r="E34" s="2945">
        <v>23510</v>
      </c>
      <c r="F34" s="2945">
        <v>6700</v>
      </c>
      <c r="G34" s="2958">
        <v>16370</v>
      </c>
      <c r="M34" s="2945" t="s">
        <v>2975</v>
      </c>
      <c r="N34" s="2945" t="s">
        <v>302</v>
      </c>
      <c r="O34" s="2945" t="s">
        <v>2976</v>
      </c>
      <c r="P34" s="2945" t="s">
        <v>2977</v>
      </c>
      <c r="Q34" s="2945" t="s">
        <v>2978</v>
      </c>
    </row>
    <row r="35" spans="1:17" ht="14.25" customHeight="1">
      <c r="A35" s="2945" t="s">
        <v>296</v>
      </c>
      <c r="B35" s="2946" t="s">
        <v>163</v>
      </c>
      <c r="C35" s="2945">
        <v>27270</v>
      </c>
      <c r="D35" s="2945">
        <v>24270</v>
      </c>
      <c r="E35" s="2945">
        <v>24950</v>
      </c>
      <c r="F35" s="2945">
        <v>6600</v>
      </c>
      <c r="G35" s="2958">
        <v>16990</v>
      </c>
      <c r="M35" s="2945" t="s">
        <v>2979</v>
      </c>
      <c r="N35" s="2945" t="s">
        <v>2980</v>
      </c>
      <c r="O35" s="2945" t="s">
        <v>2981</v>
      </c>
      <c r="P35" s="2945" t="s">
        <v>2982</v>
      </c>
      <c r="Q35" s="2945" t="s">
        <v>2983</v>
      </c>
    </row>
    <row r="36" spans="1:17" ht="14.25" customHeight="1">
      <c r="A36" s="2945" t="s">
        <v>296</v>
      </c>
      <c r="B36" s="2946" t="s">
        <v>169</v>
      </c>
      <c r="C36" s="2945">
        <v>23490</v>
      </c>
      <c r="D36" s="2945">
        <v>23020</v>
      </c>
      <c r="E36" s="2945">
        <v>25230</v>
      </c>
      <c r="F36" s="2945">
        <v>6780</v>
      </c>
      <c r="G36" s="2958">
        <v>16120</v>
      </c>
      <c r="M36" s="2945" t="s">
        <v>2984</v>
      </c>
      <c r="N36" s="2945" t="s">
        <v>2985</v>
      </c>
      <c r="O36" s="2945" t="s">
        <v>2986</v>
      </c>
      <c r="P36" s="2945" t="s">
        <v>2987</v>
      </c>
      <c r="Q36" s="2945" t="s">
        <v>2988</v>
      </c>
    </row>
    <row r="37" spans="1:17" ht="14.25" customHeight="1">
      <c r="A37" s="2945" t="s">
        <v>296</v>
      </c>
      <c r="B37" s="2946" t="s">
        <v>176</v>
      </c>
      <c r="C37" s="2945">
        <v>24380</v>
      </c>
      <c r="D37" s="2945">
        <v>22240</v>
      </c>
      <c r="E37" s="2945">
        <v>25980</v>
      </c>
      <c r="F37" s="2945">
        <v>8160</v>
      </c>
      <c r="G37" s="2958">
        <v>15570</v>
      </c>
      <c r="M37" s="2945" t="s">
        <v>2989</v>
      </c>
      <c r="N37" s="2945" t="s">
        <v>2990</v>
      </c>
      <c r="O37" s="2945" t="s">
        <v>2991</v>
      </c>
      <c r="P37" s="2945" t="s">
        <v>2992</v>
      </c>
      <c r="Q37" s="2945" t="s">
        <v>2993</v>
      </c>
    </row>
    <row r="38" spans="1:17" ht="14.25" customHeight="1">
      <c r="A38" s="2945" t="s">
        <v>296</v>
      </c>
      <c r="B38" s="2946" t="s">
        <v>186</v>
      </c>
      <c r="C38" s="2945">
        <v>23120</v>
      </c>
      <c r="D38" s="2945">
        <v>24630</v>
      </c>
      <c r="E38" s="2945">
        <v>25030</v>
      </c>
      <c r="F38" s="2945">
        <v>7710</v>
      </c>
      <c r="G38" s="2958">
        <v>17240</v>
      </c>
      <c r="M38" s="2945" t="s">
        <v>2994</v>
      </c>
      <c r="N38" s="2945" t="s">
        <v>2995</v>
      </c>
      <c r="O38" s="2945" t="s">
        <v>2996</v>
      </c>
      <c r="P38" s="2945" t="s">
        <v>2997</v>
      </c>
      <c r="Q38" s="2945" t="s">
        <v>2998</v>
      </c>
    </row>
    <row r="39" spans="1:17" ht="14.25" customHeight="1">
      <c r="A39" s="2945" t="s">
        <v>296</v>
      </c>
      <c r="B39" s="2946" t="s">
        <v>195</v>
      </c>
      <c r="C39" s="2945">
        <v>22330</v>
      </c>
      <c r="D39" s="2945">
        <v>21140</v>
      </c>
      <c r="E39" s="2945">
        <v>23970</v>
      </c>
      <c r="F39" s="2945">
        <v>7940</v>
      </c>
      <c r="G39" s="2958">
        <v>14790</v>
      </c>
      <c r="M39" s="2945" t="s">
        <v>2999</v>
      </c>
      <c r="N39" s="2945" t="s">
        <v>3000</v>
      </c>
      <c r="O39" s="2945" t="s">
        <v>3001</v>
      </c>
      <c r="P39" s="2945" t="s">
        <v>3002</v>
      </c>
      <c r="Q39" s="2945" t="s">
        <v>3003</v>
      </c>
    </row>
    <row r="40" spans="1:17" ht="14.25" customHeight="1">
      <c r="A40" s="2945" t="s">
        <v>296</v>
      </c>
      <c r="B40" s="2946" t="s">
        <v>202</v>
      </c>
      <c r="C40" s="2945">
        <v>24740</v>
      </c>
      <c r="D40" s="2945">
        <v>24690</v>
      </c>
      <c r="E40" s="2945">
        <v>22610</v>
      </c>
      <c r="F40" s="2945"/>
      <c r="G40" s="2958">
        <v>17280</v>
      </c>
      <c r="M40" s="2945" t="s">
        <v>3004</v>
      </c>
      <c r="N40" s="2945" t="s">
        <v>3005</v>
      </c>
      <c r="O40" s="2945" t="s">
        <v>3006</v>
      </c>
      <c r="P40" s="2945" t="s">
        <v>3007</v>
      </c>
      <c r="Q40" s="2945" t="s">
        <v>3008</v>
      </c>
    </row>
    <row r="41" spans="1:17" ht="14.25" customHeight="1" thickBot="1">
      <c r="A41" s="2945" t="s">
        <v>296</v>
      </c>
      <c r="B41" s="2946" t="s">
        <v>209</v>
      </c>
      <c r="C41" s="2945">
        <v>21220</v>
      </c>
      <c r="D41" s="2945">
        <v>21120</v>
      </c>
      <c r="E41" s="2945">
        <v>22590</v>
      </c>
      <c r="F41" s="2945"/>
      <c r="G41" s="2958">
        <v>14780</v>
      </c>
      <c r="M41" s="2952" t="s">
        <v>3009</v>
      </c>
      <c r="N41" s="2945" t="s">
        <v>3010</v>
      </c>
      <c r="O41" s="2945" t="s">
        <v>3011</v>
      </c>
      <c r="P41" s="2945" t="s">
        <v>3012</v>
      </c>
      <c r="Q41" s="2945" t="s">
        <v>3013</v>
      </c>
    </row>
    <row r="42" spans="1:17" ht="14.25" customHeight="1">
      <c r="A42" s="2945" t="s">
        <v>296</v>
      </c>
      <c r="B42" s="2946" t="s">
        <v>215</v>
      </c>
      <c r="C42" s="2945">
        <v>24800</v>
      </c>
      <c r="D42" s="2945">
        <v>22280</v>
      </c>
      <c r="E42" s="2945">
        <v>24350</v>
      </c>
      <c r="F42" s="2945"/>
      <c r="G42" s="2958">
        <v>15590</v>
      </c>
      <c r="N42" s="2945" t="s">
        <v>3014</v>
      </c>
      <c r="O42" s="2945" t="s">
        <v>3015</v>
      </c>
      <c r="P42" s="2945" t="s">
        <v>3016</v>
      </c>
      <c r="Q42" s="2945" t="s">
        <v>3017</v>
      </c>
    </row>
    <row r="43" spans="1:17" ht="14.25" customHeight="1">
      <c r="A43" s="2945" t="s">
        <v>3018</v>
      </c>
      <c r="B43" s="2946" t="s">
        <v>223</v>
      </c>
      <c r="C43" s="2945">
        <v>21210</v>
      </c>
      <c r="D43" s="2945">
        <v>21160</v>
      </c>
      <c r="E43" s="2945">
        <v>22650</v>
      </c>
      <c r="F43" s="2945"/>
      <c r="G43" s="2958">
        <v>14800</v>
      </c>
      <c r="N43" s="2945" t="s">
        <v>3019</v>
      </c>
      <c r="O43" s="2945" t="s">
        <v>3020</v>
      </c>
      <c r="P43" s="2945" t="s">
        <v>3021</v>
      </c>
      <c r="Q43" s="2945" t="s">
        <v>3022</v>
      </c>
    </row>
    <row r="44" spans="1:17" ht="14.25" customHeight="1" thickBot="1">
      <c r="A44" s="2945" t="s">
        <v>296</v>
      </c>
      <c r="B44" s="2946" t="s">
        <v>231</v>
      </c>
      <c r="C44" s="2945">
        <v>22370</v>
      </c>
      <c r="D44" s="2945">
        <v>23140</v>
      </c>
      <c r="E44" s="2945">
        <v>25090</v>
      </c>
      <c r="F44" s="2945"/>
      <c r="G44" s="2958">
        <v>16190</v>
      </c>
      <c r="N44" s="2945" t="s">
        <v>3023</v>
      </c>
      <c r="O44" s="2945" t="s">
        <v>3024</v>
      </c>
      <c r="P44" s="2952" t="s">
        <v>3025</v>
      </c>
      <c r="Q44" s="2945" t="s">
        <v>3026</v>
      </c>
    </row>
    <row r="45" spans="1:17" ht="14.25" customHeight="1" thickBot="1">
      <c r="A45" s="2945" t="s">
        <v>296</v>
      </c>
      <c r="B45" s="2946" t="s">
        <v>236</v>
      </c>
      <c r="C45" s="2945">
        <v>21240</v>
      </c>
      <c r="D45" s="2945">
        <v>27050</v>
      </c>
      <c r="E45" s="2945">
        <v>28000</v>
      </c>
      <c r="F45" s="2945"/>
      <c r="G45" s="2958">
        <v>18940</v>
      </c>
      <c r="N45" s="2945" t="s">
        <v>3027</v>
      </c>
      <c r="O45" s="2952" t="s">
        <v>3028</v>
      </c>
      <c r="Q45" s="2945" t="s">
        <v>3029</v>
      </c>
    </row>
    <row r="46" spans="1:17" ht="14.25" customHeight="1">
      <c r="A46" s="2945" t="s">
        <v>296</v>
      </c>
      <c r="B46" s="2946" t="s">
        <v>245</v>
      </c>
      <c r="C46" s="2945">
        <v>23240</v>
      </c>
      <c r="D46" s="2945">
        <v>23000</v>
      </c>
      <c r="E46" s="2945">
        <v>24980</v>
      </c>
      <c r="F46" s="2945"/>
      <c r="G46" s="2958">
        <v>16100</v>
      </c>
      <c r="N46" s="2945" t="s">
        <v>3030</v>
      </c>
      <c r="Q46" s="2945" t="s">
        <v>3031</v>
      </c>
    </row>
    <row r="47" spans="1:17" ht="14.25" customHeight="1">
      <c r="A47" s="2945" t="s">
        <v>296</v>
      </c>
      <c r="B47" s="2946" t="s">
        <v>252</v>
      </c>
      <c r="C47" s="2945">
        <v>27150</v>
      </c>
      <c r="D47" s="2945">
        <v>23310</v>
      </c>
      <c r="E47" s="2945">
        <v>25150</v>
      </c>
      <c r="F47" s="2945"/>
      <c r="G47" s="2958">
        <v>16310</v>
      </c>
      <c r="N47" s="2945" t="s">
        <v>3032</v>
      </c>
      <c r="Q47" s="2945" t="s">
        <v>3033</v>
      </c>
    </row>
    <row r="48" spans="1:17" ht="14.25" customHeight="1">
      <c r="A48" s="2945" t="s">
        <v>296</v>
      </c>
      <c r="B48" s="2946" t="s">
        <v>260</v>
      </c>
      <c r="C48" s="2945">
        <v>23100</v>
      </c>
      <c r="D48" s="2945">
        <v>21110</v>
      </c>
      <c r="E48" s="2945">
        <v>23080</v>
      </c>
      <c r="F48" s="2945"/>
      <c r="G48" s="2958">
        <v>14780</v>
      </c>
      <c r="N48" s="2945" t="s">
        <v>3034</v>
      </c>
      <c r="Q48" s="2945" t="s">
        <v>3035</v>
      </c>
    </row>
    <row r="49" spans="1:17" ht="14.25" customHeight="1">
      <c r="A49" s="2945" t="s">
        <v>296</v>
      </c>
      <c r="B49" s="2946" t="s">
        <v>267</v>
      </c>
      <c r="C49" s="2945">
        <v>23400</v>
      </c>
      <c r="D49" s="2945">
        <v>22920</v>
      </c>
      <c r="E49" s="2945">
        <v>24900</v>
      </c>
      <c r="F49" s="2945"/>
      <c r="G49" s="2958">
        <v>16040</v>
      </c>
      <c r="N49" s="2945" t="s">
        <v>3036</v>
      </c>
      <c r="Q49" s="2945" t="s">
        <v>3037</v>
      </c>
    </row>
    <row r="50" spans="1:17" ht="14.25" customHeight="1">
      <c r="A50" s="2945" t="s">
        <v>296</v>
      </c>
      <c r="B50" s="2946" t="s">
        <v>2914</v>
      </c>
      <c r="C50" s="2945">
        <v>21200</v>
      </c>
      <c r="D50" s="2945">
        <v>26540</v>
      </c>
      <c r="E50" s="2945">
        <v>23200</v>
      </c>
      <c r="F50" s="2945"/>
      <c r="G50" s="2958">
        <v>18580</v>
      </c>
      <c r="N50" s="2945" t="s">
        <v>3038</v>
      </c>
      <c r="Q50" s="2946" t="s">
        <v>3039</v>
      </c>
    </row>
    <row r="51" spans="1:17" ht="14.25" customHeight="1" thickBot="1">
      <c r="A51" s="2945" t="s">
        <v>296</v>
      </c>
      <c r="B51" s="2946" t="s">
        <v>2916</v>
      </c>
      <c r="C51" s="2945">
        <v>23000</v>
      </c>
      <c r="D51" s="2945">
        <v>23460</v>
      </c>
      <c r="E51" s="2945">
        <v>25290</v>
      </c>
      <c r="F51" s="2945"/>
      <c r="G51" s="2958">
        <v>16420</v>
      </c>
      <c r="N51" s="2945" t="s">
        <v>3040</v>
      </c>
      <c r="Q51" s="2952" t="s">
        <v>3041</v>
      </c>
    </row>
    <row r="52" spans="1:17" ht="14.25" customHeight="1">
      <c r="A52" s="2945" t="s">
        <v>296</v>
      </c>
      <c r="B52" s="2946" t="s">
        <v>2920</v>
      </c>
      <c r="C52" s="2945">
        <v>26660</v>
      </c>
      <c r="D52" s="2945">
        <v>22350</v>
      </c>
      <c r="E52" s="2945">
        <v>22920</v>
      </c>
      <c r="F52" s="2945"/>
      <c r="G52" s="2958">
        <v>15640</v>
      </c>
      <c r="N52" s="2945" t="s">
        <v>3042</v>
      </c>
    </row>
    <row r="53" spans="1:17" ht="14.25" customHeight="1">
      <c r="A53" s="2945" t="s">
        <v>296</v>
      </c>
      <c r="B53" s="2946" t="s">
        <v>2925</v>
      </c>
      <c r="C53" s="2945">
        <v>23580</v>
      </c>
      <c r="D53" s="2945"/>
      <c r="E53" s="2945">
        <v>24280</v>
      </c>
      <c r="F53" s="2945"/>
      <c r="G53" s="2958"/>
      <c r="N53" s="2945" t="s">
        <v>3043</v>
      </c>
    </row>
    <row r="54" spans="1:17" ht="14.25" customHeight="1" thickBot="1">
      <c r="A54" s="2959" t="s">
        <v>296</v>
      </c>
      <c r="B54" s="2951" t="s">
        <v>2928</v>
      </c>
      <c r="C54" s="2952">
        <v>22460</v>
      </c>
      <c r="D54" s="2952"/>
      <c r="E54" s="2952"/>
      <c r="F54" s="2952"/>
      <c r="G54" s="2960"/>
      <c r="N54" s="2945" t="s">
        <v>3044</v>
      </c>
    </row>
    <row r="55" spans="1:17" ht="14.25" customHeight="1">
      <c r="A55" s="2950" t="s">
        <v>110</v>
      </c>
      <c r="B55" s="2941" t="s">
        <v>3045</v>
      </c>
      <c r="C55" s="2945">
        <v>21970</v>
      </c>
      <c r="D55" s="2945">
        <v>20370</v>
      </c>
      <c r="E55" s="2945">
        <v>20180</v>
      </c>
      <c r="F55" s="2945">
        <v>5730</v>
      </c>
      <c r="G55" s="2945">
        <v>13820</v>
      </c>
      <c r="N55" s="2945" t="s">
        <v>3046</v>
      </c>
    </row>
    <row r="56" spans="1:17" ht="14.25" customHeight="1">
      <c r="A56" s="2945" t="s">
        <v>110</v>
      </c>
      <c r="B56" s="2945" t="s">
        <v>130</v>
      </c>
      <c r="C56" s="2945">
        <v>20470</v>
      </c>
      <c r="D56" s="2945">
        <v>20700</v>
      </c>
      <c r="E56" s="2945">
        <v>20380</v>
      </c>
      <c r="F56" s="2945">
        <v>4760</v>
      </c>
      <c r="G56" s="2945">
        <v>14050</v>
      </c>
      <c r="N56" s="2945" t="s">
        <v>3047</v>
      </c>
    </row>
    <row r="57" spans="1:17" ht="14.25" customHeight="1">
      <c r="A57" s="2945" t="s">
        <v>110</v>
      </c>
      <c r="B57" s="2945" t="s">
        <v>139</v>
      </c>
      <c r="C57" s="2945">
        <v>20790</v>
      </c>
      <c r="D57" s="2945">
        <v>21370</v>
      </c>
      <c r="E57" s="2945">
        <v>20890</v>
      </c>
      <c r="F57" s="2945">
        <v>4910</v>
      </c>
      <c r="G57" s="2945">
        <v>14510</v>
      </c>
      <c r="N57" s="2945" t="s">
        <v>3048</v>
      </c>
    </row>
    <row r="58" spans="1:17" ht="14.25" customHeight="1">
      <c r="A58" s="2945" t="s">
        <v>110</v>
      </c>
      <c r="B58" s="2945" t="s">
        <v>148</v>
      </c>
      <c r="C58" s="2945">
        <v>21460</v>
      </c>
      <c r="D58" s="2945">
        <v>20920</v>
      </c>
      <c r="E58" s="2945">
        <v>23410</v>
      </c>
      <c r="F58" s="2945">
        <v>5100</v>
      </c>
      <c r="G58" s="2945">
        <v>14200</v>
      </c>
      <c r="N58" s="2945" t="s">
        <v>3049</v>
      </c>
    </row>
    <row r="59" spans="1:17" ht="14.25" customHeight="1">
      <c r="A59" s="2945" t="s">
        <v>110</v>
      </c>
      <c r="B59" s="2945" t="s">
        <v>157</v>
      </c>
      <c r="C59" s="2945">
        <v>21000</v>
      </c>
      <c r="D59" s="2945">
        <v>21550</v>
      </c>
      <c r="E59" s="2945">
        <v>21150</v>
      </c>
      <c r="F59" s="2945">
        <v>5250</v>
      </c>
      <c r="G59" s="2945">
        <v>14630</v>
      </c>
      <c r="N59" s="2945" t="s">
        <v>3050</v>
      </c>
    </row>
    <row r="60" spans="1:17" ht="14.25" customHeight="1">
      <c r="A60" s="2945" t="s">
        <v>110</v>
      </c>
      <c r="B60" s="2945" t="s">
        <v>164</v>
      </c>
      <c r="C60" s="2945">
        <v>21640</v>
      </c>
      <c r="D60" s="2945">
        <v>21260</v>
      </c>
      <c r="E60" s="2945">
        <v>24040</v>
      </c>
      <c r="F60" s="2945">
        <v>4470</v>
      </c>
      <c r="G60" s="2945">
        <v>14430</v>
      </c>
      <c r="N60" s="2945" t="s">
        <v>3051</v>
      </c>
    </row>
    <row r="61" spans="1:17" ht="14.25" customHeight="1">
      <c r="A61" s="2945" t="s">
        <v>110</v>
      </c>
      <c r="B61" s="2945" t="s">
        <v>170</v>
      </c>
      <c r="C61" s="2945">
        <v>21330</v>
      </c>
      <c r="D61" s="2945">
        <v>18640</v>
      </c>
      <c r="E61" s="2945">
        <v>21190</v>
      </c>
      <c r="F61" s="2945">
        <v>4180</v>
      </c>
      <c r="G61" s="2945">
        <v>12650</v>
      </c>
      <c r="N61" s="2945" t="s">
        <v>3052</v>
      </c>
    </row>
    <row r="62" spans="1:17" ht="14.25" customHeight="1">
      <c r="A62" s="2945" t="s">
        <v>110</v>
      </c>
      <c r="B62" s="2945" t="s">
        <v>177</v>
      </c>
      <c r="C62" s="2945">
        <v>18710</v>
      </c>
      <c r="D62" s="2945">
        <v>19400</v>
      </c>
      <c r="E62" s="2945">
        <v>23750</v>
      </c>
      <c r="F62" s="2945">
        <v>4860</v>
      </c>
      <c r="G62" s="2945">
        <v>13170</v>
      </c>
      <c r="N62" s="2945" t="s">
        <v>3053</v>
      </c>
    </row>
    <row r="63" spans="1:17" ht="14.25" customHeight="1">
      <c r="A63" s="2945" t="s">
        <v>110</v>
      </c>
      <c r="B63" s="2945" t="s">
        <v>187</v>
      </c>
      <c r="C63" s="2945">
        <v>19480</v>
      </c>
      <c r="D63" s="2945">
        <v>16830</v>
      </c>
      <c r="E63" s="2945">
        <v>21590</v>
      </c>
      <c r="F63" s="2945">
        <v>4560</v>
      </c>
      <c r="G63" s="2945">
        <v>11420</v>
      </c>
      <c r="N63" s="2945" t="s">
        <v>3054</v>
      </c>
    </row>
    <row r="64" spans="1:17" ht="14.25" customHeight="1" thickBot="1">
      <c r="A64" s="2945" t="s">
        <v>110</v>
      </c>
      <c r="B64" s="2945" t="s">
        <v>196</v>
      </c>
      <c r="C64" s="2945">
        <v>16920</v>
      </c>
      <c r="D64" s="2945">
        <v>19190</v>
      </c>
      <c r="E64" s="2945">
        <v>22200</v>
      </c>
      <c r="F64" s="2945">
        <v>4390</v>
      </c>
      <c r="G64" s="2945">
        <v>13030</v>
      </c>
      <c r="N64" s="2952" t="s">
        <v>3055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2926</v>
      </c>
      <c r="C78" s="2945">
        <v>19820</v>
      </c>
      <c r="D78" s="2945">
        <v>19780</v>
      </c>
      <c r="E78" s="2945">
        <v>18560</v>
      </c>
      <c r="F78" s="2945"/>
      <c r="G78" s="2945">
        <v>13430</v>
      </c>
    </row>
    <row r="79" spans="1:7" s="2779" customFormat="1" ht="14.25" customHeight="1">
      <c r="A79" s="2945" t="s">
        <v>110</v>
      </c>
      <c r="B79" s="2945" t="s">
        <v>2929</v>
      </c>
      <c r="C79" s="2945">
        <v>21660</v>
      </c>
      <c r="D79" s="2945">
        <v>18000</v>
      </c>
      <c r="E79" s="2945">
        <v>22570</v>
      </c>
      <c r="F79" s="2945"/>
      <c r="G79" s="2945">
        <v>12220</v>
      </c>
    </row>
    <row r="80" spans="1:7" s="2779" customFormat="1" ht="14.25" customHeight="1">
      <c r="A80" s="2945" t="s">
        <v>110</v>
      </c>
      <c r="B80" s="2945" t="s">
        <v>2933</v>
      </c>
      <c r="C80" s="2945">
        <v>19850</v>
      </c>
      <c r="D80" s="2945"/>
      <c r="E80" s="2945">
        <v>21700</v>
      </c>
      <c r="F80" s="2945"/>
      <c r="G80" s="2945"/>
    </row>
    <row r="81" spans="1:7" s="2779" customFormat="1" ht="14.25" customHeight="1">
      <c r="A81" s="2945" t="s">
        <v>110</v>
      </c>
      <c r="B81" s="2945" t="s">
        <v>2938</v>
      </c>
      <c r="C81" s="2945">
        <v>18080</v>
      </c>
      <c r="D81" s="2945"/>
      <c r="E81" s="2945">
        <v>20900</v>
      </c>
      <c r="F81" s="2945"/>
      <c r="G81" s="2945"/>
    </row>
    <row r="82" spans="1:7" s="2779" customFormat="1" ht="14.25" customHeight="1">
      <c r="A82" s="2945" t="s">
        <v>110</v>
      </c>
      <c r="B82" s="2945" t="s">
        <v>2945</v>
      </c>
      <c r="C82" s="2945"/>
      <c r="D82" s="2945"/>
      <c r="E82" s="2945">
        <v>20840</v>
      </c>
      <c r="F82" s="2945"/>
      <c r="G82" s="2945"/>
    </row>
    <row r="83" spans="1:7" s="2779" customFormat="1" ht="14.25" customHeight="1">
      <c r="A83" s="2945" t="s">
        <v>110</v>
      </c>
      <c r="B83" s="2945" t="s">
        <v>3056</v>
      </c>
      <c r="C83" s="2945"/>
      <c r="D83" s="2945"/>
      <c r="E83" s="2945"/>
      <c r="F83" s="2945">
        <v>4770</v>
      </c>
      <c r="G83" s="2945"/>
    </row>
    <row r="84" spans="1:7" s="2779" customFormat="1" ht="14.25" customHeight="1">
      <c r="A84" s="2945" t="s">
        <v>110</v>
      </c>
      <c r="B84" s="2945" t="s">
        <v>3057</v>
      </c>
      <c r="C84" s="2945"/>
      <c r="D84" s="2945"/>
      <c r="E84" s="2945"/>
      <c r="F84" s="2945">
        <v>4600</v>
      </c>
      <c r="G84" s="2945"/>
    </row>
    <row r="85" spans="1:7" s="2779" customFormat="1" ht="14.25" customHeight="1">
      <c r="A85" s="2945" t="s">
        <v>110</v>
      </c>
      <c r="B85" s="2945" t="s">
        <v>3058</v>
      </c>
      <c r="C85" s="2945"/>
      <c r="D85" s="2945"/>
      <c r="E85" s="2945"/>
      <c r="F85" s="2945">
        <v>4680</v>
      </c>
      <c r="G85" s="2945"/>
    </row>
    <row r="86" spans="1:7" s="2779" customFormat="1" ht="14.25" customHeight="1" thickBot="1">
      <c r="A86" s="2953" t="s">
        <v>110</v>
      </c>
      <c r="B86" s="2955" t="s">
        <v>3059</v>
      </c>
      <c r="C86" s="2956">
        <v>16610</v>
      </c>
      <c r="D86" s="2956">
        <v>16540</v>
      </c>
      <c r="E86" s="2956">
        <v>18850</v>
      </c>
      <c r="F86" s="2956"/>
      <c r="G86" s="2956">
        <v>11220</v>
      </c>
    </row>
    <row r="87" spans="1:7" s="2779" customFormat="1" ht="14.25" customHeight="1">
      <c r="A87" s="2950" t="s">
        <v>303</v>
      </c>
      <c r="B87" s="2941" t="s">
        <v>3060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2939</v>
      </c>
      <c r="C113" s="2945">
        <v>15520</v>
      </c>
      <c r="D113" s="2945">
        <v>15450</v>
      </c>
      <c r="E113" s="2945"/>
      <c r="F113" s="2945"/>
      <c r="G113" s="2958">
        <v>10210</v>
      </c>
    </row>
    <row r="114" spans="1:7" s="2779" customFormat="1" ht="14.25" customHeight="1">
      <c r="A114" s="2945" t="s">
        <v>303</v>
      </c>
      <c r="B114" s="2945" t="s">
        <v>2946</v>
      </c>
      <c r="C114" s="2945">
        <v>13110</v>
      </c>
      <c r="D114" s="2945">
        <v>13050</v>
      </c>
      <c r="E114" s="2945"/>
      <c r="F114" s="2945"/>
      <c r="G114" s="2958">
        <v>8620</v>
      </c>
    </row>
    <row r="115" spans="1:7" s="2779" customFormat="1" ht="14.25" customHeight="1">
      <c r="A115" s="2945" t="s">
        <v>303</v>
      </c>
      <c r="B115" s="2945" t="s">
        <v>2952</v>
      </c>
      <c r="C115" s="2945">
        <v>12460</v>
      </c>
      <c r="D115" s="2945">
        <v>12390</v>
      </c>
      <c r="E115" s="2945"/>
      <c r="F115" s="2945"/>
      <c r="G115" s="2958">
        <v>8190</v>
      </c>
    </row>
    <row r="116" spans="1:7" s="2779" customFormat="1" ht="14.25" customHeight="1">
      <c r="A116" s="2945" t="s">
        <v>303</v>
      </c>
      <c r="B116" s="2945" t="s">
        <v>2959</v>
      </c>
      <c r="C116" s="2945">
        <v>13580</v>
      </c>
      <c r="D116" s="2945">
        <v>13520</v>
      </c>
      <c r="E116" s="2945"/>
      <c r="F116" s="2945"/>
      <c r="G116" s="2958">
        <v>8930</v>
      </c>
    </row>
    <row r="117" spans="1:7" s="2779" customFormat="1" ht="14.25" customHeight="1">
      <c r="A117" s="2945" t="s">
        <v>303</v>
      </c>
      <c r="B117" s="2945" t="s">
        <v>2966</v>
      </c>
      <c r="C117" s="2945">
        <v>17120</v>
      </c>
      <c r="D117" s="2945">
        <v>17040</v>
      </c>
      <c r="E117" s="2945"/>
      <c r="F117" s="2945"/>
      <c r="G117" s="2958">
        <v>11260</v>
      </c>
    </row>
    <row r="118" spans="1:7" s="2779" customFormat="1" ht="14.25" customHeight="1">
      <c r="A118" s="2945" t="s">
        <v>303</v>
      </c>
      <c r="B118" s="2945" t="s">
        <v>2971</v>
      </c>
      <c r="C118" s="2945">
        <v>14860</v>
      </c>
      <c r="D118" s="2945">
        <v>14790</v>
      </c>
      <c r="E118" s="2945"/>
      <c r="F118" s="2945"/>
      <c r="G118" s="2958">
        <v>9780</v>
      </c>
    </row>
    <row r="119" spans="1:7" s="2779" customFormat="1" ht="14.25" customHeight="1">
      <c r="A119" s="2945" t="s">
        <v>303</v>
      </c>
      <c r="B119" s="2945" t="s">
        <v>2975</v>
      </c>
      <c r="C119" s="2945">
        <v>16470</v>
      </c>
      <c r="D119" s="2945">
        <v>16400</v>
      </c>
      <c r="E119" s="2945"/>
      <c r="F119" s="2945"/>
      <c r="G119" s="2958">
        <v>10840</v>
      </c>
    </row>
    <row r="120" spans="1:7" s="2779" customFormat="1" ht="14.25" customHeight="1">
      <c r="A120" s="2945" t="s">
        <v>303</v>
      </c>
      <c r="B120" s="2945" t="s">
        <v>3061</v>
      </c>
      <c r="C120" s="2945"/>
      <c r="D120" s="2945"/>
      <c r="E120" s="2945"/>
      <c r="F120" s="2945">
        <v>4160</v>
      </c>
      <c r="G120" s="2958"/>
    </row>
    <row r="121" spans="1:7" s="2779" customFormat="1" ht="14.25" customHeight="1">
      <c r="A121" s="2945" t="s">
        <v>303</v>
      </c>
      <c r="B121" s="2945" t="s">
        <v>3062</v>
      </c>
      <c r="C121" s="2945"/>
      <c r="D121" s="2945"/>
      <c r="E121" s="2945"/>
      <c r="F121" s="2945">
        <v>3880</v>
      </c>
      <c r="G121" s="2958"/>
    </row>
    <row r="122" spans="1:7" s="2779" customFormat="1" ht="14.25" customHeight="1">
      <c r="A122" s="2945" t="s">
        <v>303</v>
      </c>
      <c r="B122" s="2945" t="s">
        <v>3063</v>
      </c>
      <c r="C122" s="2945">
        <v>13750</v>
      </c>
      <c r="D122" s="2945">
        <v>13680</v>
      </c>
      <c r="E122" s="2945">
        <v>16460</v>
      </c>
      <c r="F122" s="2945">
        <v>2880</v>
      </c>
      <c r="G122" s="2958">
        <v>9040</v>
      </c>
    </row>
    <row r="123" spans="1:7" s="2779" customFormat="1" ht="14.25" customHeight="1">
      <c r="A123" s="2945" t="s">
        <v>303</v>
      </c>
      <c r="B123" s="2945" t="s">
        <v>2994</v>
      </c>
      <c r="C123" s="2945">
        <v>13590</v>
      </c>
      <c r="D123" s="2945">
        <v>13520</v>
      </c>
      <c r="E123" s="2945">
        <v>16290</v>
      </c>
      <c r="F123" s="2945">
        <v>2790</v>
      </c>
      <c r="G123" s="2958">
        <v>8930</v>
      </c>
    </row>
    <row r="124" spans="1:7" s="2779" customFormat="1" ht="14.25" customHeight="1">
      <c r="A124" s="2945" t="s">
        <v>303</v>
      </c>
      <c r="B124" s="2945" t="s">
        <v>2999</v>
      </c>
      <c r="C124" s="2945">
        <v>13400</v>
      </c>
      <c r="D124" s="2945">
        <v>13320</v>
      </c>
      <c r="E124" s="2945">
        <v>16100</v>
      </c>
      <c r="F124" s="2945">
        <v>2320</v>
      </c>
      <c r="G124" s="2958">
        <v>8800</v>
      </c>
    </row>
    <row r="125" spans="1:7" s="2779" customFormat="1" ht="14.25" customHeight="1">
      <c r="A125" s="2945" t="s">
        <v>303</v>
      </c>
      <c r="B125" s="2945" t="s">
        <v>3004</v>
      </c>
      <c r="C125" s="2945">
        <v>12860</v>
      </c>
      <c r="D125" s="2945">
        <v>12790</v>
      </c>
      <c r="E125" s="2945">
        <v>15370</v>
      </c>
      <c r="F125" s="2945">
        <v>2280</v>
      </c>
      <c r="G125" s="2958">
        <v>8450</v>
      </c>
    </row>
    <row r="126" spans="1:7" s="2779" customFormat="1" ht="14.25" customHeight="1" thickBot="1">
      <c r="A126" s="2959" t="s">
        <v>303</v>
      </c>
      <c r="B126" s="2952" t="s">
        <v>3009</v>
      </c>
      <c r="C126" s="2952">
        <v>12960</v>
      </c>
      <c r="D126" s="2952">
        <v>12890</v>
      </c>
      <c r="E126" s="2952">
        <v>15530</v>
      </c>
      <c r="F126" s="2952">
        <v>2910</v>
      </c>
      <c r="G126" s="2960">
        <v>8520</v>
      </c>
    </row>
    <row r="127" spans="1:7" s="2779" customFormat="1" ht="14.25" customHeight="1">
      <c r="A127" s="2950" t="s">
        <v>29</v>
      </c>
      <c r="B127" s="2941" t="s">
        <v>3064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3065</v>
      </c>
      <c r="C148" s="2945">
        <v>10370</v>
      </c>
      <c r="D148" s="2945">
        <v>10310</v>
      </c>
      <c r="E148" s="2945">
        <v>12970</v>
      </c>
      <c r="F148" s="2945"/>
      <c r="G148" s="2945">
        <v>6630</v>
      </c>
    </row>
    <row r="149" spans="1:7" s="2779" customFormat="1" ht="14.25" customHeight="1">
      <c r="A149" s="2945" t="s">
        <v>29</v>
      </c>
      <c r="B149" s="2945" t="s">
        <v>3066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2940</v>
      </c>
      <c r="C153" s="2945">
        <v>10880</v>
      </c>
      <c r="D153" s="2945">
        <v>10820</v>
      </c>
      <c r="E153" s="2945">
        <v>13660</v>
      </c>
      <c r="F153" s="2945">
        <v>2260</v>
      </c>
      <c r="G153" s="2945">
        <v>6970</v>
      </c>
    </row>
    <row r="154" spans="1:7" s="2779" customFormat="1" ht="14.25" customHeight="1">
      <c r="A154" s="2945" t="s">
        <v>29</v>
      </c>
      <c r="B154" s="2945" t="s">
        <v>3067</v>
      </c>
      <c r="C154" s="2945">
        <v>11220</v>
      </c>
      <c r="D154" s="2945">
        <v>11160</v>
      </c>
      <c r="E154" s="2945">
        <v>14130</v>
      </c>
      <c r="F154" s="2945">
        <v>2230</v>
      </c>
      <c r="G154" s="2945">
        <v>7180</v>
      </c>
    </row>
    <row r="155" spans="1:7" s="2779" customFormat="1" ht="14.25" customHeight="1">
      <c r="A155" s="2945" t="s">
        <v>29</v>
      </c>
      <c r="B155" s="2945" t="s">
        <v>2953</v>
      </c>
      <c r="C155" s="2945">
        <v>10430</v>
      </c>
      <c r="D155" s="2945">
        <v>10380</v>
      </c>
      <c r="E155" s="2945">
        <v>13140</v>
      </c>
      <c r="F155" s="2945">
        <v>2080</v>
      </c>
      <c r="G155" s="2945">
        <v>6650</v>
      </c>
    </row>
    <row r="156" spans="1:7" s="2779" customFormat="1" ht="14.25" customHeight="1">
      <c r="A156" s="2945" t="s">
        <v>29</v>
      </c>
      <c r="B156" s="2945" t="s">
        <v>3068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3069</v>
      </c>
      <c r="C160" s="2945">
        <v>11180</v>
      </c>
      <c r="D160" s="2945">
        <v>11140</v>
      </c>
      <c r="E160" s="2945">
        <v>14050</v>
      </c>
      <c r="F160" s="2945">
        <v>2270</v>
      </c>
      <c r="G160" s="2945">
        <v>7170</v>
      </c>
    </row>
    <row r="161" spans="1:7" s="2779" customFormat="1" ht="14.25" customHeight="1">
      <c r="A161" s="2945" t="s">
        <v>29</v>
      </c>
      <c r="B161" s="2945" t="s">
        <v>2985</v>
      </c>
      <c r="C161" s="2945">
        <v>11160</v>
      </c>
      <c r="D161" s="2945">
        <v>11120</v>
      </c>
      <c r="E161" s="2945">
        <v>14020</v>
      </c>
      <c r="F161" s="2945">
        <v>2150</v>
      </c>
      <c r="G161" s="2945">
        <v>7160</v>
      </c>
    </row>
    <row r="162" spans="1:7" s="2779" customFormat="1" ht="14.25" customHeight="1">
      <c r="A162" s="2945" t="s">
        <v>29</v>
      </c>
      <c r="B162" s="2945" t="s">
        <v>2990</v>
      </c>
      <c r="C162" s="2945">
        <v>9620</v>
      </c>
      <c r="D162" s="2945">
        <v>9570</v>
      </c>
      <c r="E162" s="2945">
        <v>12320</v>
      </c>
      <c r="F162" s="2945">
        <v>2010</v>
      </c>
      <c r="G162" s="2945">
        <v>6160</v>
      </c>
    </row>
    <row r="163" spans="1:7" s="2779" customFormat="1" ht="14.25" customHeight="1">
      <c r="A163" s="2945" t="s">
        <v>29</v>
      </c>
      <c r="B163" s="2945" t="s">
        <v>2995</v>
      </c>
      <c r="C163" s="2945">
        <v>9320</v>
      </c>
      <c r="D163" s="2945">
        <v>9270</v>
      </c>
      <c r="E163" s="2945">
        <v>11790</v>
      </c>
      <c r="F163" s="2945">
        <v>1920</v>
      </c>
      <c r="G163" s="2945">
        <v>5960</v>
      </c>
    </row>
    <row r="164" spans="1:7" s="2779" customFormat="1" ht="14.25" customHeight="1">
      <c r="A164" s="2945" t="s">
        <v>29</v>
      </c>
      <c r="B164" s="2945" t="s">
        <v>3000</v>
      </c>
      <c r="C164" s="2945"/>
      <c r="D164" s="2945"/>
      <c r="E164" s="2945"/>
      <c r="F164" s="2945">
        <v>1980</v>
      </c>
      <c r="G164" s="2945"/>
    </row>
    <row r="165" spans="1:7" s="2779" customFormat="1" ht="14.25" customHeight="1">
      <c r="A165" s="2945" t="s">
        <v>29</v>
      </c>
      <c r="B165" s="2945" t="s">
        <v>3070</v>
      </c>
      <c r="C165" s="2945">
        <v>11060</v>
      </c>
      <c r="D165" s="2945">
        <v>11030</v>
      </c>
      <c r="E165" s="2945">
        <v>13850</v>
      </c>
      <c r="F165" s="2945">
        <v>2170</v>
      </c>
      <c r="G165" s="2945">
        <v>7090</v>
      </c>
    </row>
    <row r="166" spans="1:7" s="2779" customFormat="1" ht="14.25" customHeight="1">
      <c r="A166" s="2945" t="s">
        <v>29</v>
      </c>
      <c r="B166" s="2945" t="s">
        <v>3010</v>
      </c>
      <c r="C166" s="2945">
        <v>11050</v>
      </c>
      <c r="D166" s="2945">
        <v>11010</v>
      </c>
      <c r="E166" s="2945">
        <v>13920</v>
      </c>
      <c r="F166" s="2945">
        <v>2140</v>
      </c>
      <c r="G166" s="2945">
        <v>7080</v>
      </c>
    </row>
    <row r="167" spans="1:7" s="2779" customFormat="1" ht="14.25" customHeight="1">
      <c r="A167" s="2945" t="s">
        <v>29</v>
      </c>
      <c r="B167" s="2945" t="s">
        <v>3014</v>
      </c>
      <c r="C167" s="2945">
        <v>10930</v>
      </c>
      <c r="D167" s="2945">
        <v>10890</v>
      </c>
      <c r="E167" s="2945">
        <v>13790</v>
      </c>
      <c r="F167" s="2945">
        <v>2010</v>
      </c>
      <c r="G167" s="2945">
        <v>7000</v>
      </c>
    </row>
    <row r="168" spans="1:7" s="2779" customFormat="1" ht="14.25" customHeight="1">
      <c r="A168" s="2945" t="s">
        <v>29</v>
      </c>
      <c r="B168" s="2945" t="s">
        <v>3019</v>
      </c>
      <c r="C168" s="2945">
        <v>9420</v>
      </c>
      <c r="D168" s="2945">
        <v>9380</v>
      </c>
      <c r="E168" s="2945">
        <v>11970</v>
      </c>
      <c r="F168" s="2945"/>
      <c r="G168" s="2945">
        <v>6040</v>
      </c>
    </row>
    <row r="169" spans="1:7" s="2779" customFormat="1" ht="14.25" customHeight="1">
      <c r="A169" s="2945" t="s">
        <v>29</v>
      </c>
      <c r="B169" s="2945" t="s">
        <v>3071</v>
      </c>
      <c r="C169" s="2945"/>
      <c r="D169" s="2945"/>
      <c r="E169" s="2945"/>
      <c r="F169" s="2945">
        <v>2880</v>
      </c>
      <c r="G169" s="2945"/>
    </row>
    <row r="170" spans="1:7" s="2779" customFormat="1" ht="14.25" customHeight="1">
      <c r="A170" s="2945" t="s">
        <v>29</v>
      </c>
      <c r="B170" s="2945" t="s">
        <v>3027</v>
      </c>
      <c r="C170" s="2945"/>
      <c r="D170" s="2945"/>
      <c r="E170" s="2945"/>
      <c r="F170" s="2945">
        <v>2880</v>
      </c>
      <c r="G170" s="2945"/>
    </row>
    <row r="171" spans="1:7" s="2779" customFormat="1" ht="14.25" customHeight="1">
      <c r="A171" s="2945" t="s">
        <v>29</v>
      </c>
      <c r="B171" s="2945" t="s">
        <v>3030</v>
      </c>
      <c r="C171" s="2945"/>
      <c r="D171" s="2945"/>
      <c r="E171" s="2945"/>
      <c r="F171" s="2945">
        <v>2880</v>
      </c>
      <c r="G171" s="2945"/>
    </row>
    <row r="172" spans="1:7" s="2779" customFormat="1" ht="14.25" customHeight="1">
      <c r="A172" s="2945" t="s">
        <v>29</v>
      </c>
      <c r="B172" s="2945" t="s">
        <v>3032</v>
      </c>
      <c r="C172" s="2945"/>
      <c r="D172" s="2945"/>
      <c r="E172" s="2945"/>
      <c r="F172" s="2945">
        <v>2880</v>
      </c>
      <c r="G172" s="2945"/>
    </row>
    <row r="173" spans="1:7" s="2779" customFormat="1" ht="14.25" customHeight="1">
      <c r="A173" s="2945" t="s">
        <v>29</v>
      </c>
      <c r="B173" s="2945" t="s">
        <v>3034</v>
      </c>
      <c r="C173" s="2945"/>
      <c r="D173" s="2945"/>
      <c r="E173" s="2945"/>
      <c r="F173" s="2945">
        <v>2150</v>
      </c>
      <c r="G173" s="2945"/>
    </row>
    <row r="174" spans="1:7" s="2779" customFormat="1" ht="14.25" customHeight="1">
      <c r="A174" s="2945" t="s">
        <v>29</v>
      </c>
      <c r="B174" s="2945" t="s">
        <v>3036</v>
      </c>
      <c r="C174" s="2945"/>
      <c r="D174" s="2945"/>
      <c r="E174" s="2945"/>
      <c r="F174" s="2945">
        <v>2030</v>
      </c>
      <c r="G174" s="2945"/>
    </row>
    <row r="175" spans="1:7" s="2779" customFormat="1" ht="14.25" customHeight="1">
      <c r="A175" s="2945" t="s">
        <v>29</v>
      </c>
      <c r="B175" s="2945" t="s">
        <v>3038</v>
      </c>
      <c r="C175" s="2945"/>
      <c r="D175" s="2945"/>
      <c r="E175" s="2945"/>
      <c r="F175" s="2945">
        <v>2780</v>
      </c>
      <c r="G175" s="2945"/>
    </row>
    <row r="176" spans="1:7" s="2779" customFormat="1" ht="14.25" customHeight="1">
      <c r="A176" s="2945" t="s">
        <v>29</v>
      </c>
      <c r="B176" s="2945" t="s">
        <v>3040</v>
      </c>
      <c r="C176" s="2945"/>
      <c r="D176" s="2945"/>
      <c r="E176" s="2945"/>
      <c r="F176" s="2945">
        <v>2780</v>
      </c>
      <c r="G176" s="2945"/>
    </row>
    <row r="177" spans="1:7" s="2779" customFormat="1" ht="14.25" customHeight="1">
      <c r="A177" s="2945" t="s">
        <v>29</v>
      </c>
      <c r="B177" s="2945" t="s">
        <v>3072</v>
      </c>
      <c r="C177" s="2945"/>
      <c r="D177" s="2945"/>
      <c r="E177" s="2945"/>
      <c r="F177" s="2945">
        <v>2780</v>
      </c>
      <c r="G177" s="2945"/>
    </row>
    <row r="178" spans="1:7" s="2779" customFormat="1" ht="14.25" customHeight="1">
      <c r="A178" s="2945" t="s">
        <v>29</v>
      </c>
      <c r="B178" s="2945" t="s">
        <v>3073</v>
      </c>
      <c r="C178" s="2945"/>
      <c r="D178" s="2945"/>
      <c r="E178" s="2945"/>
      <c r="F178" s="2945">
        <v>2060</v>
      </c>
      <c r="G178" s="2945"/>
    </row>
    <row r="179" spans="1:7" s="2779" customFormat="1" ht="14.25" customHeight="1">
      <c r="A179" s="2945" t="s">
        <v>29</v>
      </c>
      <c r="B179" s="2945" t="s">
        <v>3074</v>
      </c>
      <c r="C179" s="2945"/>
      <c r="D179" s="2945"/>
      <c r="E179" s="2945"/>
      <c r="F179" s="2945">
        <v>2120</v>
      </c>
      <c r="G179" s="2945"/>
    </row>
    <row r="180" spans="1:7" s="2779" customFormat="1" ht="14.25" customHeight="1">
      <c r="A180" s="2945" t="s">
        <v>29</v>
      </c>
      <c r="B180" s="2945" t="s">
        <v>3046</v>
      </c>
      <c r="C180" s="2945"/>
      <c r="D180" s="2945"/>
      <c r="E180" s="2945"/>
      <c r="F180" s="2945">
        <v>2340</v>
      </c>
      <c r="G180" s="2945"/>
    </row>
    <row r="181" spans="1:7" s="2779" customFormat="1" ht="14.25" customHeight="1">
      <c r="A181" s="2945" t="s">
        <v>29</v>
      </c>
      <c r="B181" s="2945" t="s">
        <v>3047</v>
      </c>
      <c r="C181" s="2945"/>
      <c r="D181" s="2945"/>
      <c r="E181" s="2945"/>
      <c r="F181" s="2945">
        <v>2340</v>
      </c>
      <c r="G181" s="2945"/>
    </row>
    <row r="182" spans="1:7" s="2779" customFormat="1" ht="14.25" customHeight="1">
      <c r="A182" s="2945" t="s">
        <v>29</v>
      </c>
      <c r="B182" s="2945" t="s">
        <v>3048</v>
      </c>
      <c r="C182" s="2945"/>
      <c r="D182" s="2945"/>
      <c r="E182" s="2945"/>
      <c r="F182" s="2945">
        <v>2340</v>
      </c>
      <c r="G182" s="2945"/>
    </row>
    <row r="183" spans="1:7" s="2779" customFormat="1" ht="14.25" customHeight="1">
      <c r="A183" s="2945" t="s">
        <v>29</v>
      </c>
      <c r="B183" s="2945" t="s">
        <v>3049</v>
      </c>
      <c r="C183" s="2945"/>
      <c r="D183" s="2945"/>
      <c r="E183" s="2945"/>
      <c r="F183" s="2945">
        <v>2340</v>
      </c>
      <c r="G183" s="2945"/>
    </row>
    <row r="184" spans="1:7" s="2779" customFormat="1" ht="14.25" customHeight="1">
      <c r="A184" s="2945" t="s">
        <v>29</v>
      </c>
      <c r="B184" s="2945" t="s">
        <v>3050</v>
      </c>
      <c r="C184" s="2945"/>
      <c r="D184" s="2945"/>
      <c r="E184" s="2945"/>
      <c r="F184" s="2945">
        <v>2340</v>
      </c>
      <c r="G184" s="2945"/>
    </row>
    <row r="185" spans="1:7" s="2779" customFormat="1" ht="14.25" customHeight="1">
      <c r="A185" s="2945" t="s">
        <v>29</v>
      </c>
      <c r="B185" s="2945" t="s">
        <v>3051</v>
      </c>
      <c r="C185" s="2945"/>
      <c r="D185" s="2945"/>
      <c r="E185" s="2945"/>
      <c r="F185" s="2945">
        <v>2530</v>
      </c>
      <c r="G185" s="2945"/>
    </row>
    <row r="186" spans="1:7" s="2779" customFormat="1" ht="14.25" customHeight="1">
      <c r="A186" s="2945" t="s">
        <v>29</v>
      </c>
      <c r="B186" s="2945" t="s">
        <v>3052</v>
      </c>
      <c r="C186" s="2945"/>
      <c r="D186" s="2945"/>
      <c r="E186" s="2945"/>
      <c r="F186" s="2945">
        <v>2550</v>
      </c>
      <c r="G186" s="2945"/>
    </row>
    <row r="187" spans="1:7" s="2779" customFormat="1" ht="14.25" customHeight="1">
      <c r="A187" s="2945" t="s">
        <v>29</v>
      </c>
      <c r="B187" s="2945" t="s">
        <v>3053</v>
      </c>
      <c r="C187" s="2945"/>
      <c r="D187" s="2945"/>
      <c r="E187" s="2945"/>
      <c r="F187" s="2945">
        <v>2070</v>
      </c>
      <c r="G187" s="2945"/>
    </row>
    <row r="188" spans="1:7" s="2779" customFormat="1" ht="14.25" customHeight="1">
      <c r="A188" s="2945" t="s">
        <v>29</v>
      </c>
      <c r="B188" s="2945" t="s">
        <v>3054</v>
      </c>
      <c r="C188" s="2945"/>
      <c r="D188" s="2945"/>
      <c r="E188" s="2945"/>
      <c r="F188" s="2945">
        <v>2340</v>
      </c>
      <c r="G188" s="2945"/>
    </row>
    <row r="189" spans="1:7" s="2779" customFormat="1" ht="14.25" customHeight="1" thickBot="1">
      <c r="A189" s="2953" t="s">
        <v>29</v>
      </c>
      <c r="B189" s="2956" t="s">
        <v>3055</v>
      </c>
      <c r="C189" s="2956"/>
      <c r="D189" s="2956"/>
      <c r="E189" s="2956"/>
      <c r="F189" s="2956">
        <v>2050</v>
      </c>
      <c r="G189" s="2956"/>
    </row>
    <row r="190" spans="1:7" s="2779" customFormat="1" ht="14.25" customHeight="1">
      <c r="A190" s="2950" t="s">
        <v>304</v>
      </c>
      <c r="B190" s="2941" t="s">
        <v>3075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3076</v>
      </c>
      <c r="C199" s="2945">
        <v>8690</v>
      </c>
      <c r="D199" s="2945">
        <v>8630</v>
      </c>
      <c r="E199" s="2945">
        <v>11350</v>
      </c>
      <c r="F199" s="2945">
        <v>1600</v>
      </c>
      <c r="G199" s="2958">
        <v>5450</v>
      </c>
    </row>
    <row r="200" spans="1:7" s="2779" customFormat="1" ht="14.25" customHeight="1">
      <c r="A200" s="2945" t="s">
        <v>304</v>
      </c>
      <c r="B200" s="2945" t="s">
        <v>2887</v>
      </c>
      <c r="C200" s="2945"/>
      <c r="D200" s="2945"/>
      <c r="E200" s="2945"/>
      <c r="F200" s="2945">
        <v>1510</v>
      </c>
      <c r="G200" s="2958"/>
    </row>
    <row r="201" spans="1:7" s="2779" customFormat="1" ht="14.25" customHeight="1">
      <c r="A201" s="2945" t="s">
        <v>304</v>
      </c>
      <c r="B201" s="2945" t="s">
        <v>3077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3078</v>
      </c>
      <c r="C203" s="2945">
        <v>8130</v>
      </c>
      <c r="D203" s="2945">
        <v>8070</v>
      </c>
      <c r="E203" s="2945">
        <v>10820</v>
      </c>
      <c r="F203" s="2945">
        <v>1690</v>
      </c>
      <c r="G203" s="2958">
        <v>5100</v>
      </c>
    </row>
    <row r="204" spans="1:7" s="2779" customFormat="1" ht="14.25" customHeight="1">
      <c r="A204" s="2945" t="s">
        <v>304</v>
      </c>
      <c r="B204" s="2945" t="s">
        <v>2898</v>
      </c>
      <c r="C204" s="2945">
        <v>8350</v>
      </c>
      <c r="D204" s="2945">
        <v>8290</v>
      </c>
      <c r="E204" s="2945">
        <v>11080</v>
      </c>
      <c r="F204" s="2945">
        <v>1450</v>
      </c>
      <c r="G204" s="2958">
        <v>5240</v>
      </c>
    </row>
    <row r="205" spans="1:7" s="2779" customFormat="1" ht="14.25" customHeight="1">
      <c r="A205" s="2945" t="s">
        <v>304</v>
      </c>
      <c r="B205" s="2945" t="s">
        <v>2900</v>
      </c>
      <c r="C205" s="2945">
        <v>7190</v>
      </c>
      <c r="D205" s="2945">
        <v>7130</v>
      </c>
      <c r="E205" s="2945">
        <v>9490</v>
      </c>
      <c r="F205" s="2945">
        <v>1470</v>
      </c>
      <c r="G205" s="2958">
        <v>4510</v>
      </c>
    </row>
    <row r="206" spans="1:7" s="2779" customFormat="1" ht="14.25" customHeight="1">
      <c r="A206" s="2945" t="s">
        <v>304</v>
      </c>
      <c r="B206" s="2945" t="s">
        <v>2903</v>
      </c>
      <c r="C206" s="2945">
        <v>7000</v>
      </c>
      <c r="D206" s="2945">
        <v>6950</v>
      </c>
      <c r="E206" s="2945">
        <v>9170</v>
      </c>
      <c r="F206" s="2945">
        <v>1400</v>
      </c>
      <c r="G206" s="2958">
        <v>4380</v>
      </c>
    </row>
    <row r="207" spans="1:7" s="2779" customFormat="1" ht="14.25" customHeight="1">
      <c r="A207" s="2945" t="s">
        <v>304</v>
      </c>
      <c r="B207" s="2945" t="s">
        <v>2905</v>
      </c>
      <c r="C207" s="2945">
        <v>6950</v>
      </c>
      <c r="D207" s="2945">
        <v>6900</v>
      </c>
      <c r="E207" s="2945">
        <v>9110</v>
      </c>
      <c r="F207" s="2945">
        <v>1790</v>
      </c>
      <c r="G207" s="2958">
        <v>4360</v>
      </c>
    </row>
    <row r="208" spans="1:7" s="2779" customFormat="1" ht="14.25" customHeight="1">
      <c r="A208" s="2945" t="s">
        <v>304</v>
      </c>
      <c r="B208" s="2945" t="s">
        <v>3079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2915</v>
      </c>
      <c r="C210" s="2945">
        <v>8710</v>
      </c>
      <c r="D210" s="2945">
        <v>8660</v>
      </c>
      <c r="E210" s="2945">
        <v>11440</v>
      </c>
      <c r="F210" s="2945">
        <v>1740</v>
      </c>
      <c r="G210" s="2958">
        <v>5470</v>
      </c>
    </row>
    <row r="211" spans="1:7" s="2779" customFormat="1" ht="14.25" customHeight="1">
      <c r="A211" s="2945" t="s">
        <v>304</v>
      </c>
      <c r="B211" s="2945" t="s">
        <v>3080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3081</v>
      </c>
      <c r="C214" s="2945">
        <v>8090</v>
      </c>
      <c r="D214" s="2945">
        <v>8030</v>
      </c>
      <c r="E214" s="2945">
        <v>10780</v>
      </c>
      <c r="F214" s="2945">
        <v>1570</v>
      </c>
      <c r="G214" s="2958">
        <v>5070</v>
      </c>
    </row>
    <row r="215" spans="1:7" s="2779" customFormat="1" ht="14.25" customHeight="1">
      <c r="A215" s="2945" t="s">
        <v>304</v>
      </c>
      <c r="B215" s="2945" t="s">
        <v>3082</v>
      </c>
      <c r="C215" s="2945">
        <v>7950</v>
      </c>
      <c r="D215" s="2945">
        <v>7900</v>
      </c>
      <c r="E215" s="2945">
        <v>10560</v>
      </c>
      <c r="F215" s="2945">
        <v>1630</v>
      </c>
      <c r="G215" s="2958">
        <v>4990</v>
      </c>
    </row>
    <row r="216" spans="1:7" s="2779" customFormat="1" ht="14.25" customHeight="1">
      <c r="A216" s="2945" t="s">
        <v>304</v>
      </c>
      <c r="B216" s="2945" t="s">
        <v>3083</v>
      </c>
      <c r="C216" s="2945">
        <v>8490</v>
      </c>
      <c r="D216" s="2945">
        <v>8440</v>
      </c>
      <c r="E216" s="2945">
        <v>11260</v>
      </c>
      <c r="F216" s="2945">
        <v>1690</v>
      </c>
      <c r="G216" s="2958">
        <v>5330</v>
      </c>
    </row>
    <row r="217" spans="1:7" s="2779" customFormat="1" ht="14.25" customHeight="1">
      <c r="A217" s="2945" t="s">
        <v>304</v>
      </c>
      <c r="B217" s="2945" t="s">
        <v>2948</v>
      </c>
      <c r="C217" s="2945">
        <v>8200</v>
      </c>
      <c r="D217" s="2945">
        <v>8150</v>
      </c>
      <c r="E217" s="2945">
        <v>10910</v>
      </c>
      <c r="F217" s="2945">
        <v>1670</v>
      </c>
      <c r="G217" s="2958">
        <v>5150</v>
      </c>
    </row>
    <row r="218" spans="1:7" s="2779" customFormat="1" ht="14.25" customHeight="1">
      <c r="A218" s="2945" t="s">
        <v>304</v>
      </c>
      <c r="B218" s="2945" t="s">
        <v>3084</v>
      </c>
      <c r="C218" s="2945"/>
      <c r="D218" s="2945"/>
      <c r="E218" s="2945"/>
      <c r="F218" s="2945">
        <v>2040</v>
      </c>
      <c r="G218" s="2958"/>
    </row>
    <row r="219" spans="1:7" s="2779" customFormat="1" ht="14.25" customHeight="1">
      <c r="A219" s="2945" t="s">
        <v>304</v>
      </c>
      <c r="B219" s="2945" t="s">
        <v>3085</v>
      </c>
      <c r="C219" s="2945"/>
      <c r="D219" s="2945"/>
      <c r="E219" s="2945"/>
      <c r="F219" s="2945">
        <v>2040</v>
      </c>
      <c r="G219" s="2958"/>
    </row>
    <row r="220" spans="1:7" s="2779" customFormat="1" ht="14.25" customHeight="1">
      <c r="A220" s="2945" t="s">
        <v>304</v>
      </c>
      <c r="B220" s="2945" t="s">
        <v>3086</v>
      </c>
      <c r="C220" s="2945"/>
      <c r="D220" s="2945"/>
      <c r="E220" s="2945"/>
      <c r="F220" s="2945">
        <v>2040</v>
      </c>
      <c r="G220" s="2958"/>
    </row>
    <row r="221" spans="1:7" s="2779" customFormat="1" ht="14.25" customHeight="1">
      <c r="A221" s="2945" t="s">
        <v>304</v>
      </c>
      <c r="B221" s="2945" t="s">
        <v>3087</v>
      </c>
      <c r="C221" s="2945"/>
      <c r="D221" s="2945"/>
      <c r="E221" s="2945"/>
      <c r="F221" s="2945">
        <v>2040</v>
      </c>
      <c r="G221" s="2958"/>
    </row>
    <row r="222" spans="1:7" s="2779" customFormat="1" ht="14.25" customHeight="1">
      <c r="A222" s="2945" t="s">
        <v>304</v>
      </c>
      <c r="B222" s="2945" t="s">
        <v>3088</v>
      </c>
      <c r="C222" s="2945"/>
      <c r="D222" s="2945"/>
      <c r="E222" s="2945"/>
      <c r="F222" s="2945">
        <v>2040</v>
      </c>
      <c r="G222" s="2958"/>
    </row>
    <row r="223" spans="1:7" s="2779" customFormat="1" ht="14.25" customHeight="1">
      <c r="A223" s="2945" t="s">
        <v>304</v>
      </c>
      <c r="B223" s="2945" t="s">
        <v>3089</v>
      </c>
      <c r="C223" s="2945"/>
      <c r="D223" s="2945"/>
      <c r="E223" s="2945"/>
      <c r="F223" s="2945">
        <v>1930</v>
      </c>
      <c r="G223" s="2958"/>
    </row>
    <row r="224" spans="1:7" s="2779" customFormat="1" ht="14.25" customHeight="1">
      <c r="A224" s="2945" t="s">
        <v>304</v>
      </c>
      <c r="B224" s="2945" t="s">
        <v>3090</v>
      </c>
      <c r="C224" s="2945"/>
      <c r="D224" s="2945"/>
      <c r="E224" s="2945"/>
      <c r="F224" s="2945">
        <v>1930</v>
      </c>
      <c r="G224" s="2958"/>
    </row>
    <row r="225" spans="1:7" s="2779" customFormat="1" ht="14.25" customHeight="1">
      <c r="A225" s="2945" t="s">
        <v>304</v>
      </c>
      <c r="B225" s="2945" t="s">
        <v>3091</v>
      </c>
      <c r="C225" s="2945"/>
      <c r="D225" s="2945"/>
      <c r="E225" s="2945"/>
      <c r="F225" s="2945">
        <v>1930</v>
      </c>
      <c r="G225" s="2958"/>
    </row>
    <row r="226" spans="1:7" s="2779" customFormat="1" ht="14.25" customHeight="1">
      <c r="A226" s="2945" t="s">
        <v>304</v>
      </c>
      <c r="B226" s="2945" t="s">
        <v>3092</v>
      </c>
      <c r="C226" s="2945"/>
      <c r="D226" s="2945"/>
      <c r="E226" s="2945"/>
      <c r="F226" s="2945">
        <v>1700</v>
      </c>
      <c r="G226" s="2958"/>
    </row>
    <row r="227" spans="1:7" s="2779" customFormat="1" ht="14.25" customHeight="1">
      <c r="A227" s="2945" t="s">
        <v>304</v>
      </c>
      <c r="B227" s="2945" t="s">
        <v>3093</v>
      </c>
      <c r="C227" s="2945"/>
      <c r="D227" s="2945"/>
      <c r="E227" s="2945"/>
      <c r="F227" s="2945">
        <v>1520</v>
      </c>
      <c r="G227" s="2958"/>
    </row>
    <row r="228" spans="1:7" s="2779" customFormat="1" ht="14.25" customHeight="1">
      <c r="A228" s="2945" t="s">
        <v>304</v>
      </c>
      <c r="B228" s="2945" t="s">
        <v>3094</v>
      </c>
      <c r="C228" s="2945"/>
      <c r="D228" s="2945"/>
      <c r="E228" s="2945"/>
      <c r="F228" s="2945">
        <v>1520</v>
      </c>
      <c r="G228" s="2958"/>
    </row>
    <row r="229" spans="1:7" s="2779" customFormat="1" ht="14.25" customHeight="1">
      <c r="A229" s="2945" t="s">
        <v>304</v>
      </c>
      <c r="B229" s="2945" t="s">
        <v>3011</v>
      </c>
      <c r="C229" s="2945"/>
      <c r="D229" s="2945"/>
      <c r="E229" s="2945"/>
      <c r="F229" s="2945">
        <v>1520</v>
      </c>
      <c r="G229" s="2958"/>
    </row>
    <row r="230" spans="1:7" s="2779" customFormat="1" ht="14.25" customHeight="1">
      <c r="A230" s="2945" t="s">
        <v>304</v>
      </c>
      <c r="B230" s="2945" t="s">
        <v>3095</v>
      </c>
      <c r="C230" s="2945"/>
      <c r="D230" s="2945"/>
      <c r="E230" s="2945"/>
      <c r="F230" s="2945">
        <v>1820</v>
      </c>
      <c r="G230" s="2958"/>
    </row>
    <row r="231" spans="1:7" s="2779" customFormat="1" ht="14.25" customHeight="1">
      <c r="A231" s="2945" t="s">
        <v>304</v>
      </c>
      <c r="B231" s="2945" t="s">
        <v>3096</v>
      </c>
      <c r="C231" s="2945"/>
      <c r="D231" s="2945"/>
      <c r="E231" s="2945"/>
      <c r="F231" s="2945">
        <v>1760</v>
      </c>
      <c r="G231" s="2958"/>
    </row>
    <row r="232" spans="1:7" s="2779" customFormat="1" ht="14.25" customHeight="1">
      <c r="A232" s="2945" t="s">
        <v>304</v>
      </c>
      <c r="B232" s="2945" t="s">
        <v>3097</v>
      </c>
      <c r="C232" s="2945"/>
      <c r="D232" s="2945"/>
      <c r="E232" s="2945"/>
      <c r="F232" s="2945">
        <v>1840</v>
      </c>
      <c r="G232" s="2958"/>
    </row>
    <row r="233" spans="1:7" s="2779" customFormat="1" ht="14.25" customHeight="1" thickBot="1">
      <c r="A233" s="2959" t="s">
        <v>304</v>
      </c>
      <c r="B233" s="2952" t="s">
        <v>3028</v>
      </c>
      <c r="C233" s="2952"/>
      <c r="D233" s="2952"/>
      <c r="E233" s="2952"/>
      <c r="F233" s="2952">
        <v>1770</v>
      </c>
      <c r="G233" s="2960"/>
    </row>
    <row r="234" spans="1:7" s="2779" customFormat="1" ht="14.25" customHeight="1">
      <c r="A234" s="2950" t="s">
        <v>305</v>
      </c>
      <c r="B234" s="2941" t="s">
        <v>3098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2869</v>
      </c>
      <c r="C238" s="2945">
        <v>6920</v>
      </c>
      <c r="D238" s="2945">
        <v>6890</v>
      </c>
      <c r="E238" s="2945">
        <v>8640</v>
      </c>
      <c r="F238" s="2945">
        <v>1310</v>
      </c>
      <c r="G238" s="2945">
        <v>4230</v>
      </c>
    </row>
    <row r="239" spans="1:7" s="2779" customFormat="1" ht="14.25" customHeight="1">
      <c r="A239" s="2945" t="s">
        <v>305</v>
      </c>
      <c r="B239" s="2945" t="s">
        <v>3099</v>
      </c>
      <c r="C239" s="2945">
        <v>6780</v>
      </c>
      <c r="D239" s="2945">
        <v>6750</v>
      </c>
      <c r="E239" s="2945">
        <v>8440</v>
      </c>
      <c r="F239" s="2945">
        <v>1160</v>
      </c>
      <c r="G239" s="2945">
        <v>4140</v>
      </c>
    </row>
    <row r="240" spans="1:7" s="2779" customFormat="1" ht="14.25" customHeight="1">
      <c r="A240" s="2945" t="s">
        <v>305</v>
      </c>
      <c r="B240" s="2945" t="s">
        <v>3100</v>
      </c>
      <c r="C240" s="2945">
        <v>5420</v>
      </c>
      <c r="D240" s="2945">
        <v>5380</v>
      </c>
      <c r="E240" s="2945">
        <v>6640</v>
      </c>
      <c r="F240" s="2945">
        <v>1020</v>
      </c>
      <c r="G240" s="2945">
        <v>3300</v>
      </c>
    </row>
    <row r="241" spans="1:7" s="2779" customFormat="1" ht="14.25" customHeight="1">
      <c r="A241" s="2945" t="s">
        <v>305</v>
      </c>
      <c r="B241" s="2945" t="s">
        <v>3101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2931</v>
      </c>
      <c r="C258" s="2945">
        <v>6190</v>
      </c>
      <c r="D258" s="2945">
        <v>6160</v>
      </c>
      <c r="E258" s="2945">
        <v>7680</v>
      </c>
      <c r="F258" s="2945">
        <v>1170</v>
      </c>
      <c r="G258" s="2945">
        <v>3780</v>
      </c>
    </row>
    <row r="259" spans="1:7" s="2779" customFormat="1" ht="14.25" customHeight="1">
      <c r="A259" s="2945" t="s">
        <v>305</v>
      </c>
      <c r="B259" s="2945" t="s">
        <v>3107</v>
      </c>
      <c r="C259" s="2945">
        <v>7610</v>
      </c>
      <c r="D259" s="2945">
        <v>7570</v>
      </c>
      <c r="E259" s="2945">
        <v>9350</v>
      </c>
      <c r="F259" s="2945">
        <v>1350</v>
      </c>
      <c r="G259" s="2945">
        <v>4650</v>
      </c>
    </row>
    <row r="260" spans="1:7" s="2779" customFormat="1" ht="14.25" customHeight="1">
      <c r="A260" s="2945" t="s">
        <v>305</v>
      </c>
      <c r="B260" s="2945" t="s">
        <v>3108</v>
      </c>
      <c r="C260" s="2945">
        <v>6920</v>
      </c>
      <c r="D260" s="2945">
        <v>6880</v>
      </c>
      <c r="E260" s="2945">
        <v>8380</v>
      </c>
      <c r="F260" s="2945">
        <v>1160</v>
      </c>
      <c r="G260" s="2945">
        <v>4220</v>
      </c>
    </row>
    <row r="261" spans="1:7" s="2779" customFormat="1" ht="14.25" customHeight="1">
      <c r="A261" s="2945" t="s">
        <v>305</v>
      </c>
      <c r="B261" s="2945" t="s">
        <v>3109</v>
      </c>
      <c r="C261" s="2945">
        <v>6850</v>
      </c>
      <c r="D261" s="2945">
        <v>6810</v>
      </c>
      <c r="E261" s="2945">
        <v>8290</v>
      </c>
      <c r="F261" s="2945">
        <v>1130</v>
      </c>
      <c r="G261" s="2945">
        <v>4180</v>
      </c>
    </row>
    <row r="262" spans="1:7" s="2779" customFormat="1" ht="14.25" customHeight="1">
      <c r="A262" s="2945" t="s">
        <v>305</v>
      </c>
      <c r="B262" s="2945" t="s">
        <v>3110</v>
      </c>
      <c r="C262" s="2945">
        <v>5860</v>
      </c>
      <c r="D262" s="2945">
        <v>5820</v>
      </c>
      <c r="E262" s="2945">
        <v>7640</v>
      </c>
      <c r="F262" s="2945">
        <v>1070</v>
      </c>
      <c r="G262" s="2945">
        <v>3570</v>
      </c>
    </row>
    <row r="263" spans="1:7" s="2779" customFormat="1" ht="14.25" customHeight="1">
      <c r="A263" s="2945" t="s">
        <v>305</v>
      </c>
      <c r="B263" s="2945" t="s">
        <v>3111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3112</v>
      </c>
      <c r="C265" s="2945"/>
      <c r="D265" s="2945"/>
      <c r="E265" s="2945"/>
      <c r="F265" s="2945">
        <v>1500</v>
      </c>
      <c r="G265" s="2945"/>
    </row>
    <row r="266" spans="1:7" s="2779" customFormat="1" ht="14.25" customHeight="1">
      <c r="A266" s="2945" t="s">
        <v>305</v>
      </c>
      <c r="B266" s="2945" t="s">
        <v>3113</v>
      </c>
      <c r="C266" s="2945"/>
      <c r="D266" s="2945"/>
      <c r="E266" s="2945"/>
      <c r="F266" s="2945">
        <v>1500</v>
      </c>
      <c r="G266" s="2945"/>
    </row>
    <row r="267" spans="1:7" s="2779" customFormat="1" ht="14.25" customHeight="1">
      <c r="A267" s="2945" t="s">
        <v>305</v>
      </c>
      <c r="B267" s="2945" t="s">
        <v>3114</v>
      </c>
      <c r="C267" s="2945"/>
      <c r="D267" s="2945"/>
      <c r="E267" s="2945"/>
      <c r="F267" s="2945">
        <v>1500</v>
      </c>
      <c r="G267" s="2945"/>
    </row>
    <row r="268" spans="1:7" s="2779" customFormat="1" ht="14.25" customHeight="1">
      <c r="A268" s="2945" t="s">
        <v>305</v>
      </c>
      <c r="B268" s="2945" t="s">
        <v>3115</v>
      </c>
      <c r="C268" s="2945"/>
      <c r="D268" s="2945"/>
      <c r="E268" s="2945"/>
      <c r="F268" s="2945">
        <v>1290</v>
      </c>
      <c r="G268" s="2945"/>
    </row>
    <row r="269" spans="1:7" s="2779" customFormat="1" ht="14.25" customHeight="1">
      <c r="A269" s="2945" t="s">
        <v>305</v>
      </c>
      <c r="B269" s="2945" t="s">
        <v>3116</v>
      </c>
      <c r="C269" s="2945"/>
      <c r="D269" s="2945"/>
      <c r="E269" s="2945"/>
      <c r="F269" s="2945">
        <v>1150</v>
      </c>
      <c r="G269" s="2945"/>
    </row>
    <row r="270" spans="1:7" s="2779" customFormat="1" ht="14.25" customHeight="1">
      <c r="A270" s="2945" t="s">
        <v>305</v>
      </c>
      <c r="B270" s="2945" t="s">
        <v>3117</v>
      </c>
      <c r="C270" s="2945"/>
      <c r="D270" s="2945"/>
      <c r="E270" s="2945"/>
      <c r="F270" s="2945">
        <v>1380</v>
      </c>
      <c r="G270" s="2945"/>
    </row>
    <row r="271" spans="1:7" s="2779" customFormat="1" ht="14.25" customHeight="1">
      <c r="A271" s="2945" t="s">
        <v>305</v>
      </c>
      <c r="B271" s="2945" t="s">
        <v>3118</v>
      </c>
      <c r="C271" s="2945"/>
      <c r="D271" s="2945"/>
      <c r="E271" s="2945"/>
      <c r="F271" s="2945">
        <v>1460</v>
      </c>
      <c r="G271" s="2945"/>
    </row>
    <row r="272" spans="1:7" s="2779" customFormat="1" ht="14.25" customHeight="1">
      <c r="A272" s="2945" t="s">
        <v>305</v>
      </c>
      <c r="B272" s="2945" t="s">
        <v>3119</v>
      </c>
      <c r="C272" s="2945"/>
      <c r="D272" s="2945"/>
      <c r="E272" s="2945"/>
      <c r="F272" s="2945">
        <v>1460</v>
      </c>
      <c r="G272" s="2945"/>
    </row>
    <row r="273" spans="1:7" s="2779" customFormat="1" ht="14.25" customHeight="1">
      <c r="A273" s="2945" t="s">
        <v>305</v>
      </c>
      <c r="B273" s="2945" t="s">
        <v>3012</v>
      </c>
      <c r="C273" s="2945"/>
      <c r="D273" s="2945"/>
      <c r="E273" s="2945"/>
      <c r="F273" s="2945">
        <v>1490</v>
      </c>
      <c r="G273" s="2945"/>
    </row>
    <row r="274" spans="1:7" s="2779" customFormat="1" ht="14.25" customHeight="1">
      <c r="A274" s="2945" t="s">
        <v>305</v>
      </c>
      <c r="B274" s="2945" t="s">
        <v>3120</v>
      </c>
      <c r="C274" s="2945"/>
      <c r="D274" s="2945"/>
      <c r="E274" s="2945"/>
      <c r="F274" s="2945">
        <v>1490</v>
      </c>
      <c r="G274" s="2945"/>
    </row>
    <row r="275" spans="1:7" s="2779" customFormat="1" ht="14.25" customHeight="1">
      <c r="A275" s="2945" t="s">
        <v>305</v>
      </c>
      <c r="B275" s="2945" t="s">
        <v>3121</v>
      </c>
      <c r="C275" s="2945"/>
      <c r="D275" s="2945"/>
      <c r="E275" s="2945"/>
      <c r="F275" s="2945">
        <v>1220</v>
      </c>
      <c r="G275" s="2945"/>
    </row>
    <row r="276" spans="1:7" s="2779" customFormat="1" ht="14.25" customHeight="1" thickBot="1">
      <c r="A276" s="2953" t="s">
        <v>305</v>
      </c>
      <c r="B276" s="2955" t="s">
        <v>3122</v>
      </c>
      <c r="C276" s="2956"/>
      <c r="D276" s="2956"/>
      <c r="E276" s="2956"/>
      <c r="F276" s="2956">
        <v>1380</v>
      </c>
      <c r="G276" s="2956"/>
    </row>
    <row r="277" spans="1:7" s="2779" customFormat="1" ht="14.25" customHeight="1">
      <c r="A277" s="2950" t="s">
        <v>306</v>
      </c>
      <c r="B277" s="2941" t="s">
        <v>3123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3124</v>
      </c>
      <c r="C279" s="2945">
        <v>4760</v>
      </c>
      <c r="D279" s="2945">
        <v>4720</v>
      </c>
      <c r="E279" s="2945">
        <v>5540</v>
      </c>
      <c r="F279" s="2945">
        <v>810</v>
      </c>
      <c r="G279" s="2958">
        <v>2850</v>
      </c>
    </row>
    <row r="280" spans="1:7" s="2779" customFormat="1" ht="14.25" customHeight="1">
      <c r="A280" s="2945" t="s">
        <v>306</v>
      </c>
      <c r="B280" s="2945" t="s">
        <v>3125</v>
      </c>
      <c r="C280" s="2945">
        <v>4010</v>
      </c>
      <c r="D280" s="2945">
        <v>3950</v>
      </c>
      <c r="E280" s="2945">
        <v>4710</v>
      </c>
      <c r="F280" s="2945">
        <v>800</v>
      </c>
      <c r="G280" s="2958">
        <v>2390</v>
      </c>
    </row>
    <row r="281" spans="1:7" s="2779" customFormat="1" ht="14.25" customHeight="1">
      <c r="A281" s="2945" t="s">
        <v>306</v>
      </c>
      <c r="B281" s="2945" t="s">
        <v>3126</v>
      </c>
      <c r="C281" s="2945">
        <v>4480</v>
      </c>
      <c r="D281" s="2945">
        <v>4420</v>
      </c>
      <c r="E281" s="2945">
        <v>5230</v>
      </c>
      <c r="F281" s="2945">
        <v>870</v>
      </c>
      <c r="G281" s="2958">
        <v>2660</v>
      </c>
    </row>
    <row r="282" spans="1:7" s="2779" customFormat="1" ht="14.25" customHeight="1">
      <c r="A282" s="2945" t="s">
        <v>306</v>
      </c>
      <c r="B282" s="2945" t="s">
        <v>3127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3128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3129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2904</v>
      </c>
      <c r="C293" s="2945">
        <v>5320</v>
      </c>
      <c r="D293" s="2945">
        <v>5270</v>
      </c>
      <c r="E293" s="2945">
        <v>6160</v>
      </c>
      <c r="F293" s="2945">
        <v>990</v>
      </c>
      <c r="G293" s="2958">
        <v>3170</v>
      </c>
    </row>
    <row r="294" spans="1:7" s="2779" customFormat="1" ht="14.25" customHeight="1">
      <c r="A294" s="2945" t="s">
        <v>306</v>
      </c>
      <c r="B294" s="2945" t="s">
        <v>3130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3131</v>
      </c>
      <c r="C302" s="2945">
        <v>5520</v>
      </c>
      <c r="D302" s="2945">
        <v>5470</v>
      </c>
      <c r="E302" s="2945">
        <v>6410</v>
      </c>
      <c r="F302" s="2945">
        <v>950</v>
      </c>
      <c r="G302" s="2958">
        <v>3300</v>
      </c>
    </row>
    <row r="303" spans="1:7" s="2779" customFormat="1" ht="14.25" customHeight="1">
      <c r="A303" s="2945" t="s">
        <v>306</v>
      </c>
      <c r="B303" s="2945" t="s">
        <v>2943</v>
      </c>
      <c r="C303" s="2945">
        <v>5630</v>
      </c>
      <c r="D303" s="2945">
        <v>5590</v>
      </c>
      <c r="E303" s="2945">
        <v>6550</v>
      </c>
      <c r="F303" s="2945">
        <v>1010</v>
      </c>
      <c r="G303" s="2958">
        <v>3370</v>
      </c>
    </row>
    <row r="304" spans="1:7" s="2779" customFormat="1" ht="14.25" customHeight="1">
      <c r="A304" s="2945" t="s">
        <v>306</v>
      </c>
      <c r="B304" s="2945" t="s">
        <v>2950</v>
      </c>
      <c r="C304" s="2945">
        <v>5680</v>
      </c>
      <c r="D304" s="2945">
        <v>5620</v>
      </c>
      <c r="E304" s="2945">
        <v>6620</v>
      </c>
      <c r="F304" s="2945">
        <v>1050</v>
      </c>
      <c r="G304" s="2958">
        <v>3390</v>
      </c>
    </row>
    <row r="305" spans="1:7" s="2779" customFormat="1" ht="14.25" customHeight="1">
      <c r="A305" s="2945" t="s">
        <v>306</v>
      </c>
      <c r="B305" s="2945" t="s">
        <v>2956</v>
      </c>
      <c r="C305" s="2945">
        <v>5590</v>
      </c>
      <c r="D305" s="2945">
        <v>5530</v>
      </c>
      <c r="E305" s="2945">
        <v>6460</v>
      </c>
      <c r="F305" s="2945">
        <v>900</v>
      </c>
      <c r="G305" s="2958">
        <v>3340</v>
      </c>
    </row>
    <row r="306" spans="1:7" s="2779" customFormat="1" ht="14.25" customHeight="1">
      <c r="A306" s="2945" t="s">
        <v>306</v>
      </c>
      <c r="B306" s="2945" t="s">
        <v>3132</v>
      </c>
      <c r="C306" s="2945">
        <v>5560</v>
      </c>
      <c r="D306" s="2945">
        <v>5510</v>
      </c>
      <c r="E306" s="2945">
        <v>6440</v>
      </c>
      <c r="F306" s="2945">
        <v>900</v>
      </c>
      <c r="G306" s="2958">
        <v>3320</v>
      </c>
    </row>
    <row r="307" spans="1:7" s="2779" customFormat="1" ht="14.25" customHeight="1">
      <c r="A307" s="2945" t="s">
        <v>306</v>
      </c>
      <c r="B307" s="2945" t="s">
        <v>2968</v>
      </c>
      <c r="C307" s="2945">
        <v>5650</v>
      </c>
      <c r="D307" s="2945">
        <v>5600</v>
      </c>
      <c r="E307" s="2945">
        <v>6590</v>
      </c>
      <c r="F307" s="2945">
        <v>930</v>
      </c>
      <c r="G307" s="2958">
        <v>3380</v>
      </c>
    </row>
    <row r="308" spans="1:7" s="2779" customFormat="1" ht="14.25" customHeight="1">
      <c r="A308" s="2945" t="s">
        <v>306</v>
      </c>
      <c r="B308" s="2945" t="s">
        <v>3133</v>
      </c>
      <c r="C308" s="2945">
        <v>5620</v>
      </c>
      <c r="D308" s="2945">
        <v>5580</v>
      </c>
      <c r="E308" s="2945">
        <v>6540</v>
      </c>
      <c r="F308" s="2945">
        <v>910</v>
      </c>
      <c r="G308" s="2958">
        <v>3370</v>
      </c>
    </row>
    <row r="309" spans="1:7" s="2779" customFormat="1" ht="14.25" customHeight="1">
      <c r="A309" s="2945" t="s">
        <v>306</v>
      </c>
      <c r="B309" s="2945" t="s">
        <v>3134</v>
      </c>
      <c r="C309" s="2945">
        <v>5060</v>
      </c>
      <c r="D309" s="2945">
        <v>5020</v>
      </c>
      <c r="E309" s="2945">
        <v>6370</v>
      </c>
      <c r="F309" s="2945">
        <v>800</v>
      </c>
      <c r="G309" s="2958">
        <v>3020</v>
      </c>
    </row>
    <row r="310" spans="1:7" s="2779" customFormat="1" ht="14.25" customHeight="1">
      <c r="A310" s="2945" t="s">
        <v>306</v>
      </c>
      <c r="B310" s="2945" t="s">
        <v>2983</v>
      </c>
      <c r="C310" s="2945">
        <v>5150</v>
      </c>
      <c r="D310" s="2945">
        <v>5110</v>
      </c>
      <c r="E310" s="2945">
        <v>6500</v>
      </c>
      <c r="F310" s="2945">
        <v>880</v>
      </c>
      <c r="G310" s="2958">
        <v>3080</v>
      </c>
    </row>
    <row r="311" spans="1:7" s="2779" customFormat="1" ht="14.25" customHeight="1">
      <c r="A311" s="2945" t="s">
        <v>306</v>
      </c>
      <c r="B311" s="2945" t="s">
        <v>3135</v>
      </c>
      <c r="C311" s="2945">
        <v>4750</v>
      </c>
      <c r="D311" s="2945">
        <v>4710</v>
      </c>
      <c r="E311" s="2945">
        <v>5510</v>
      </c>
      <c r="F311" s="2945">
        <v>880</v>
      </c>
      <c r="G311" s="2958">
        <v>2840</v>
      </c>
    </row>
    <row r="312" spans="1:7" s="2779" customFormat="1" ht="14.25" customHeight="1">
      <c r="A312" s="2945" t="s">
        <v>306</v>
      </c>
      <c r="B312" s="2945" t="s">
        <v>2993</v>
      </c>
      <c r="C312" s="2945">
        <v>4690</v>
      </c>
      <c r="D312" s="2945">
        <v>4640</v>
      </c>
      <c r="E312" s="2945">
        <v>5420</v>
      </c>
      <c r="F312" s="2945">
        <v>800</v>
      </c>
      <c r="G312" s="2958">
        <v>2800</v>
      </c>
    </row>
    <row r="313" spans="1:7" s="2779" customFormat="1" ht="14.25" customHeight="1">
      <c r="A313" s="2945" t="s">
        <v>306</v>
      </c>
      <c r="B313" s="2945" t="s">
        <v>2998</v>
      </c>
      <c r="C313" s="2945">
        <v>4810</v>
      </c>
      <c r="D313" s="2945">
        <v>4760</v>
      </c>
      <c r="E313" s="2945">
        <v>5550</v>
      </c>
      <c r="F313" s="2945">
        <v>920</v>
      </c>
      <c r="G313" s="2958">
        <v>2870</v>
      </c>
    </row>
    <row r="314" spans="1:7" s="2779" customFormat="1" ht="14.25" customHeight="1">
      <c r="A314" s="2945" t="s">
        <v>306</v>
      </c>
      <c r="B314" s="2945" t="s">
        <v>3136</v>
      </c>
      <c r="C314" s="2945"/>
      <c r="D314" s="2945"/>
      <c r="E314" s="2945"/>
      <c r="F314" s="2945">
        <v>1020</v>
      </c>
      <c r="G314" s="2958"/>
    </row>
    <row r="315" spans="1:7" s="2779" customFormat="1" ht="14.25" customHeight="1">
      <c r="A315" s="2945" t="s">
        <v>306</v>
      </c>
      <c r="B315" s="2945" t="s">
        <v>3137</v>
      </c>
      <c r="C315" s="2945"/>
      <c r="D315" s="2945"/>
      <c r="E315" s="2945"/>
      <c r="F315" s="2945">
        <v>1050</v>
      </c>
      <c r="G315" s="2958"/>
    </row>
    <row r="316" spans="1:7" s="2779" customFormat="1" ht="14.25" customHeight="1">
      <c r="A316" s="2945" t="s">
        <v>306</v>
      </c>
      <c r="B316" s="2945" t="s">
        <v>3013</v>
      </c>
      <c r="C316" s="2945"/>
      <c r="D316" s="2945"/>
      <c r="E316" s="2945"/>
      <c r="F316" s="2945">
        <v>900</v>
      </c>
      <c r="G316" s="2958"/>
    </row>
    <row r="317" spans="1:7" s="2779" customFormat="1" ht="14.25" customHeight="1">
      <c r="A317" s="2945" t="s">
        <v>306</v>
      </c>
      <c r="B317" s="2945" t="s">
        <v>3138</v>
      </c>
      <c r="C317" s="2945"/>
      <c r="D317" s="2945"/>
      <c r="E317" s="2945"/>
      <c r="F317" s="2945">
        <v>920</v>
      </c>
      <c r="G317" s="2958"/>
    </row>
    <row r="318" spans="1:7" s="2779" customFormat="1" ht="14.25" customHeight="1">
      <c r="A318" s="2945" t="s">
        <v>306</v>
      </c>
      <c r="B318" s="2945" t="s">
        <v>3139</v>
      </c>
      <c r="C318" s="2945"/>
      <c r="D318" s="2945"/>
      <c r="E318" s="2945"/>
      <c r="F318" s="2945">
        <v>1080</v>
      </c>
      <c r="G318" s="2958"/>
    </row>
    <row r="319" spans="1:7" s="2779" customFormat="1" ht="14.25" customHeight="1">
      <c r="A319" s="2945" t="s">
        <v>306</v>
      </c>
      <c r="B319" s="2945" t="s">
        <v>3026</v>
      </c>
      <c r="C319" s="2945"/>
      <c r="D319" s="2945"/>
      <c r="E319" s="2945"/>
      <c r="F319" s="2945">
        <v>1020</v>
      </c>
      <c r="G319" s="2958"/>
    </row>
    <row r="320" spans="1:7" s="2779" customFormat="1" ht="14.25" customHeight="1">
      <c r="A320" s="2945" t="s">
        <v>306</v>
      </c>
      <c r="B320" s="2945" t="s">
        <v>3029</v>
      </c>
      <c r="C320" s="2945"/>
      <c r="D320" s="2945"/>
      <c r="E320" s="2945"/>
      <c r="F320" s="2945">
        <v>1050</v>
      </c>
      <c r="G320" s="2958"/>
    </row>
    <row r="321" spans="1:7" s="2779" customFormat="1" ht="14.25" customHeight="1">
      <c r="A321" s="2945" t="s">
        <v>306</v>
      </c>
      <c r="B321" s="2945" t="s">
        <v>3031</v>
      </c>
      <c r="C321" s="2945"/>
      <c r="D321" s="2945"/>
      <c r="E321" s="2945"/>
      <c r="F321" s="2945">
        <v>960</v>
      </c>
      <c r="G321" s="2958"/>
    </row>
    <row r="322" spans="1:7" s="2779" customFormat="1" ht="14.25" customHeight="1">
      <c r="A322" s="2945" t="s">
        <v>306</v>
      </c>
      <c r="B322" s="2945" t="s">
        <v>3033</v>
      </c>
      <c r="C322" s="2945"/>
      <c r="D322" s="2945"/>
      <c r="E322" s="2945"/>
      <c r="F322" s="2945">
        <v>960</v>
      </c>
      <c r="G322" s="2958"/>
    </row>
    <row r="323" spans="1:7" s="2779" customFormat="1" ht="14.25" customHeight="1">
      <c r="A323" s="2945" t="s">
        <v>306</v>
      </c>
      <c r="B323" s="2945" t="s">
        <v>3035</v>
      </c>
      <c r="C323" s="2945"/>
      <c r="D323" s="2945"/>
      <c r="E323" s="2945"/>
      <c r="F323" s="2945">
        <v>880</v>
      </c>
      <c r="G323" s="2958"/>
    </row>
    <row r="324" spans="1:7" s="2779" customFormat="1" ht="14.25" customHeight="1">
      <c r="A324" s="2945" t="s">
        <v>306</v>
      </c>
      <c r="B324" s="2945" t="s">
        <v>3037</v>
      </c>
      <c r="C324" s="2945"/>
      <c r="D324" s="2945"/>
      <c r="E324" s="2945"/>
      <c r="F324" s="2945">
        <v>930</v>
      </c>
      <c r="G324" s="2958"/>
    </row>
    <row r="325" spans="1:7" s="2779" customFormat="1" ht="14.25" customHeight="1">
      <c r="A325" s="2945" t="s">
        <v>306</v>
      </c>
      <c r="B325" s="2946" t="s">
        <v>3039</v>
      </c>
      <c r="C325" s="2945"/>
      <c r="D325" s="2945"/>
      <c r="E325" s="2945"/>
      <c r="F325" s="2945">
        <v>900</v>
      </c>
      <c r="G325" s="2958"/>
    </row>
    <row r="326" spans="1:7" s="2779" customFormat="1" ht="14.25" customHeight="1" thickBot="1">
      <c r="A326" s="2959" t="s">
        <v>306</v>
      </c>
      <c r="B326" s="2952" t="s">
        <v>3041</v>
      </c>
      <c r="C326" s="2952"/>
      <c r="D326" s="2952"/>
      <c r="E326" s="2952"/>
      <c r="F326" s="2952">
        <v>790</v>
      </c>
      <c r="G326" s="2960"/>
    </row>
    <row r="327" spans="1:7" s="2779" customFormat="1" ht="14.25" customHeight="1">
      <c r="A327" s="2950" t="s">
        <v>307</v>
      </c>
      <c r="B327" s="2941" t="s">
        <v>3140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3141</v>
      </c>
      <c r="C329" s="2945">
        <v>2730</v>
      </c>
      <c r="D329" s="2945">
        <v>2690</v>
      </c>
      <c r="E329" s="2945">
        <v>3100</v>
      </c>
      <c r="F329" s="2945">
        <v>660</v>
      </c>
      <c r="G329" s="2945">
        <v>1610</v>
      </c>
    </row>
    <row r="330" spans="1:7" s="2779" customFormat="1" ht="14.25" customHeight="1">
      <c r="A330" s="2945" t="s">
        <v>307</v>
      </c>
      <c r="B330" s="2945" t="s">
        <v>3142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2875</v>
      </c>
      <c r="C332" s="2945">
        <v>3520</v>
      </c>
      <c r="D332" s="2945">
        <v>3480</v>
      </c>
      <c r="E332" s="2945">
        <v>3830</v>
      </c>
      <c r="F332" s="2945">
        <v>720</v>
      </c>
      <c r="G332" s="2945">
        <v>2090</v>
      </c>
    </row>
    <row r="333" spans="1:7" s="2779" customFormat="1" ht="14.25" customHeight="1">
      <c r="A333" s="2945" t="s">
        <v>307</v>
      </c>
      <c r="B333" s="2945" t="s">
        <v>3143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2885</v>
      </c>
      <c r="C336" s="2945">
        <v>3570</v>
      </c>
      <c r="D336" s="2945">
        <v>3530</v>
      </c>
      <c r="E336" s="2945">
        <v>3880</v>
      </c>
      <c r="F336" s="2945">
        <v>770</v>
      </c>
      <c r="G336" s="2945">
        <v>2110</v>
      </c>
    </row>
    <row r="337" spans="1:10" s="2779" customFormat="1" ht="14.25" customHeight="1">
      <c r="A337" s="2945" t="s">
        <v>307</v>
      </c>
      <c r="B337" s="2945" t="s">
        <v>3144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2910</v>
      </c>
      <c r="C345" s="2945">
        <v>3190</v>
      </c>
      <c r="D345" s="2945">
        <v>3140</v>
      </c>
      <c r="E345" s="2945">
        <v>3450</v>
      </c>
      <c r="F345" s="2945">
        <v>720</v>
      </c>
      <c r="G345" s="2945">
        <v>1880</v>
      </c>
      <c r="J345" s="2779"/>
    </row>
    <row r="346" spans="1:10">
      <c r="A346" s="2945" t="s">
        <v>307</v>
      </c>
      <c r="B346" s="2945" t="s">
        <v>3147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2919</v>
      </c>
      <c r="C348" s="2945">
        <v>4000</v>
      </c>
      <c r="D348" s="2945">
        <v>3950</v>
      </c>
      <c r="E348" s="2945">
        <v>4430</v>
      </c>
      <c r="F348" s="2945">
        <v>760</v>
      </c>
      <c r="G348" s="2945">
        <v>2360</v>
      </c>
      <c r="J348" s="2779"/>
    </row>
    <row r="349" spans="1:10">
      <c r="A349" s="2945" t="s">
        <v>307</v>
      </c>
      <c r="B349" s="2945" t="s">
        <v>2924</v>
      </c>
      <c r="C349" s="2945">
        <v>3820</v>
      </c>
      <c r="D349" s="2945">
        <v>3780</v>
      </c>
      <c r="E349" s="2945">
        <v>4170</v>
      </c>
      <c r="F349" s="2945">
        <v>710</v>
      </c>
      <c r="G349" s="2945">
        <v>2260</v>
      </c>
      <c r="J349" s="2779"/>
    </row>
    <row r="350" spans="1:10">
      <c r="A350" s="2945" t="s">
        <v>307</v>
      </c>
      <c r="B350" s="2945" t="s">
        <v>3148</v>
      </c>
      <c r="C350" s="2945">
        <v>3760</v>
      </c>
      <c r="D350" s="2945">
        <v>3730</v>
      </c>
      <c r="E350" s="2945">
        <v>4100</v>
      </c>
      <c r="F350" s="2945">
        <v>800</v>
      </c>
      <c r="G350" s="2945">
        <v>2230</v>
      </c>
      <c r="J350" s="2779"/>
    </row>
    <row r="351" spans="1:10">
      <c r="A351" s="2945" t="s">
        <v>307</v>
      </c>
      <c r="B351" s="2945" t="s">
        <v>2932</v>
      </c>
      <c r="C351" s="2945">
        <v>3610</v>
      </c>
      <c r="D351" s="2945">
        <v>3580</v>
      </c>
      <c r="E351" s="2945">
        <v>3930</v>
      </c>
      <c r="F351" s="2945">
        <v>700</v>
      </c>
      <c r="G351" s="2945">
        <v>2140</v>
      </c>
      <c r="J351" s="2779"/>
    </row>
    <row r="352" spans="1:10">
      <c r="A352" s="2945" t="s">
        <v>307</v>
      </c>
      <c r="B352" s="2945" t="s">
        <v>2937</v>
      </c>
      <c r="C352" s="2945">
        <v>3670</v>
      </c>
      <c r="D352" s="2945">
        <v>3630</v>
      </c>
      <c r="E352" s="2945">
        <v>4000</v>
      </c>
      <c r="F352" s="2945">
        <v>750</v>
      </c>
      <c r="G352" s="2945">
        <v>2180</v>
      </c>
    </row>
    <row r="353" spans="1:7" s="2780" customFormat="1">
      <c r="A353" s="2945" t="s">
        <v>307</v>
      </c>
      <c r="B353" s="2945" t="s">
        <v>3149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2957</v>
      </c>
      <c r="C355" s="2945">
        <v>3650</v>
      </c>
      <c r="D355" s="2945">
        <v>3610</v>
      </c>
      <c r="E355" s="2945">
        <v>4200</v>
      </c>
      <c r="F355" s="2945">
        <v>640</v>
      </c>
      <c r="G355" s="2945">
        <v>2160</v>
      </c>
    </row>
    <row r="356" spans="1:7" s="2780" customFormat="1">
      <c r="A356" s="2945" t="s">
        <v>307</v>
      </c>
      <c r="B356" s="2945" t="s">
        <v>2964</v>
      </c>
      <c r="C356" s="2945">
        <v>3260</v>
      </c>
      <c r="D356" s="2945">
        <v>3230</v>
      </c>
      <c r="E356" s="2945">
        <v>3740</v>
      </c>
      <c r="F356" s="2945">
        <v>600</v>
      </c>
      <c r="G356" s="2945">
        <v>1930</v>
      </c>
    </row>
    <row r="357" spans="1:7" s="2780" customFormat="1" ht="12" thickBot="1">
      <c r="A357" s="2953" t="s">
        <v>307</v>
      </c>
      <c r="B357" s="2956" t="s">
        <v>3150</v>
      </c>
      <c r="C357" s="2956">
        <v>3690</v>
      </c>
      <c r="D357" s="2956">
        <v>3650</v>
      </c>
      <c r="E357" s="2956">
        <v>4020</v>
      </c>
      <c r="F357" s="2956">
        <v>700</v>
      </c>
      <c r="G357" s="2956">
        <v>2190</v>
      </c>
    </row>
    <row r="358" spans="1:7" s="2780" customFormat="1">
      <c r="A358" s="2950" t="s">
        <v>3151</v>
      </c>
      <c r="B358" s="2941" t="s">
        <v>3152</v>
      </c>
      <c r="C358" s="2941">
        <v>2080</v>
      </c>
      <c r="D358" s="2941">
        <v>2040</v>
      </c>
      <c r="E358" s="2941">
        <v>2010</v>
      </c>
      <c r="F358" s="2941">
        <v>530</v>
      </c>
      <c r="G358" s="2957">
        <v>1230</v>
      </c>
    </row>
    <row r="359" spans="1:7" s="2780" customFormat="1">
      <c r="A359" s="2945" t="s">
        <v>3151</v>
      </c>
      <c r="B359" s="2945" t="s">
        <v>3153</v>
      </c>
      <c r="C359" s="2945">
        <v>1850</v>
      </c>
      <c r="D359" s="2945">
        <v>1820</v>
      </c>
      <c r="E359" s="2945">
        <v>1780</v>
      </c>
      <c r="F359" s="2945">
        <v>520</v>
      </c>
      <c r="G359" s="2958">
        <v>1100</v>
      </c>
    </row>
    <row r="360" spans="1:7" s="2780" customFormat="1">
      <c r="A360" s="2945" t="s">
        <v>3151</v>
      </c>
      <c r="B360" s="2945" t="s">
        <v>3154</v>
      </c>
      <c r="C360" s="2945">
        <v>2020</v>
      </c>
      <c r="D360" s="2945">
        <v>1990</v>
      </c>
      <c r="E360" s="2945">
        <v>1950</v>
      </c>
      <c r="F360" s="2945">
        <v>500</v>
      </c>
      <c r="G360" s="2958">
        <v>1200</v>
      </c>
    </row>
    <row r="361" spans="1:7" s="2780" customFormat="1">
      <c r="A361" s="2945" t="s">
        <v>3151</v>
      </c>
      <c r="B361" s="2945" t="s">
        <v>153</v>
      </c>
      <c r="C361" s="2945">
        <v>2260</v>
      </c>
      <c r="D361" s="2945">
        <v>2220</v>
      </c>
      <c r="E361" s="2945">
        <v>2180</v>
      </c>
      <c r="F361" s="2945">
        <v>580</v>
      </c>
      <c r="G361" s="2958">
        <v>1340</v>
      </c>
    </row>
    <row r="362" spans="1:7" s="2780" customFormat="1">
      <c r="A362" s="2945" t="s">
        <v>3151</v>
      </c>
      <c r="B362" s="2945" t="s">
        <v>3155</v>
      </c>
      <c r="C362" s="2945">
        <v>2650</v>
      </c>
      <c r="D362" s="2945">
        <v>2610</v>
      </c>
      <c r="E362" s="2945">
        <v>2570</v>
      </c>
      <c r="F362" s="2945">
        <v>630</v>
      </c>
      <c r="G362" s="2958">
        <v>1570</v>
      </c>
    </row>
    <row r="363" spans="1:7" s="2780" customFormat="1">
      <c r="A363" s="2945" t="s">
        <v>3151</v>
      </c>
      <c r="B363" s="2945" t="s">
        <v>2876</v>
      </c>
      <c r="C363" s="2945">
        <v>2390</v>
      </c>
      <c r="D363" s="2945">
        <v>2360</v>
      </c>
      <c r="E363" s="2945">
        <v>2320</v>
      </c>
      <c r="F363" s="2945">
        <v>600</v>
      </c>
      <c r="G363" s="2958">
        <v>1420</v>
      </c>
    </row>
    <row r="364" spans="1:7" s="2780" customFormat="1">
      <c r="A364" s="2945" t="s">
        <v>3151</v>
      </c>
      <c r="B364" s="2945" t="s">
        <v>3156</v>
      </c>
      <c r="C364" s="2945">
        <v>2050</v>
      </c>
      <c r="D364" s="2945">
        <v>2030</v>
      </c>
      <c r="E364" s="2945">
        <v>1990</v>
      </c>
      <c r="F364" s="2945">
        <v>550</v>
      </c>
      <c r="G364" s="2958">
        <v>1220</v>
      </c>
    </row>
    <row r="365" spans="1:7" s="2780" customFormat="1">
      <c r="A365" s="2945" t="s">
        <v>3151</v>
      </c>
      <c r="B365" s="2945" t="s">
        <v>200</v>
      </c>
      <c r="C365" s="2945">
        <v>2140</v>
      </c>
      <c r="D365" s="2945">
        <v>2100</v>
      </c>
      <c r="E365" s="2945">
        <v>2060</v>
      </c>
      <c r="F365" s="2945">
        <v>540</v>
      </c>
      <c r="G365" s="2958">
        <v>1270</v>
      </c>
    </row>
    <row r="366" spans="1:7" s="2780" customFormat="1">
      <c r="A366" s="2945" t="s">
        <v>3151</v>
      </c>
      <c r="B366" s="2945" t="s">
        <v>2883</v>
      </c>
      <c r="C366" s="2945">
        <v>2410</v>
      </c>
      <c r="D366" s="2945">
        <v>2370</v>
      </c>
      <c r="E366" s="2945">
        <v>2330</v>
      </c>
      <c r="F366" s="2945">
        <v>570</v>
      </c>
      <c r="G366" s="2958">
        <v>1440</v>
      </c>
    </row>
    <row r="367" spans="1:7" s="2780" customFormat="1">
      <c r="A367" s="2945" t="s">
        <v>3151</v>
      </c>
      <c r="B367" s="2945" t="s">
        <v>3157</v>
      </c>
      <c r="C367" s="2945">
        <v>2300</v>
      </c>
      <c r="D367" s="2945">
        <v>2260</v>
      </c>
      <c r="E367" s="2945">
        <v>2220</v>
      </c>
      <c r="F367" s="2945">
        <v>560</v>
      </c>
      <c r="G367" s="2958">
        <v>1370</v>
      </c>
    </row>
    <row r="368" spans="1:7" s="2780" customFormat="1">
      <c r="A368" s="2945" t="s">
        <v>3151</v>
      </c>
      <c r="B368" s="2945" t="s">
        <v>3158</v>
      </c>
      <c r="C368" s="2945">
        <v>2430</v>
      </c>
      <c r="D368" s="2945">
        <v>2390</v>
      </c>
      <c r="E368" s="2945">
        <v>2350</v>
      </c>
      <c r="F368" s="2945">
        <v>570</v>
      </c>
      <c r="G368" s="2958">
        <v>1450</v>
      </c>
    </row>
    <row r="369" spans="1:7" s="2780" customFormat="1">
      <c r="A369" s="2945" t="s">
        <v>3151</v>
      </c>
      <c r="B369" s="2945" t="s">
        <v>214</v>
      </c>
      <c r="C369" s="2945">
        <v>2320</v>
      </c>
      <c r="D369" s="2945">
        <v>2290</v>
      </c>
      <c r="E369" s="2945">
        <v>2250</v>
      </c>
      <c r="F369" s="2945">
        <v>550</v>
      </c>
      <c r="G369" s="2958">
        <v>1380</v>
      </c>
    </row>
    <row r="370" spans="1:7" s="2780" customFormat="1">
      <c r="A370" s="2945" t="s">
        <v>3151</v>
      </c>
      <c r="B370" s="2945" t="s">
        <v>221</v>
      </c>
      <c r="C370" s="2945">
        <v>2190</v>
      </c>
      <c r="D370" s="2945">
        <v>2170</v>
      </c>
      <c r="E370" s="2945">
        <v>2130</v>
      </c>
      <c r="F370" s="2945">
        <v>530</v>
      </c>
      <c r="G370" s="2958">
        <v>1310</v>
      </c>
    </row>
    <row r="371" spans="1:7" s="2780" customFormat="1">
      <c r="A371" s="2945" t="s">
        <v>3151</v>
      </c>
      <c r="B371" s="2945" t="s">
        <v>229</v>
      </c>
      <c r="C371" s="2945">
        <v>2460</v>
      </c>
      <c r="D371" s="2945">
        <v>2420</v>
      </c>
      <c r="E371" s="2945">
        <v>2370</v>
      </c>
      <c r="F371" s="2945">
        <v>560</v>
      </c>
      <c r="G371" s="2958">
        <v>1470</v>
      </c>
    </row>
    <row r="372" spans="1:7" s="2780" customFormat="1">
      <c r="A372" s="2945" t="s">
        <v>3151</v>
      </c>
      <c r="B372" s="2945" t="s">
        <v>3159</v>
      </c>
      <c r="C372" s="2945">
        <v>2250</v>
      </c>
      <c r="D372" s="2945">
        <v>2210</v>
      </c>
      <c r="E372" s="2945">
        <v>2180</v>
      </c>
      <c r="F372" s="2945">
        <v>550</v>
      </c>
      <c r="G372" s="2958">
        <v>1340</v>
      </c>
    </row>
    <row r="373" spans="1:7" s="2780" customFormat="1">
      <c r="A373" s="2945" t="s">
        <v>3151</v>
      </c>
      <c r="B373" s="2945" t="s">
        <v>258</v>
      </c>
      <c r="C373" s="2945">
        <v>2210</v>
      </c>
      <c r="D373" s="2945">
        <v>2190</v>
      </c>
      <c r="E373" s="2945">
        <v>2150</v>
      </c>
      <c r="F373" s="2945">
        <v>530</v>
      </c>
      <c r="G373" s="2958">
        <v>1320</v>
      </c>
    </row>
    <row r="374" spans="1:7" s="2780" customFormat="1">
      <c r="A374" s="2945" t="s">
        <v>3151</v>
      </c>
      <c r="B374" s="2945" t="s">
        <v>266</v>
      </c>
      <c r="C374" s="2945">
        <v>2320</v>
      </c>
      <c r="D374" s="2945">
        <v>2280</v>
      </c>
      <c r="E374" s="2945">
        <v>2230</v>
      </c>
      <c r="F374" s="2945">
        <v>580</v>
      </c>
      <c r="G374" s="2958">
        <v>1380</v>
      </c>
    </row>
    <row r="375" spans="1:7" s="2780" customFormat="1">
      <c r="A375" s="2945" t="s">
        <v>3151</v>
      </c>
      <c r="B375" s="2945" t="s">
        <v>3160</v>
      </c>
      <c r="C375" s="2945">
        <v>2090</v>
      </c>
      <c r="D375" s="2945">
        <v>2050</v>
      </c>
      <c r="E375" s="2945">
        <v>2020</v>
      </c>
      <c r="F375" s="2945">
        <v>520</v>
      </c>
      <c r="G375" s="2958">
        <v>1240</v>
      </c>
    </row>
    <row r="376" spans="1:7" s="2780" customFormat="1">
      <c r="A376" s="2945" t="s">
        <v>3151</v>
      </c>
      <c r="B376" s="2945" t="s">
        <v>277</v>
      </c>
      <c r="C376" s="2945">
        <v>2010</v>
      </c>
      <c r="D376" s="2945">
        <v>1980</v>
      </c>
      <c r="E376" s="2945">
        <v>1940</v>
      </c>
      <c r="F376" s="2945">
        <v>540</v>
      </c>
      <c r="G376" s="2958">
        <v>1190</v>
      </c>
    </row>
    <row r="377" spans="1:7" s="2780" customFormat="1" ht="12" thickBot="1">
      <c r="A377" s="2953" t="s">
        <v>3151</v>
      </c>
      <c r="B377" s="2956" t="s">
        <v>2913</v>
      </c>
      <c r="C377" s="2956">
        <v>1930</v>
      </c>
      <c r="D377" s="2956">
        <v>1890</v>
      </c>
      <c r="E377" s="2956">
        <v>1860</v>
      </c>
      <c r="F377" s="2956">
        <v>530</v>
      </c>
      <c r="G377" s="2961">
        <v>1150</v>
      </c>
    </row>
    <row r="378" spans="1:7" s="2780" customFormat="1">
      <c r="A378" s="2962" t="s">
        <v>3161</v>
      </c>
      <c r="B378" s="2941" t="s">
        <v>3162</v>
      </c>
      <c r="C378" s="2941">
        <v>1520</v>
      </c>
      <c r="D378" s="2941">
        <v>1490</v>
      </c>
      <c r="E378" s="2941">
        <v>1460</v>
      </c>
      <c r="F378" s="2941">
        <v>460</v>
      </c>
      <c r="G378" s="2957">
        <v>940</v>
      </c>
    </row>
    <row r="379" spans="1:7" s="2780" customFormat="1">
      <c r="A379" s="2963" t="s">
        <v>3161</v>
      </c>
      <c r="B379" s="2945" t="s">
        <v>3163</v>
      </c>
      <c r="C379" s="2945">
        <v>1500</v>
      </c>
      <c r="D379" s="2945">
        <v>1470</v>
      </c>
      <c r="E379" s="2945">
        <v>1430</v>
      </c>
      <c r="F379" s="2945">
        <v>460</v>
      </c>
      <c r="G379" s="2958">
        <v>920</v>
      </c>
    </row>
    <row r="380" spans="1:7" s="2780" customFormat="1">
      <c r="A380" s="2963" t="s">
        <v>3161</v>
      </c>
      <c r="B380" s="2945" t="s">
        <v>3164</v>
      </c>
      <c r="C380" s="2945">
        <v>1620</v>
      </c>
      <c r="D380" s="2945">
        <v>1590</v>
      </c>
      <c r="E380" s="2945">
        <v>1560</v>
      </c>
      <c r="F380" s="2945">
        <v>480</v>
      </c>
      <c r="G380" s="2958">
        <v>1000</v>
      </c>
    </row>
    <row r="381" spans="1:7" s="2780" customFormat="1">
      <c r="A381" s="2963" t="s">
        <v>3161</v>
      </c>
      <c r="B381" s="2945" t="s">
        <v>3165</v>
      </c>
      <c r="C381" s="2945">
        <v>1460</v>
      </c>
      <c r="D381" s="2945">
        <v>1430</v>
      </c>
      <c r="E381" s="2945">
        <v>1390</v>
      </c>
      <c r="F381" s="2945">
        <v>450</v>
      </c>
      <c r="G381" s="2958">
        <v>900</v>
      </c>
    </row>
    <row r="382" spans="1:7" s="2780" customFormat="1">
      <c r="A382" s="2963" t="s">
        <v>3161</v>
      </c>
      <c r="B382" s="2945" t="s">
        <v>3166</v>
      </c>
      <c r="C382" s="2945">
        <v>1310</v>
      </c>
      <c r="D382" s="2945">
        <v>1280</v>
      </c>
      <c r="E382" s="2945">
        <v>1250</v>
      </c>
      <c r="F382" s="2945">
        <v>440</v>
      </c>
      <c r="G382" s="2958">
        <v>800</v>
      </c>
    </row>
    <row r="383" spans="1:7" s="2780" customFormat="1">
      <c r="A383" s="2963" t="s">
        <v>3161</v>
      </c>
      <c r="B383" s="2945" t="s">
        <v>3167</v>
      </c>
      <c r="C383" s="2945">
        <v>1260</v>
      </c>
      <c r="D383" s="2945">
        <v>1230</v>
      </c>
      <c r="E383" s="2945">
        <v>1200</v>
      </c>
      <c r="F383" s="2945">
        <v>420</v>
      </c>
      <c r="G383" s="2958">
        <v>770</v>
      </c>
    </row>
    <row r="384" spans="1:7" s="2780" customFormat="1" ht="12" thickBot="1">
      <c r="A384" s="2964" t="s">
        <v>3161</v>
      </c>
      <c r="B384" s="2952" t="s">
        <v>3168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63" t="s">
        <v>3169</v>
      </c>
      <c r="B1" s="3563"/>
    </row>
    <row r="2" spans="1:7" ht="14.25" thickBot="1">
      <c r="A2" s="2966"/>
      <c r="B2" s="2966"/>
    </row>
    <row r="3" spans="1:7" ht="14.25" thickBot="1">
      <c r="A3" s="2966"/>
      <c r="B3" s="2966"/>
      <c r="C3" s="2967" t="s">
        <v>2799</v>
      </c>
      <c r="D3" s="2967" t="s">
        <v>2855</v>
      </c>
      <c r="E3" s="2967" t="s">
        <v>2801</v>
      </c>
      <c r="F3" s="2967" t="s">
        <v>2856</v>
      </c>
      <c r="G3" s="2967" t="s">
        <v>2619</v>
      </c>
    </row>
    <row r="4" spans="1:7" ht="14.25" thickBot="1">
      <c r="A4" s="2968" t="s">
        <v>2854</v>
      </c>
      <c r="B4" s="2969" t="s">
        <v>2860</v>
      </c>
      <c r="C4" s="2967"/>
      <c r="D4" s="2967"/>
      <c r="E4" s="2967"/>
      <c r="F4" s="2967"/>
      <c r="G4" s="2967"/>
    </row>
    <row r="5" spans="1:7">
      <c r="A5" s="2970" t="s">
        <v>2828</v>
      </c>
      <c r="B5" s="2971" t="s">
        <v>2842</v>
      </c>
      <c r="C5" s="2972">
        <v>9.8000000000000004E-2</v>
      </c>
      <c r="D5" s="2972">
        <v>8.6999999999999994E-2</v>
      </c>
      <c r="E5" s="2972">
        <v>8.6999999999999994E-2</v>
      </c>
      <c r="F5" s="2972">
        <v>9.8000000000000004E-2</v>
      </c>
      <c r="G5" s="2973">
        <v>9.5000000000000001E-2</v>
      </c>
    </row>
    <row r="6" spans="1:7">
      <c r="A6" s="2974" t="s">
        <v>144</v>
      </c>
      <c r="B6" s="2975" t="s">
        <v>2857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2843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2911</v>
      </c>
      <c r="C29" s="2984"/>
      <c r="D29" s="2980">
        <v>5.1999999999999998E-2</v>
      </c>
      <c r="E29" s="2980">
        <v>7.0000000000000007E-2</v>
      </c>
      <c r="F29" s="2984"/>
      <c r="G29" s="2982">
        <v>7.0999999999999994E-2</v>
      </c>
    </row>
    <row r="30" spans="1:7">
      <c r="A30" s="2985" t="s">
        <v>296</v>
      </c>
      <c r="B30" s="2971" t="s">
        <v>2844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2914</v>
      </c>
      <c r="C50" s="2976">
        <v>9.8000000000000004E-2</v>
      </c>
      <c r="D50" s="2976">
        <v>7.2999999999999995E-2</v>
      </c>
      <c r="E50" s="2976">
        <v>7.0999999999999994E-2</v>
      </c>
      <c r="F50" s="2987"/>
      <c r="G50" s="2977">
        <v>7.2999999999999995E-2</v>
      </c>
    </row>
    <row r="51" spans="1:7">
      <c r="A51" s="2986" t="s">
        <v>296</v>
      </c>
      <c r="B51" s="2975" t="s">
        <v>2916</v>
      </c>
      <c r="C51" s="2976">
        <v>9.9000000000000005E-2</v>
      </c>
      <c r="D51" s="2976">
        <v>8.5000000000000006E-2</v>
      </c>
      <c r="E51" s="2976">
        <v>6.3E-2</v>
      </c>
      <c r="F51" s="2987"/>
      <c r="G51" s="2977">
        <v>9.6000000000000002E-2</v>
      </c>
    </row>
    <row r="52" spans="1:7">
      <c r="A52" s="2986" t="s">
        <v>296</v>
      </c>
      <c r="B52" s="2975" t="s">
        <v>2920</v>
      </c>
      <c r="C52" s="2976">
        <v>7.3999999999999996E-2</v>
      </c>
      <c r="D52" s="2976">
        <v>9.6000000000000002E-2</v>
      </c>
      <c r="E52" s="2976">
        <v>0.05</v>
      </c>
      <c r="F52" s="2987"/>
      <c r="G52" s="2977">
        <v>9.8000000000000004E-2</v>
      </c>
    </row>
    <row r="53" spans="1:7">
      <c r="A53" s="2986" t="s">
        <v>296</v>
      </c>
      <c r="B53" s="2975" t="s">
        <v>2925</v>
      </c>
      <c r="C53" s="2976">
        <v>8.5999999999999993E-2</v>
      </c>
      <c r="D53" s="2987"/>
      <c r="E53" s="2976">
        <v>9.1999999999999998E-2</v>
      </c>
      <c r="F53" s="2987"/>
      <c r="G53" s="2988"/>
    </row>
    <row r="54" spans="1:7" ht="14.25" thickBot="1">
      <c r="A54" s="2989" t="s">
        <v>296</v>
      </c>
      <c r="B54" s="2979" t="s">
        <v>2928</v>
      </c>
      <c r="C54" s="2980">
        <v>9.6000000000000002E-2</v>
      </c>
      <c r="D54" s="2981"/>
      <c r="E54" s="2990"/>
      <c r="F54" s="2981"/>
      <c r="G54" s="2991"/>
    </row>
    <row r="55" spans="1:7">
      <c r="A55" s="2985" t="s">
        <v>110</v>
      </c>
      <c r="B55" s="2971" t="s">
        <v>2845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2926</v>
      </c>
      <c r="C78" s="2976">
        <v>0.1</v>
      </c>
      <c r="D78" s="2976">
        <v>8.5000000000000006E-2</v>
      </c>
      <c r="E78" s="2976">
        <v>9.6000000000000002E-2</v>
      </c>
      <c r="F78" s="2987"/>
      <c r="G78" s="2977">
        <v>9.6000000000000002E-2</v>
      </c>
    </row>
    <row r="79" spans="1:7">
      <c r="A79" s="2986" t="s">
        <v>110</v>
      </c>
      <c r="B79" s="2975" t="s">
        <v>2929</v>
      </c>
      <c r="C79" s="2976">
        <v>0.05</v>
      </c>
      <c r="D79" s="2976">
        <v>9.6000000000000002E-2</v>
      </c>
      <c r="E79" s="2976">
        <v>9.5000000000000001E-2</v>
      </c>
      <c r="F79" s="2987"/>
      <c r="G79" s="2977">
        <v>9.8000000000000004E-2</v>
      </c>
    </row>
    <row r="80" spans="1:7">
      <c r="A80" s="2986" t="s">
        <v>110</v>
      </c>
      <c r="B80" s="2975" t="s">
        <v>2933</v>
      </c>
      <c r="C80" s="2976">
        <v>8.5999999999999993E-2</v>
      </c>
      <c r="D80" s="2992"/>
      <c r="E80" s="2976">
        <v>0.1</v>
      </c>
      <c r="F80" s="2987"/>
      <c r="G80" s="2988"/>
    </row>
    <row r="81" spans="1:7">
      <c r="A81" s="2986" t="s">
        <v>110</v>
      </c>
      <c r="B81" s="2975" t="s">
        <v>2938</v>
      </c>
      <c r="C81" s="2976">
        <v>9.6000000000000002E-2</v>
      </c>
      <c r="D81" s="2987"/>
      <c r="E81" s="2976">
        <v>9.8000000000000004E-2</v>
      </c>
      <c r="F81" s="2987"/>
      <c r="G81" s="2988"/>
    </row>
    <row r="82" spans="1:7">
      <c r="A82" s="2986" t="s">
        <v>110</v>
      </c>
      <c r="B82" s="2975" t="s">
        <v>2945</v>
      </c>
      <c r="C82" s="2992"/>
      <c r="D82" s="2987"/>
      <c r="E82" s="2976">
        <v>7.6999999999999999E-2</v>
      </c>
      <c r="F82" s="2987"/>
      <c r="G82" s="2988"/>
    </row>
    <row r="83" spans="1:7">
      <c r="A83" s="2986" t="s">
        <v>110</v>
      </c>
      <c r="B83" s="2975" t="s">
        <v>2951</v>
      </c>
      <c r="C83" s="2987"/>
      <c r="D83" s="2987"/>
      <c r="E83" s="2987"/>
      <c r="F83" s="2976">
        <v>0.1</v>
      </c>
      <c r="G83" s="2993"/>
    </row>
    <row r="84" spans="1:7">
      <c r="A84" s="2986" t="s">
        <v>110</v>
      </c>
      <c r="B84" s="2975" t="s">
        <v>2958</v>
      </c>
      <c r="C84" s="2987"/>
      <c r="D84" s="2987"/>
      <c r="E84" s="2987"/>
      <c r="F84" s="2976">
        <v>0.1</v>
      </c>
      <c r="G84" s="2993"/>
    </row>
    <row r="85" spans="1:7">
      <c r="A85" s="2986" t="s">
        <v>110</v>
      </c>
      <c r="B85" s="2975" t="s">
        <v>2965</v>
      </c>
      <c r="C85" s="2987"/>
      <c r="D85" s="2987"/>
      <c r="E85" s="2987"/>
      <c r="F85" s="2976">
        <v>0.1</v>
      </c>
      <c r="G85" s="2993"/>
    </row>
    <row r="86" spans="1:7" ht="14.25" thickBot="1">
      <c r="A86" s="2989" t="s">
        <v>110</v>
      </c>
      <c r="B86" s="2979" t="s">
        <v>2970</v>
      </c>
      <c r="C86" s="2980">
        <v>9.8000000000000004E-2</v>
      </c>
      <c r="D86" s="2980">
        <v>9.8000000000000004E-2</v>
      </c>
      <c r="E86" s="2980">
        <v>9.6000000000000002E-2</v>
      </c>
      <c r="F86" s="2990"/>
      <c r="G86" s="2982">
        <v>0.1</v>
      </c>
    </row>
    <row r="87" spans="1:7">
      <c r="A87" s="2985" t="s">
        <v>303</v>
      </c>
      <c r="B87" s="2971" t="s">
        <v>2846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2939</v>
      </c>
      <c r="C113" s="2976">
        <v>0.1</v>
      </c>
      <c r="D113" s="2976">
        <v>0.1</v>
      </c>
      <c r="E113" s="2987"/>
      <c r="F113" s="2987"/>
      <c r="G113" s="2977">
        <v>0.1</v>
      </c>
    </row>
    <row r="114" spans="1:7">
      <c r="A114" s="2986" t="s">
        <v>303</v>
      </c>
      <c r="B114" s="2975" t="s">
        <v>2946</v>
      </c>
      <c r="C114" s="2976">
        <v>9.7000000000000003E-2</v>
      </c>
      <c r="D114" s="2976">
        <v>9.7000000000000003E-2</v>
      </c>
      <c r="E114" s="2987"/>
      <c r="F114" s="2987"/>
      <c r="G114" s="2977">
        <v>9.9000000000000005E-2</v>
      </c>
    </row>
    <row r="115" spans="1:7">
      <c r="A115" s="2986" t="s">
        <v>303</v>
      </c>
      <c r="B115" s="2975" t="s">
        <v>2952</v>
      </c>
      <c r="C115" s="2976">
        <v>0.1</v>
      </c>
      <c r="D115" s="2976">
        <v>0.1</v>
      </c>
      <c r="E115" s="2987"/>
      <c r="F115" s="2987"/>
      <c r="G115" s="2977">
        <v>0.1</v>
      </c>
    </row>
    <row r="116" spans="1:7">
      <c r="A116" s="2986" t="s">
        <v>303</v>
      </c>
      <c r="B116" s="2975" t="s">
        <v>2959</v>
      </c>
      <c r="C116" s="2976">
        <v>0.1</v>
      </c>
      <c r="D116" s="2976">
        <v>0.1</v>
      </c>
      <c r="E116" s="2987"/>
      <c r="F116" s="2987"/>
      <c r="G116" s="2977">
        <v>0.1</v>
      </c>
    </row>
    <row r="117" spans="1:7">
      <c r="A117" s="2986" t="s">
        <v>303</v>
      </c>
      <c r="B117" s="2975" t="s">
        <v>2966</v>
      </c>
      <c r="C117" s="2976">
        <v>9.7000000000000003E-2</v>
      </c>
      <c r="D117" s="2976">
        <v>9.7000000000000003E-2</v>
      </c>
      <c r="E117" s="2987"/>
      <c r="F117" s="2987"/>
      <c r="G117" s="2977">
        <v>9.7000000000000003E-2</v>
      </c>
    </row>
    <row r="118" spans="1:7">
      <c r="A118" s="2986" t="s">
        <v>303</v>
      </c>
      <c r="B118" s="2975" t="s">
        <v>2971</v>
      </c>
      <c r="C118" s="2976">
        <v>0.1</v>
      </c>
      <c r="D118" s="2976">
        <v>0.1</v>
      </c>
      <c r="E118" s="2987"/>
      <c r="F118" s="2987"/>
      <c r="G118" s="2977">
        <v>0.1</v>
      </c>
    </row>
    <row r="119" spans="1:7">
      <c r="A119" s="2986" t="s">
        <v>303</v>
      </c>
      <c r="B119" s="2975" t="s">
        <v>2975</v>
      </c>
      <c r="C119" s="2976">
        <v>5.0999999999999997E-2</v>
      </c>
      <c r="D119" s="2976">
        <v>5.1999999999999998E-2</v>
      </c>
      <c r="E119" s="2987"/>
      <c r="F119" s="2992"/>
      <c r="G119" s="2977">
        <v>0.06</v>
      </c>
    </row>
    <row r="120" spans="1:7">
      <c r="A120" s="2986" t="s">
        <v>303</v>
      </c>
      <c r="B120" s="2975" t="s">
        <v>2979</v>
      </c>
      <c r="C120" s="2987"/>
      <c r="D120" s="2987"/>
      <c r="E120" s="2987"/>
      <c r="F120" s="2976">
        <v>0.1</v>
      </c>
      <c r="G120" s="2993"/>
    </row>
    <row r="121" spans="1:7">
      <c r="A121" s="2986" t="s">
        <v>303</v>
      </c>
      <c r="B121" s="2975" t="s">
        <v>2984</v>
      </c>
      <c r="C121" s="2987"/>
      <c r="D121" s="2987"/>
      <c r="E121" s="2987"/>
      <c r="F121" s="2976">
        <v>0.1</v>
      </c>
      <c r="G121" s="2993"/>
    </row>
    <row r="122" spans="1:7">
      <c r="A122" s="2986" t="s">
        <v>303</v>
      </c>
      <c r="B122" s="2975" t="s">
        <v>2989</v>
      </c>
      <c r="C122" s="2976">
        <v>0.1</v>
      </c>
      <c r="D122" s="2976">
        <v>0.1</v>
      </c>
      <c r="E122" s="2976">
        <v>9.8000000000000004E-2</v>
      </c>
      <c r="F122" s="2976">
        <v>0.1</v>
      </c>
      <c r="G122" s="2977">
        <v>0.1</v>
      </c>
    </row>
    <row r="123" spans="1:7">
      <c r="A123" s="2986" t="s">
        <v>303</v>
      </c>
      <c r="B123" s="2975" t="s">
        <v>2994</v>
      </c>
      <c r="C123" s="2976">
        <v>0.1</v>
      </c>
      <c r="D123" s="2976">
        <v>0.1</v>
      </c>
      <c r="E123" s="2976">
        <v>9.8000000000000004E-2</v>
      </c>
      <c r="F123" s="2976">
        <v>0.1</v>
      </c>
      <c r="G123" s="2977">
        <v>0.1</v>
      </c>
    </row>
    <row r="124" spans="1:7">
      <c r="A124" s="2986" t="s">
        <v>303</v>
      </c>
      <c r="B124" s="2975" t="s">
        <v>2999</v>
      </c>
      <c r="C124" s="2976">
        <v>0.1</v>
      </c>
      <c r="D124" s="2976">
        <v>0.1</v>
      </c>
      <c r="E124" s="2976">
        <v>9.8000000000000004E-2</v>
      </c>
      <c r="F124" s="2992"/>
      <c r="G124" s="2977">
        <v>0.1</v>
      </c>
    </row>
    <row r="125" spans="1:7">
      <c r="A125" s="2986" t="s">
        <v>303</v>
      </c>
      <c r="B125" s="2975" t="s">
        <v>3004</v>
      </c>
      <c r="C125" s="2976">
        <v>9.8000000000000004E-2</v>
      </c>
      <c r="D125" s="2976">
        <v>9.8000000000000004E-2</v>
      </c>
      <c r="E125" s="2976">
        <v>9.6000000000000002E-2</v>
      </c>
      <c r="F125" s="2992"/>
      <c r="G125" s="2977">
        <v>0.1</v>
      </c>
    </row>
    <row r="126" spans="1:7" ht="14.25" thickBot="1">
      <c r="A126" s="2989" t="s">
        <v>303</v>
      </c>
      <c r="B126" s="2979" t="s">
        <v>3170</v>
      </c>
      <c r="C126" s="2980">
        <v>0.1</v>
      </c>
      <c r="D126" s="2980">
        <v>0.1</v>
      </c>
      <c r="E126" s="2980">
        <v>9.8000000000000004E-2</v>
      </c>
      <c r="F126" s="2980">
        <v>0.1</v>
      </c>
      <c r="G126" s="2982">
        <v>0.1</v>
      </c>
    </row>
    <row r="127" spans="1:7">
      <c r="A127" s="2985" t="s">
        <v>29</v>
      </c>
      <c r="B127" s="2971" t="s">
        <v>2847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2917</v>
      </c>
      <c r="C148" s="2976">
        <v>0.13</v>
      </c>
      <c r="D148" s="2976">
        <v>0.13</v>
      </c>
      <c r="E148" s="2976">
        <v>0.13</v>
      </c>
      <c r="F148" s="2987"/>
      <c r="G148" s="2977">
        <v>0.13</v>
      </c>
    </row>
    <row r="149" spans="1:7">
      <c r="A149" s="2986" t="s">
        <v>29</v>
      </c>
      <c r="B149" s="2975" t="s">
        <v>2921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2940</v>
      </c>
      <c r="C153" s="2976">
        <v>0.13</v>
      </c>
      <c r="D153" s="2976">
        <v>0.13</v>
      </c>
      <c r="E153" s="2976">
        <v>0.13</v>
      </c>
      <c r="F153" s="2976">
        <v>0.13</v>
      </c>
      <c r="G153" s="2977">
        <v>0.13</v>
      </c>
    </row>
    <row r="154" spans="1:7">
      <c r="A154" s="2986" t="s">
        <v>29</v>
      </c>
      <c r="B154" s="2975" t="s">
        <v>2947</v>
      </c>
      <c r="C154" s="2976">
        <v>0.121</v>
      </c>
      <c r="D154" s="2976">
        <v>0.121</v>
      </c>
      <c r="E154" s="2976">
        <v>0.105</v>
      </c>
      <c r="F154" s="2976">
        <v>0.121</v>
      </c>
      <c r="G154" s="2977">
        <v>0.123</v>
      </c>
    </row>
    <row r="155" spans="1:7">
      <c r="A155" s="2986" t="s">
        <v>29</v>
      </c>
      <c r="B155" s="2975" t="s">
        <v>2953</v>
      </c>
      <c r="C155" s="2976">
        <v>0.1</v>
      </c>
      <c r="D155" s="2976">
        <v>0.1</v>
      </c>
      <c r="E155" s="2976">
        <v>0.1</v>
      </c>
      <c r="F155" s="2976">
        <v>0.1</v>
      </c>
      <c r="G155" s="2977">
        <v>0.1</v>
      </c>
    </row>
    <row r="156" spans="1:7">
      <c r="A156" s="2986" t="s">
        <v>29</v>
      </c>
      <c r="B156" s="2975" t="s">
        <v>2960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2980</v>
      </c>
      <c r="C160" s="2976">
        <v>0.13</v>
      </c>
      <c r="D160" s="2976">
        <v>0.13</v>
      </c>
      <c r="E160" s="2976">
        <v>0.124</v>
      </c>
      <c r="F160" s="2976">
        <v>0.126</v>
      </c>
      <c r="G160" s="2977">
        <v>0.13</v>
      </c>
    </row>
    <row r="161" spans="1:7">
      <c r="A161" s="2986" t="s">
        <v>29</v>
      </c>
      <c r="B161" s="2975" t="s">
        <v>2985</v>
      </c>
      <c r="C161" s="2976">
        <v>0.13</v>
      </c>
      <c r="D161" s="2976">
        <v>0.13</v>
      </c>
      <c r="E161" s="2976">
        <v>0.124</v>
      </c>
      <c r="F161" s="2976">
        <v>0.127</v>
      </c>
      <c r="G161" s="2977">
        <v>0.13</v>
      </c>
    </row>
    <row r="162" spans="1:7">
      <c r="A162" s="2986" t="s">
        <v>29</v>
      </c>
      <c r="B162" s="2975" t="s">
        <v>2990</v>
      </c>
      <c r="C162" s="2976">
        <v>0.1</v>
      </c>
      <c r="D162" s="2976">
        <v>0.1</v>
      </c>
      <c r="E162" s="2976">
        <v>0.1</v>
      </c>
      <c r="F162" s="2976">
        <v>0.121</v>
      </c>
      <c r="G162" s="2977">
        <v>0.105</v>
      </c>
    </row>
    <row r="163" spans="1:7">
      <c r="A163" s="2986" t="s">
        <v>29</v>
      </c>
      <c r="B163" s="2975" t="s">
        <v>2995</v>
      </c>
      <c r="C163" s="2976">
        <v>0.1</v>
      </c>
      <c r="D163" s="2976">
        <v>0.1</v>
      </c>
      <c r="E163" s="2976">
        <v>0.1</v>
      </c>
      <c r="F163" s="2976">
        <v>0.1</v>
      </c>
      <c r="G163" s="2977">
        <v>0.1</v>
      </c>
    </row>
    <row r="164" spans="1:7">
      <c r="A164" s="2986" t="s">
        <v>29</v>
      </c>
      <c r="B164" s="2975" t="s">
        <v>3000</v>
      </c>
      <c r="C164" s="2992"/>
      <c r="D164" s="2992"/>
      <c r="E164" s="2992"/>
      <c r="F164" s="2976">
        <v>0.1</v>
      </c>
      <c r="G164" s="2988"/>
    </row>
    <row r="165" spans="1:7">
      <c r="A165" s="2986" t="s">
        <v>29</v>
      </c>
      <c r="B165" s="2975" t="s">
        <v>3171</v>
      </c>
      <c r="C165" s="2976">
        <v>0.126</v>
      </c>
      <c r="D165" s="2976">
        <v>0.126</v>
      </c>
      <c r="E165" s="2976">
        <v>0.11899999999999999</v>
      </c>
      <c r="F165" s="2976">
        <v>0.13</v>
      </c>
      <c r="G165" s="2977">
        <v>0.128</v>
      </c>
    </row>
    <row r="166" spans="1:7">
      <c r="A166" s="2986" t="s">
        <v>29</v>
      </c>
      <c r="B166" s="2975" t="s">
        <v>3010</v>
      </c>
      <c r="C166" s="2976">
        <v>0.129</v>
      </c>
      <c r="D166" s="2976">
        <v>0.129</v>
      </c>
      <c r="E166" s="2976">
        <v>0.123</v>
      </c>
      <c r="F166" s="2976">
        <v>0.128</v>
      </c>
      <c r="G166" s="2977">
        <v>0.13</v>
      </c>
    </row>
    <row r="167" spans="1:7">
      <c r="A167" s="2986" t="s">
        <v>29</v>
      </c>
      <c r="B167" s="2975" t="s">
        <v>3014</v>
      </c>
      <c r="C167" s="2976">
        <v>0.125</v>
      </c>
      <c r="D167" s="2976">
        <v>0.125</v>
      </c>
      <c r="E167" s="2976">
        <v>0.11700000000000001</v>
      </c>
      <c r="F167" s="2976">
        <v>0.13</v>
      </c>
      <c r="G167" s="2977">
        <v>0.126</v>
      </c>
    </row>
    <row r="168" spans="1:7">
      <c r="A168" s="2986" t="s">
        <v>29</v>
      </c>
      <c r="B168" s="2975" t="s">
        <v>3019</v>
      </c>
      <c r="C168" s="2976">
        <v>0.128</v>
      </c>
      <c r="D168" s="2976">
        <v>0.128</v>
      </c>
      <c r="E168" s="2976">
        <v>0.123</v>
      </c>
      <c r="F168" s="2987"/>
      <c r="G168" s="2977">
        <v>0.13</v>
      </c>
    </row>
    <row r="169" spans="1:7">
      <c r="A169" s="2986" t="s">
        <v>29</v>
      </c>
      <c r="B169" s="2975" t="s">
        <v>3172</v>
      </c>
      <c r="C169" s="2992"/>
      <c r="D169" s="2992"/>
      <c r="E169" s="2992"/>
      <c r="F169" s="2976">
        <v>0.05</v>
      </c>
      <c r="G169" s="2988"/>
    </row>
    <row r="170" spans="1:7">
      <c r="A170" s="2986" t="s">
        <v>29</v>
      </c>
      <c r="B170" s="2975" t="s">
        <v>3173</v>
      </c>
      <c r="C170" s="2992"/>
      <c r="D170" s="2992"/>
      <c r="E170" s="2992"/>
      <c r="F170" s="2976">
        <v>0.05</v>
      </c>
      <c r="G170" s="2988"/>
    </row>
    <row r="171" spans="1:7">
      <c r="A171" s="2986" t="s">
        <v>29</v>
      </c>
      <c r="B171" s="2975" t="s">
        <v>3174</v>
      </c>
      <c r="C171" s="2992"/>
      <c r="D171" s="2992"/>
      <c r="E171" s="2992"/>
      <c r="F171" s="2976">
        <v>0.05</v>
      </c>
      <c r="G171" s="2993"/>
    </row>
    <row r="172" spans="1:7">
      <c r="A172" s="2986" t="s">
        <v>29</v>
      </c>
      <c r="B172" s="2975" t="s">
        <v>3175</v>
      </c>
      <c r="C172" s="2992"/>
      <c r="D172" s="2992"/>
      <c r="E172" s="2992"/>
      <c r="F172" s="2976">
        <v>0.05</v>
      </c>
      <c r="G172" s="2993"/>
    </row>
    <row r="173" spans="1:7">
      <c r="A173" s="2986" t="s">
        <v>29</v>
      </c>
      <c r="B173" s="2975" t="s">
        <v>3176</v>
      </c>
      <c r="C173" s="2992"/>
      <c r="D173" s="2992"/>
      <c r="E173" s="2992"/>
      <c r="F173" s="2976">
        <v>0.05</v>
      </c>
      <c r="G173" s="2988"/>
    </row>
    <row r="174" spans="1:7">
      <c r="A174" s="2986" t="s">
        <v>29</v>
      </c>
      <c r="B174" s="2975" t="s">
        <v>3177</v>
      </c>
      <c r="C174" s="2992"/>
      <c r="D174" s="2992"/>
      <c r="E174" s="2992"/>
      <c r="F174" s="2976">
        <v>0.05</v>
      </c>
      <c r="G174" s="2988"/>
    </row>
    <row r="175" spans="1:7">
      <c r="A175" s="2986" t="s">
        <v>29</v>
      </c>
      <c r="B175" s="2975" t="s">
        <v>3178</v>
      </c>
      <c r="C175" s="2992"/>
      <c r="D175" s="2992"/>
      <c r="E175" s="2992"/>
      <c r="F175" s="2976">
        <v>0.05</v>
      </c>
      <c r="G175" s="2988"/>
    </row>
    <row r="176" spans="1:7">
      <c r="A176" s="2986" t="s">
        <v>29</v>
      </c>
      <c r="B176" s="2975" t="s">
        <v>3179</v>
      </c>
      <c r="C176" s="2992"/>
      <c r="D176" s="2992"/>
      <c r="E176" s="2992"/>
      <c r="F176" s="2976">
        <v>0.05</v>
      </c>
      <c r="G176" s="2988"/>
    </row>
    <row r="177" spans="1:7">
      <c r="A177" s="2986" t="s">
        <v>29</v>
      </c>
      <c r="B177" s="2975" t="s">
        <v>3180</v>
      </c>
      <c r="C177" s="2987"/>
      <c r="D177" s="2987"/>
      <c r="E177" s="2987"/>
      <c r="F177" s="2976">
        <v>0.05</v>
      </c>
      <c r="G177" s="2993"/>
    </row>
    <row r="178" spans="1:7">
      <c r="A178" s="2986" t="s">
        <v>29</v>
      </c>
      <c r="B178" s="2975" t="s">
        <v>3181</v>
      </c>
      <c r="C178" s="2987"/>
      <c r="D178" s="2987"/>
      <c r="E178" s="2987"/>
      <c r="F178" s="2976">
        <v>0.05</v>
      </c>
      <c r="G178" s="2993"/>
    </row>
    <row r="179" spans="1:7">
      <c r="A179" s="2986" t="s">
        <v>29</v>
      </c>
      <c r="B179" s="2975" t="s">
        <v>3182</v>
      </c>
      <c r="C179" s="2987"/>
      <c r="D179" s="2987"/>
      <c r="E179" s="2987"/>
      <c r="F179" s="2976">
        <v>0.05</v>
      </c>
      <c r="G179" s="2993"/>
    </row>
    <row r="180" spans="1:7">
      <c r="A180" s="2986" t="s">
        <v>29</v>
      </c>
      <c r="B180" s="2975" t="s">
        <v>3183</v>
      </c>
      <c r="C180" s="2987"/>
      <c r="D180" s="2987"/>
      <c r="E180" s="2987"/>
      <c r="F180" s="2976">
        <v>0.05</v>
      </c>
      <c r="G180" s="2993"/>
    </row>
    <row r="181" spans="1:7">
      <c r="A181" s="2986" t="s">
        <v>29</v>
      </c>
      <c r="B181" s="2975" t="s">
        <v>3184</v>
      </c>
      <c r="C181" s="2987"/>
      <c r="D181" s="2987"/>
      <c r="E181" s="2987"/>
      <c r="F181" s="2976">
        <v>0.05</v>
      </c>
      <c r="G181" s="2993"/>
    </row>
    <row r="182" spans="1:7">
      <c r="A182" s="2986" t="s">
        <v>29</v>
      </c>
      <c r="B182" s="2975" t="s">
        <v>3185</v>
      </c>
      <c r="C182" s="2987"/>
      <c r="D182" s="2987"/>
      <c r="E182" s="2987"/>
      <c r="F182" s="2976">
        <v>0.05</v>
      </c>
      <c r="G182" s="2993"/>
    </row>
    <row r="183" spans="1:7">
      <c r="A183" s="2986" t="s">
        <v>29</v>
      </c>
      <c r="B183" s="2975" t="s">
        <v>3186</v>
      </c>
      <c r="C183" s="2987"/>
      <c r="D183" s="2987"/>
      <c r="E183" s="2987"/>
      <c r="F183" s="2976">
        <v>0.05</v>
      </c>
      <c r="G183" s="2993"/>
    </row>
    <row r="184" spans="1:7">
      <c r="A184" s="2986" t="s">
        <v>29</v>
      </c>
      <c r="B184" s="2975" t="s">
        <v>3187</v>
      </c>
      <c r="C184" s="2987"/>
      <c r="D184" s="2987"/>
      <c r="E184" s="2987"/>
      <c r="F184" s="2976">
        <v>0.05</v>
      </c>
      <c r="G184" s="2993"/>
    </row>
    <row r="185" spans="1:7">
      <c r="A185" s="2986" t="s">
        <v>29</v>
      </c>
      <c r="B185" s="2975" t="s">
        <v>3188</v>
      </c>
      <c r="C185" s="2987"/>
      <c r="D185" s="2987"/>
      <c r="E185" s="2987"/>
      <c r="F185" s="2976">
        <v>0.05</v>
      </c>
      <c r="G185" s="2993"/>
    </row>
    <row r="186" spans="1:7">
      <c r="A186" s="2986" t="s">
        <v>29</v>
      </c>
      <c r="B186" s="2975" t="s">
        <v>3189</v>
      </c>
      <c r="C186" s="2987"/>
      <c r="D186" s="2987"/>
      <c r="E186" s="2987"/>
      <c r="F186" s="2976">
        <v>0.05</v>
      </c>
      <c r="G186" s="2993"/>
    </row>
    <row r="187" spans="1:7">
      <c r="A187" s="2986" t="s">
        <v>29</v>
      </c>
      <c r="B187" s="2975" t="s">
        <v>3190</v>
      </c>
      <c r="C187" s="2987"/>
      <c r="D187" s="2987"/>
      <c r="E187" s="2987"/>
      <c r="F187" s="2976">
        <v>0.05</v>
      </c>
      <c r="G187" s="2993"/>
    </row>
    <row r="188" spans="1:7">
      <c r="A188" s="2986" t="s">
        <v>29</v>
      </c>
      <c r="B188" s="2975" t="s">
        <v>3191</v>
      </c>
      <c r="C188" s="2987"/>
      <c r="D188" s="2987"/>
      <c r="E188" s="2987"/>
      <c r="F188" s="2976">
        <v>0.05</v>
      </c>
      <c r="G188" s="2993"/>
    </row>
    <row r="189" spans="1:7" ht="14.25" thickBot="1">
      <c r="A189" s="2989" t="s">
        <v>29</v>
      </c>
      <c r="B189" s="2979" t="s">
        <v>3192</v>
      </c>
      <c r="C189" s="2981"/>
      <c r="D189" s="2981"/>
      <c r="E189" s="2981"/>
      <c r="F189" s="2980">
        <v>0.05</v>
      </c>
      <c r="G189" s="2994"/>
    </row>
    <row r="190" spans="1:7">
      <c r="A190" s="2985" t="s">
        <v>304</v>
      </c>
      <c r="B190" s="2971" t="s">
        <v>2848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2884</v>
      </c>
      <c r="C199" s="2976">
        <v>0.13</v>
      </c>
      <c r="D199" s="2976">
        <v>0.13</v>
      </c>
      <c r="E199" s="2976">
        <v>0.13</v>
      </c>
      <c r="F199" s="2976">
        <v>0.13</v>
      </c>
      <c r="G199" s="2977">
        <v>0.13</v>
      </c>
    </row>
    <row r="200" spans="1:7">
      <c r="A200" s="2986" t="s">
        <v>304</v>
      </c>
      <c r="B200" s="2975" t="s">
        <v>2887</v>
      </c>
      <c r="C200" s="2992"/>
      <c r="D200" s="2992"/>
      <c r="E200" s="2992"/>
      <c r="F200" s="2976">
        <v>0.13</v>
      </c>
      <c r="G200" s="2988"/>
    </row>
    <row r="201" spans="1:7">
      <c r="A201" s="2986" t="s">
        <v>304</v>
      </c>
      <c r="B201" s="2975" t="s">
        <v>2892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2895</v>
      </c>
      <c r="C203" s="2976">
        <v>0.129</v>
      </c>
      <c r="D203" s="2976">
        <v>0.129</v>
      </c>
      <c r="E203" s="2976">
        <v>0.13</v>
      </c>
      <c r="F203" s="2976">
        <v>0.13</v>
      </c>
      <c r="G203" s="2977">
        <v>0.13</v>
      </c>
    </row>
    <row r="204" spans="1:7">
      <c r="A204" s="2986" t="s">
        <v>304</v>
      </c>
      <c r="B204" s="2975" t="s">
        <v>2898</v>
      </c>
      <c r="C204" s="2976">
        <v>0.129</v>
      </c>
      <c r="D204" s="2976">
        <v>0.129</v>
      </c>
      <c r="E204" s="2976">
        <v>0.123</v>
      </c>
      <c r="F204" s="2976">
        <v>0.13</v>
      </c>
      <c r="G204" s="2977">
        <v>0.13</v>
      </c>
    </row>
    <row r="205" spans="1:7">
      <c r="A205" s="2986" t="s">
        <v>304</v>
      </c>
      <c r="B205" s="2975" t="s">
        <v>2900</v>
      </c>
      <c r="C205" s="2976">
        <v>0.13</v>
      </c>
      <c r="D205" s="2976">
        <v>0.13</v>
      </c>
      <c r="E205" s="2976">
        <v>0.13</v>
      </c>
      <c r="F205" s="2976">
        <v>0.13</v>
      </c>
      <c r="G205" s="2977">
        <v>0.13</v>
      </c>
    </row>
    <row r="206" spans="1:7">
      <c r="A206" s="2986" t="s">
        <v>304</v>
      </c>
      <c r="B206" s="2975" t="s">
        <v>2903</v>
      </c>
      <c r="C206" s="2976">
        <v>0.13</v>
      </c>
      <c r="D206" s="2976">
        <v>0.13</v>
      </c>
      <c r="E206" s="2976">
        <v>0.13</v>
      </c>
      <c r="F206" s="2976">
        <v>0.128</v>
      </c>
      <c r="G206" s="2977">
        <v>0.13</v>
      </c>
    </row>
    <row r="207" spans="1:7">
      <c r="A207" s="2986" t="s">
        <v>304</v>
      </c>
      <c r="B207" s="2975" t="s">
        <v>2905</v>
      </c>
      <c r="C207" s="2976">
        <v>0.13</v>
      </c>
      <c r="D207" s="2976">
        <v>0.13</v>
      </c>
      <c r="E207" s="2976">
        <v>0.13</v>
      </c>
      <c r="F207" s="2976">
        <v>0.13</v>
      </c>
      <c r="G207" s="2977">
        <v>0.13</v>
      </c>
    </row>
    <row r="208" spans="1:7">
      <c r="A208" s="2986" t="s">
        <v>304</v>
      </c>
      <c r="B208" s="2975" t="s">
        <v>2908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2915</v>
      </c>
      <c r="C210" s="2976">
        <v>0.121</v>
      </c>
      <c r="D210" s="2976">
        <v>0.121</v>
      </c>
      <c r="E210" s="2976">
        <v>0.125</v>
      </c>
      <c r="F210" s="2976">
        <v>0.13</v>
      </c>
      <c r="G210" s="2977">
        <v>0.123</v>
      </c>
    </row>
    <row r="211" spans="1:7">
      <c r="A211" s="2986" t="s">
        <v>304</v>
      </c>
      <c r="B211" s="2975" t="s">
        <v>2918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2930</v>
      </c>
      <c r="C214" s="2976">
        <v>0.128</v>
      </c>
      <c r="D214" s="2976">
        <v>0.128</v>
      </c>
      <c r="E214" s="2976">
        <v>0.13</v>
      </c>
      <c r="F214" s="2976">
        <v>0.13</v>
      </c>
      <c r="G214" s="2977">
        <v>0.13</v>
      </c>
    </row>
    <row r="215" spans="1:7">
      <c r="A215" s="2986" t="s">
        <v>304</v>
      </c>
      <c r="B215" s="2975" t="s">
        <v>2934</v>
      </c>
      <c r="C215" s="2976">
        <v>0.13</v>
      </c>
      <c r="D215" s="2976">
        <v>0.13</v>
      </c>
      <c r="E215" s="2976">
        <v>0.13</v>
      </c>
      <c r="F215" s="2976">
        <v>0.129</v>
      </c>
      <c r="G215" s="2977">
        <v>0.13</v>
      </c>
    </row>
    <row r="216" spans="1:7">
      <c r="A216" s="2986" t="s">
        <v>304</v>
      </c>
      <c r="B216" s="2975" t="s">
        <v>2941</v>
      </c>
      <c r="C216" s="2976">
        <v>0.13</v>
      </c>
      <c r="D216" s="2976">
        <v>0.13</v>
      </c>
      <c r="E216" s="2976">
        <v>0.13</v>
      </c>
      <c r="F216" s="2976">
        <v>0.13</v>
      </c>
      <c r="G216" s="2977">
        <v>0.13</v>
      </c>
    </row>
    <row r="217" spans="1:7">
      <c r="A217" s="2986" t="s">
        <v>304</v>
      </c>
      <c r="B217" s="2975" t="s">
        <v>2948</v>
      </c>
      <c r="C217" s="2976">
        <v>0.129</v>
      </c>
      <c r="D217" s="2976">
        <v>0.129</v>
      </c>
      <c r="E217" s="2976">
        <v>0.13</v>
      </c>
      <c r="F217" s="2976">
        <v>0.13</v>
      </c>
      <c r="G217" s="2977">
        <v>0.13</v>
      </c>
    </row>
    <row r="218" spans="1:7">
      <c r="A218" s="2986" t="s">
        <v>304</v>
      </c>
      <c r="B218" s="2975" t="s">
        <v>2954</v>
      </c>
      <c r="C218" s="2987"/>
      <c r="D218" s="2987"/>
      <c r="E218" s="2987"/>
      <c r="F218" s="2976">
        <v>0.05</v>
      </c>
      <c r="G218" s="2993"/>
    </row>
    <row r="219" spans="1:7">
      <c r="A219" s="2986" t="s">
        <v>304</v>
      </c>
      <c r="B219" s="2975" t="s">
        <v>2961</v>
      </c>
      <c r="C219" s="2987"/>
      <c r="D219" s="2987"/>
      <c r="E219" s="2987"/>
      <c r="F219" s="2976">
        <v>0.05</v>
      </c>
      <c r="G219" s="2993"/>
    </row>
    <row r="220" spans="1:7">
      <c r="A220" s="2986" t="s">
        <v>304</v>
      </c>
      <c r="B220" s="2975" t="s">
        <v>2967</v>
      </c>
      <c r="C220" s="2987"/>
      <c r="D220" s="2987"/>
      <c r="E220" s="2987"/>
      <c r="F220" s="2976">
        <v>0.05</v>
      </c>
      <c r="G220" s="2993"/>
    </row>
    <row r="221" spans="1:7">
      <c r="A221" s="2986" t="s">
        <v>304</v>
      </c>
      <c r="B221" s="2975" t="s">
        <v>2972</v>
      </c>
      <c r="C221" s="2987"/>
      <c r="D221" s="2987"/>
      <c r="E221" s="2987"/>
      <c r="F221" s="2976">
        <v>0.05</v>
      </c>
      <c r="G221" s="2993"/>
    </row>
    <row r="222" spans="1:7">
      <c r="A222" s="2986" t="s">
        <v>304</v>
      </c>
      <c r="B222" s="2975" t="s">
        <v>2976</v>
      </c>
      <c r="C222" s="2987"/>
      <c r="D222" s="2987"/>
      <c r="E222" s="2987"/>
      <c r="F222" s="2976">
        <v>0.05</v>
      </c>
      <c r="G222" s="2993"/>
    </row>
    <row r="223" spans="1:7">
      <c r="A223" s="2986" t="s">
        <v>304</v>
      </c>
      <c r="B223" s="2975" t="s">
        <v>2981</v>
      </c>
      <c r="C223" s="2987"/>
      <c r="D223" s="2987"/>
      <c r="E223" s="2987"/>
      <c r="F223" s="2976">
        <v>0.05</v>
      </c>
      <c r="G223" s="2993"/>
    </row>
    <row r="224" spans="1:7">
      <c r="A224" s="2986" t="s">
        <v>304</v>
      </c>
      <c r="B224" s="2975" t="s">
        <v>2986</v>
      </c>
      <c r="C224" s="2987"/>
      <c r="D224" s="2987"/>
      <c r="E224" s="2987"/>
      <c r="F224" s="2976">
        <v>0.05</v>
      </c>
      <c r="G224" s="2993"/>
    </row>
    <row r="225" spans="1:7">
      <c r="A225" s="2986" t="s">
        <v>304</v>
      </c>
      <c r="B225" s="2975" t="s">
        <v>2991</v>
      </c>
      <c r="C225" s="2987"/>
      <c r="D225" s="2987"/>
      <c r="E225" s="2987"/>
      <c r="F225" s="2976">
        <v>0.05</v>
      </c>
      <c r="G225" s="2993"/>
    </row>
    <row r="226" spans="1:7">
      <c r="A226" s="2986" t="s">
        <v>304</v>
      </c>
      <c r="B226" s="2975" t="s">
        <v>3193</v>
      </c>
      <c r="C226" s="2987"/>
      <c r="D226" s="2987"/>
      <c r="E226" s="2987"/>
      <c r="F226" s="2976">
        <v>0.05</v>
      </c>
      <c r="G226" s="2993"/>
    </row>
    <row r="227" spans="1:7">
      <c r="A227" s="2986" t="s">
        <v>304</v>
      </c>
      <c r="B227" s="2975" t="s">
        <v>3194</v>
      </c>
      <c r="C227" s="2987"/>
      <c r="D227" s="2987"/>
      <c r="E227" s="2987"/>
      <c r="F227" s="2976">
        <v>0.05</v>
      </c>
      <c r="G227" s="2993"/>
    </row>
    <row r="228" spans="1:7">
      <c r="A228" s="2986" t="s">
        <v>304</v>
      </c>
      <c r="B228" s="2975" t="s">
        <v>3195</v>
      </c>
      <c r="C228" s="2987"/>
      <c r="D228" s="2987"/>
      <c r="E228" s="2987"/>
      <c r="F228" s="2976">
        <v>0.05</v>
      </c>
      <c r="G228" s="2993"/>
    </row>
    <row r="229" spans="1:7">
      <c r="A229" s="2986" t="s">
        <v>304</v>
      </c>
      <c r="B229" s="2975" t="s">
        <v>3196</v>
      </c>
      <c r="C229" s="2987"/>
      <c r="D229" s="2987"/>
      <c r="E229" s="2987"/>
      <c r="F229" s="2976">
        <v>0.05</v>
      </c>
      <c r="G229" s="2993"/>
    </row>
    <row r="230" spans="1:7">
      <c r="A230" s="2986" t="s">
        <v>304</v>
      </c>
      <c r="B230" s="2975" t="s">
        <v>3197</v>
      </c>
      <c r="C230" s="2987"/>
      <c r="D230" s="2987"/>
      <c r="E230" s="2987"/>
      <c r="F230" s="2976">
        <v>0.05</v>
      </c>
      <c r="G230" s="2993"/>
    </row>
    <row r="231" spans="1:7">
      <c r="A231" s="2986" t="s">
        <v>304</v>
      </c>
      <c r="B231" s="2975" t="s">
        <v>3198</v>
      </c>
      <c r="C231" s="2987"/>
      <c r="D231" s="2987"/>
      <c r="E231" s="2987"/>
      <c r="F231" s="2976">
        <v>0.05</v>
      </c>
      <c r="G231" s="2993"/>
    </row>
    <row r="232" spans="1:7">
      <c r="A232" s="2986" t="s">
        <v>304</v>
      </c>
      <c r="B232" s="2975" t="s">
        <v>3199</v>
      </c>
      <c r="C232" s="2987"/>
      <c r="D232" s="2987"/>
      <c r="E232" s="2987"/>
      <c r="F232" s="2976">
        <v>0.05</v>
      </c>
      <c r="G232" s="2993"/>
    </row>
    <row r="233" spans="1:7" ht="14.25" thickBot="1">
      <c r="A233" s="2989" t="s">
        <v>304</v>
      </c>
      <c r="B233" s="2979" t="s">
        <v>3200</v>
      </c>
      <c r="C233" s="2981"/>
      <c r="D233" s="2981"/>
      <c r="E233" s="2981"/>
      <c r="F233" s="2980">
        <v>0.05</v>
      </c>
      <c r="G233" s="2994"/>
    </row>
    <row r="234" spans="1:7">
      <c r="A234" s="2985" t="s">
        <v>305</v>
      </c>
      <c r="B234" s="2971" t="s">
        <v>2849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2869</v>
      </c>
      <c r="C238" s="2976">
        <v>0.14899999999999999</v>
      </c>
      <c r="D238" s="2976">
        <v>0.14899999999999999</v>
      </c>
      <c r="E238" s="2976">
        <v>0.15</v>
      </c>
      <c r="F238" s="2976">
        <v>0.15</v>
      </c>
      <c r="G238" s="2977">
        <v>0.15</v>
      </c>
    </row>
    <row r="239" spans="1:7">
      <c r="A239" s="2986" t="s">
        <v>305</v>
      </c>
      <c r="B239" s="2975" t="s">
        <v>2873</v>
      </c>
      <c r="C239" s="2976">
        <v>0.15</v>
      </c>
      <c r="D239" s="2976">
        <v>0.15</v>
      </c>
      <c r="E239" s="2976">
        <v>0.15</v>
      </c>
      <c r="F239" s="2976">
        <v>0.15</v>
      </c>
      <c r="G239" s="2977">
        <v>0.15</v>
      </c>
    </row>
    <row r="240" spans="1:7">
      <c r="A240" s="2986" t="s">
        <v>305</v>
      </c>
      <c r="B240" s="2975" t="s">
        <v>2878</v>
      </c>
      <c r="C240" s="2976">
        <v>0.15</v>
      </c>
      <c r="D240" s="2976">
        <v>0.15</v>
      </c>
      <c r="E240" s="2976">
        <v>0.15</v>
      </c>
      <c r="F240" s="2976">
        <v>0.15</v>
      </c>
      <c r="G240" s="2977">
        <v>0.15</v>
      </c>
    </row>
    <row r="241" spans="1:7">
      <c r="A241" s="2986" t="s">
        <v>305</v>
      </c>
      <c r="B241" s="2975" t="s">
        <v>2882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2888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2909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2931</v>
      </c>
      <c r="C258" s="2976">
        <v>0.14299999999999999</v>
      </c>
      <c r="D258" s="2976">
        <v>0.14299999999999999</v>
      </c>
      <c r="E258" s="2976">
        <v>0.15</v>
      </c>
      <c r="F258" s="2976">
        <v>0.14799999999999999</v>
      </c>
      <c r="G258" s="2977">
        <v>0.14599999999999999</v>
      </c>
    </row>
    <row r="259" spans="1:7">
      <c r="A259" s="2986" t="s">
        <v>305</v>
      </c>
      <c r="B259" s="2975" t="s">
        <v>2935</v>
      </c>
      <c r="C259" s="2976">
        <v>0.14399999999999999</v>
      </c>
      <c r="D259" s="2976">
        <v>0.14399999999999999</v>
      </c>
      <c r="E259" s="2976">
        <v>0.14899999999999999</v>
      </c>
      <c r="F259" s="2976">
        <v>0.14699999999999999</v>
      </c>
      <c r="G259" s="2977">
        <v>0.14599999999999999</v>
      </c>
    </row>
    <row r="260" spans="1:7">
      <c r="A260" s="2986" t="s">
        <v>305</v>
      </c>
      <c r="B260" s="2975" t="s">
        <v>2942</v>
      </c>
      <c r="C260" s="2976">
        <v>0.109</v>
      </c>
      <c r="D260" s="2976">
        <v>0.111</v>
      </c>
      <c r="E260" s="2976">
        <v>0.13100000000000001</v>
      </c>
      <c r="F260" s="2976">
        <v>0.126</v>
      </c>
      <c r="G260" s="2977">
        <v>0.11899999999999999</v>
      </c>
    </row>
    <row r="261" spans="1:7">
      <c r="A261" s="2986" t="s">
        <v>305</v>
      </c>
      <c r="B261" s="2975" t="s">
        <v>2949</v>
      </c>
      <c r="C261" s="2976">
        <v>0.1</v>
      </c>
      <c r="D261" s="2976">
        <v>0.1</v>
      </c>
      <c r="E261" s="2976">
        <v>0.11799999999999999</v>
      </c>
      <c r="F261" s="2976">
        <v>0.108</v>
      </c>
      <c r="G261" s="2977">
        <v>0.107</v>
      </c>
    </row>
    <row r="262" spans="1:7">
      <c r="A262" s="2986" t="s">
        <v>305</v>
      </c>
      <c r="B262" s="2975" t="s">
        <v>2955</v>
      </c>
      <c r="C262" s="2976">
        <v>0.1</v>
      </c>
      <c r="D262" s="2976">
        <v>0.1</v>
      </c>
      <c r="E262" s="2976">
        <v>0.1</v>
      </c>
      <c r="F262" s="2976">
        <v>0.14099999999999999</v>
      </c>
      <c r="G262" s="2977">
        <v>0.1</v>
      </c>
    </row>
    <row r="263" spans="1:7">
      <c r="A263" s="2986" t="s">
        <v>305</v>
      </c>
      <c r="B263" s="2975" t="s">
        <v>2962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2973</v>
      </c>
      <c r="C265" s="2987"/>
      <c r="D265" s="2987"/>
      <c r="E265" s="2987"/>
      <c r="F265" s="2976">
        <v>0.05</v>
      </c>
      <c r="G265" s="2993"/>
    </row>
    <row r="266" spans="1:7">
      <c r="A266" s="2986" t="s">
        <v>305</v>
      </c>
      <c r="B266" s="2975" t="s">
        <v>2977</v>
      </c>
      <c r="C266" s="2987"/>
      <c r="D266" s="2987"/>
      <c r="E266" s="2987"/>
      <c r="F266" s="2976">
        <v>0.05</v>
      </c>
      <c r="G266" s="2993"/>
    </row>
    <row r="267" spans="1:7">
      <c r="A267" s="2986" t="s">
        <v>305</v>
      </c>
      <c r="B267" s="2975" t="s">
        <v>2982</v>
      </c>
      <c r="C267" s="2987"/>
      <c r="D267" s="2987"/>
      <c r="E267" s="2987"/>
      <c r="F267" s="2976">
        <v>0.05</v>
      </c>
      <c r="G267" s="2993"/>
    </row>
    <row r="268" spans="1:7">
      <c r="A268" s="2986" t="s">
        <v>305</v>
      </c>
      <c r="B268" s="2975" t="s">
        <v>2987</v>
      </c>
      <c r="C268" s="2987"/>
      <c r="D268" s="2987"/>
      <c r="E268" s="2987"/>
      <c r="F268" s="2976">
        <v>0.05</v>
      </c>
      <c r="G268" s="2993"/>
    </row>
    <row r="269" spans="1:7">
      <c r="A269" s="2986" t="s">
        <v>305</v>
      </c>
      <c r="B269" s="2975" t="s">
        <v>2992</v>
      </c>
      <c r="C269" s="2987"/>
      <c r="D269" s="2987"/>
      <c r="E269" s="2987"/>
      <c r="F269" s="2976">
        <v>0.05</v>
      </c>
      <c r="G269" s="2993"/>
    </row>
    <row r="270" spans="1:7">
      <c r="A270" s="2986" t="s">
        <v>305</v>
      </c>
      <c r="B270" s="2975" t="s">
        <v>2997</v>
      </c>
      <c r="C270" s="2987"/>
      <c r="D270" s="2987"/>
      <c r="E270" s="2987"/>
      <c r="F270" s="2976">
        <v>0.05</v>
      </c>
      <c r="G270" s="2993"/>
    </row>
    <row r="271" spans="1:7">
      <c r="A271" s="2986" t="s">
        <v>305</v>
      </c>
      <c r="B271" s="2975" t="s">
        <v>3201</v>
      </c>
      <c r="C271" s="2987"/>
      <c r="D271" s="2987"/>
      <c r="E271" s="2987"/>
      <c r="F271" s="2976">
        <v>0.05</v>
      </c>
      <c r="G271" s="2993"/>
    </row>
    <row r="272" spans="1:7">
      <c r="A272" s="2986" t="s">
        <v>305</v>
      </c>
      <c r="B272" s="2975" t="s">
        <v>3202</v>
      </c>
      <c r="C272" s="2987"/>
      <c r="D272" s="2987"/>
      <c r="E272" s="2987"/>
      <c r="F272" s="2976">
        <v>0.05</v>
      </c>
      <c r="G272" s="2993"/>
    </row>
    <row r="273" spans="1:7">
      <c r="A273" s="2986" t="s">
        <v>305</v>
      </c>
      <c r="B273" s="2975" t="s">
        <v>3203</v>
      </c>
      <c r="C273" s="2987"/>
      <c r="D273" s="2987"/>
      <c r="E273" s="2987"/>
      <c r="F273" s="2976">
        <v>0.05</v>
      </c>
      <c r="G273" s="2993"/>
    </row>
    <row r="274" spans="1:7">
      <c r="A274" s="2986" t="s">
        <v>305</v>
      </c>
      <c r="B274" s="2975" t="s">
        <v>3204</v>
      </c>
      <c r="C274" s="2987"/>
      <c r="D274" s="2987"/>
      <c r="E274" s="2987"/>
      <c r="F274" s="2976">
        <v>0.05</v>
      </c>
      <c r="G274" s="2993"/>
    </row>
    <row r="275" spans="1:7">
      <c r="A275" s="2986" t="s">
        <v>305</v>
      </c>
      <c r="B275" s="2975" t="s">
        <v>3205</v>
      </c>
      <c r="C275" s="2987"/>
      <c r="D275" s="2987"/>
      <c r="E275" s="2987"/>
      <c r="F275" s="2976">
        <v>0.05</v>
      </c>
      <c r="G275" s="2993"/>
    </row>
    <row r="276" spans="1:7" ht="14.25" thickBot="1">
      <c r="A276" s="2989" t="s">
        <v>305</v>
      </c>
      <c r="B276" s="2979" t="s">
        <v>3206</v>
      </c>
      <c r="C276" s="2981"/>
      <c r="D276" s="2981"/>
      <c r="E276" s="2981"/>
      <c r="F276" s="2980">
        <v>0.05</v>
      </c>
      <c r="G276" s="2994"/>
    </row>
    <row r="277" spans="1:7">
      <c r="A277" s="2985" t="s">
        <v>306</v>
      </c>
      <c r="B277" s="2971" t="s">
        <v>2850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2862</v>
      </c>
      <c r="C279" s="2976">
        <v>0.15</v>
      </c>
      <c r="D279" s="2976">
        <v>0.15</v>
      </c>
      <c r="E279" s="2976">
        <v>0.15</v>
      </c>
      <c r="F279" s="2976">
        <v>0.15</v>
      </c>
      <c r="G279" s="2977">
        <v>0.15</v>
      </c>
    </row>
    <row r="280" spans="1:7">
      <c r="A280" s="2986" t="s">
        <v>306</v>
      </c>
      <c r="B280" s="2975" t="s">
        <v>2866</v>
      </c>
      <c r="C280" s="2976">
        <v>0.15</v>
      </c>
      <c r="D280" s="2976">
        <v>0.15</v>
      </c>
      <c r="E280" s="2976">
        <v>0.15</v>
      </c>
      <c r="F280" s="2976">
        <v>0.15</v>
      </c>
      <c r="G280" s="2977">
        <v>0.15</v>
      </c>
    </row>
    <row r="281" spans="1:7">
      <c r="A281" s="2986" t="s">
        <v>306</v>
      </c>
      <c r="B281" s="2975" t="s">
        <v>2870</v>
      </c>
      <c r="C281" s="2976">
        <v>0.15</v>
      </c>
      <c r="D281" s="2976">
        <v>0.15</v>
      </c>
      <c r="E281" s="2976">
        <v>0.15</v>
      </c>
      <c r="F281" s="2976">
        <v>0.15</v>
      </c>
      <c r="G281" s="2977">
        <v>0.15</v>
      </c>
    </row>
    <row r="282" spans="1:7">
      <c r="A282" s="2986" t="s">
        <v>306</v>
      </c>
      <c r="B282" s="2975" t="s">
        <v>2874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2889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2904</v>
      </c>
      <c r="C293" s="2976">
        <v>0.15</v>
      </c>
      <c r="D293" s="2976">
        <v>0.15</v>
      </c>
      <c r="E293" s="2976">
        <v>0.15</v>
      </c>
      <c r="F293" s="2976">
        <v>0.14499999999999999</v>
      </c>
      <c r="G293" s="2977">
        <v>0.15</v>
      </c>
    </row>
    <row r="294" spans="1:7">
      <c r="A294" s="2986" t="s">
        <v>306</v>
      </c>
      <c r="B294" s="2975" t="s">
        <v>2906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2936</v>
      </c>
      <c r="C302" s="2976">
        <v>0.15</v>
      </c>
      <c r="D302" s="2976">
        <v>0.15</v>
      </c>
      <c r="E302" s="2976">
        <v>0.15</v>
      </c>
      <c r="F302" s="2976">
        <v>0.14699999999999999</v>
      </c>
      <c r="G302" s="2977">
        <v>0.15</v>
      </c>
    </row>
    <row r="303" spans="1:7">
      <c r="A303" s="2986" t="s">
        <v>306</v>
      </c>
      <c r="B303" s="2975" t="s">
        <v>2943</v>
      </c>
      <c r="C303" s="2976">
        <v>0.15</v>
      </c>
      <c r="D303" s="2976">
        <v>0.15</v>
      </c>
      <c r="E303" s="2976">
        <v>0.15</v>
      </c>
      <c r="F303" s="2976">
        <v>0.14199999999999999</v>
      </c>
      <c r="G303" s="2977">
        <v>0.15</v>
      </c>
    </row>
    <row r="304" spans="1:7">
      <c r="A304" s="2986" t="s">
        <v>306</v>
      </c>
      <c r="B304" s="2975" t="s">
        <v>2950</v>
      </c>
      <c r="C304" s="2976">
        <v>0.15</v>
      </c>
      <c r="D304" s="2976">
        <v>0.15</v>
      </c>
      <c r="E304" s="2976">
        <v>0.15</v>
      </c>
      <c r="F304" s="2976">
        <v>0.14499999999999999</v>
      </c>
      <c r="G304" s="2977">
        <v>0.15</v>
      </c>
    </row>
    <row r="305" spans="1:7">
      <c r="A305" s="2986" t="s">
        <v>306</v>
      </c>
      <c r="B305" s="2975" t="s">
        <v>2956</v>
      </c>
      <c r="C305" s="2976">
        <v>0.15</v>
      </c>
      <c r="D305" s="2976">
        <v>0.15</v>
      </c>
      <c r="E305" s="2976">
        <v>0.15</v>
      </c>
      <c r="F305" s="2976">
        <v>0.111</v>
      </c>
      <c r="G305" s="2977">
        <v>0.15</v>
      </c>
    </row>
    <row r="306" spans="1:7">
      <c r="A306" s="2986" t="s">
        <v>306</v>
      </c>
      <c r="B306" s="2975" t="s">
        <v>2963</v>
      </c>
      <c r="C306" s="2976">
        <v>0.15</v>
      </c>
      <c r="D306" s="2976">
        <v>0.15</v>
      </c>
      <c r="E306" s="2976">
        <v>0.15</v>
      </c>
      <c r="F306" s="2976">
        <v>0.126</v>
      </c>
      <c r="G306" s="2977">
        <v>0.15</v>
      </c>
    </row>
    <row r="307" spans="1:7">
      <c r="A307" s="2986" t="s">
        <v>306</v>
      </c>
      <c r="B307" s="2975" t="s">
        <v>2968</v>
      </c>
      <c r="C307" s="2976">
        <v>0.15</v>
      </c>
      <c r="D307" s="2976">
        <v>0.15</v>
      </c>
      <c r="E307" s="2976">
        <v>0.15</v>
      </c>
      <c r="F307" s="2976">
        <v>0.12</v>
      </c>
      <c r="G307" s="2977">
        <v>0.15</v>
      </c>
    </row>
    <row r="308" spans="1:7">
      <c r="A308" s="2986" t="s">
        <v>306</v>
      </c>
      <c r="B308" s="2975" t="s">
        <v>2974</v>
      </c>
      <c r="C308" s="2976">
        <v>0.15</v>
      </c>
      <c r="D308" s="2976">
        <v>0.15</v>
      </c>
      <c r="E308" s="2976">
        <v>0.15</v>
      </c>
      <c r="F308" s="2976">
        <v>0.13</v>
      </c>
      <c r="G308" s="2977">
        <v>0.15</v>
      </c>
    </row>
    <row r="309" spans="1:7">
      <c r="A309" s="2986" t="s">
        <v>306</v>
      </c>
      <c r="B309" s="2975" t="s">
        <v>2978</v>
      </c>
      <c r="C309" s="2976">
        <v>0.15</v>
      </c>
      <c r="D309" s="2976">
        <v>0.15</v>
      </c>
      <c r="E309" s="2976">
        <v>0.15</v>
      </c>
      <c r="F309" s="2976">
        <v>0.14099999999999999</v>
      </c>
      <c r="G309" s="2977">
        <v>0.15</v>
      </c>
    </row>
    <row r="310" spans="1:7">
      <c r="A310" s="2986" t="s">
        <v>306</v>
      </c>
      <c r="B310" s="2975" t="s">
        <v>2983</v>
      </c>
      <c r="C310" s="2976">
        <v>0.15</v>
      </c>
      <c r="D310" s="2976">
        <v>0.15</v>
      </c>
      <c r="E310" s="2976">
        <v>0.15</v>
      </c>
      <c r="F310" s="2976">
        <v>0.15</v>
      </c>
      <c r="G310" s="2977">
        <v>0.15</v>
      </c>
    </row>
    <row r="311" spans="1:7">
      <c r="A311" s="2986" t="s">
        <v>306</v>
      </c>
      <c r="B311" s="2975" t="s">
        <v>2988</v>
      </c>
      <c r="C311" s="2976">
        <v>0.13200000000000001</v>
      </c>
      <c r="D311" s="2976">
        <v>0.13300000000000001</v>
      </c>
      <c r="E311" s="2976">
        <v>0.14499999999999999</v>
      </c>
      <c r="F311" s="2976">
        <v>0.14199999999999999</v>
      </c>
      <c r="G311" s="2977">
        <v>0.14000000000000001</v>
      </c>
    </row>
    <row r="312" spans="1:7">
      <c r="A312" s="2986" t="s">
        <v>306</v>
      </c>
      <c r="B312" s="2975" t="s">
        <v>2993</v>
      </c>
      <c r="C312" s="2976">
        <v>0.13800000000000001</v>
      </c>
      <c r="D312" s="2976">
        <v>0.14000000000000001</v>
      </c>
      <c r="E312" s="2976">
        <v>0.14599999999999999</v>
      </c>
      <c r="F312" s="2976">
        <v>0.14899999999999999</v>
      </c>
      <c r="G312" s="2977">
        <v>0.14199999999999999</v>
      </c>
    </row>
    <row r="313" spans="1:7">
      <c r="A313" s="2986" t="s">
        <v>306</v>
      </c>
      <c r="B313" s="2975" t="s">
        <v>2998</v>
      </c>
      <c r="C313" s="2976">
        <v>0.125</v>
      </c>
      <c r="D313" s="2976">
        <v>0.127</v>
      </c>
      <c r="E313" s="2976">
        <v>0.14399999999999999</v>
      </c>
      <c r="F313" s="2976">
        <v>0.115</v>
      </c>
      <c r="G313" s="2977">
        <v>0.13600000000000001</v>
      </c>
    </row>
    <row r="314" spans="1:7">
      <c r="A314" s="2986" t="s">
        <v>306</v>
      </c>
      <c r="B314" s="2975" t="s">
        <v>3207</v>
      </c>
      <c r="C314" s="2992"/>
      <c r="D314" s="2992"/>
      <c r="E314" s="2992"/>
      <c r="F314" s="2976">
        <v>0.05</v>
      </c>
      <c r="G314" s="2993"/>
    </row>
    <row r="315" spans="1:7">
      <c r="A315" s="2986" t="s">
        <v>306</v>
      </c>
      <c r="B315" s="2975" t="s">
        <v>3208</v>
      </c>
      <c r="C315" s="2992"/>
      <c r="D315" s="2992"/>
      <c r="E315" s="2992"/>
      <c r="F315" s="2976">
        <v>0.05</v>
      </c>
      <c r="G315" s="2993"/>
    </row>
    <row r="316" spans="1:7">
      <c r="A316" s="2986" t="s">
        <v>306</v>
      </c>
      <c r="B316" s="2975" t="s">
        <v>3209</v>
      </c>
      <c r="C316" s="2987"/>
      <c r="D316" s="2987"/>
      <c r="E316" s="2987"/>
      <c r="F316" s="2976">
        <v>0.05</v>
      </c>
      <c r="G316" s="2993"/>
    </row>
    <row r="317" spans="1:7">
      <c r="A317" s="2986" t="s">
        <v>306</v>
      </c>
      <c r="B317" s="2975" t="s">
        <v>3210</v>
      </c>
      <c r="C317" s="2987"/>
      <c r="D317" s="2987"/>
      <c r="E317" s="2987"/>
      <c r="F317" s="2976">
        <v>0.05</v>
      </c>
      <c r="G317" s="2993"/>
    </row>
    <row r="318" spans="1:7">
      <c r="A318" s="2986" t="s">
        <v>306</v>
      </c>
      <c r="B318" s="2975" t="s">
        <v>3211</v>
      </c>
      <c r="C318" s="2987"/>
      <c r="D318" s="2987"/>
      <c r="E318" s="2987"/>
      <c r="F318" s="2976">
        <v>0.05</v>
      </c>
      <c r="G318" s="2993"/>
    </row>
    <row r="319" spans="1:7">
      <c r="A319" s="2986" t="s">
        <v>306</v>
      </c>
      <c r="B319" s="2975" t="s">
        <v>3212</v>
      </c>
      <c r="C319" s="2987"/>
      <c r="D319" s="2987"/>
      <c r="E319" s="2987"/>
      <c r="F319" s="2976">
        <v>0.05</v>
      </c>
      <c r="G319" s="2993"/>
    </row>
    <row r="320" spans="1:7">
      <c r="A320" s="2986" t="s">
        <v>306</v>
      </c>
      <c r="B320" s="2975" t="s">
        <v>3213</v>
      </c>
      <c r="C320" s="2987"/>
      <c r="D320" s="2987"/>
      <c r="E320" s="2987"/>
      <c r="F320" s="2976">
        <v>0.05</v>
      </c>
      <c r="G320" s="2993"/>
    </row>
    <row r="321" spans="1:7">
      <c r="A321" s="2986" t="s">
        <v>306</v>
      </c>
      <c r="B321" s="2975" t="s">
        <v>3214</v>
      </c>
      <c r="C321" s="2987"/>
      <c r="D321" s="2987"/>
      <c r="E321" s="2987"/>
      <c r="F321" s="2976">
        <v>0.05</v>
      </c>
      <c r="G321" s="2993"/>
    </row>
    <row r="322" spans="1:7">
      <c r="A322" s="2986" t="s">
        <v>306</v>
      </c>
      <c r="B322" s="2975" t="s">
        <v>3215</v>
      </c>
      <c r="C322" s="2987"/>
      <c r="D322" s="2987"/>
      <c r="E322" s="2987"/>
      <c r="F322" s="2976">
        <v>0.05</v>
      </c>
      <c r="G322" s="2993"/>
    </row>
    <row r="323" spans="1:7">
      <c r="A323" s="2986" t="s">
        <v>306</v>
      </c>
      <c r="B323" s="2975" t="s">
        <v>3216</v>
      </c>
      <c r="C323" s="2987"/>
      <c r="D323" s="2987"/>
      <c r="E323" s="2987"/>
      <c r="F323" s="2976">
        <v>0.05</v>
      </c>
      <c r="G323" s="2993"/>
    </row>
    <row r="324" spans="1:7">
      <c r="A324" s="2986" t="s">
        <v>306</v>
      </c>
      <c r="B324" s="2975" t="s">
        <v>3217</v>
      </c>
      <c r="C324" s="2987"/>
      <c r="D324" s="2987"/>
      <c r="E324" s="2987"/>
      <c r="F324" s="2976">
        <v>0.05</v>
      </c>
      <c r="G324" s="2993"/>
    </row>
    <row r="325" spans="1:7">
      <c r="A325" s="2986" t="s">
        <v>306</v>
      </c>
      <c r="B325" s="2975" t="s">
        <v>3218</v>
      </c>
      <c r="C325" s="2987"/>
      <c r="D325" s="2987"/>
      <c r="E325" s="2987"/>
      <c r="F325" s="2976">
        <v>0.05</v>
      </c>
      <c r="G325" s="2993"/>
    </row>
    <row r="326" spans="1:7" ht="14.25" thickBot="1">
      <c r="A326" s="2989" t="s">
        <v>306</v>
      </c>
      <c r="B326" s="2979" t="s">
        <v>3219</v>
      </c>
      <c r="C326" s="2981"/>
      <c r="D326" s="2981"/>
      <c r="E326" s="2981"/>
      <c r="F326" s="2980">
        <v>0.05</v>
      </c>
      <c r="G326" s="2994"/>
    </row>
    <row r="327" spans="1:7">
      <c r="A327" s="2985" t="s">
        <v>307</v>
      </c>
      <c r="B327" s="2971" t="s">
        <v>2851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2863</v>
      </c>
      <c r="C329" s="2976">
        <v>0.15</v>
      </c>
      <c r="D329" s="2976">
        <v>0.15</v>
      </c>
      <c r="E329" s="2976">
        <v>0.15</v>
      </c>
      <c r="F329" s="2976">
        <v>0.15</v>
      </c>
      <c r="G329" s="2977">
        <v>0.15</v>
      </c>
    </row>
    <row r="330" spans="1:7">
      <c r="A330" s="2986" t="s">
        <v>307</v>
      </c>
      <c r="B330" s="2975" t="s">
        <v>2867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2875</v>
      </c>
      <c r="C332" s="2976">
        <v>0.15</v>
      </c>
      <c r="D332" s="2976">
        <v>0.15</v>
      </c>
      <c r="E332" s="2976">
        <v>0.15</v>
      </c>
      <c r="F332" s="2976">
        <v>0.15</v>
      </c>
      <c r="G332" s="2977">
        <v>0.15</v>
      </c>
    </row>
    <row r="333" spans="1:7">
      <c r="A333" s="2986" t="s">
        <v>307</v>
      </c>
      <c r="B333" s="2975" t="s">
        <v>2879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2885</v>
      </c>
      <c r="C336" s="2976">
        <v>0.15</v>
      </c>
      <c r="D336" s="2976">
        <v>0.15</v>
      </c>
      <c r="E336" s="2976">
        <v>0.15</v>
      </c>
      <c r="F336" s="2976">
        <v>0.14199999999999999</v>
      </c>
      <c r="G336" s="2977">
        <v>0.15</v>
      </c>
    </row>
    <row r="337" spans="1:7">
      <c r="A337" s="2986" t="s">
        <v>307</v>
      </c>
      <c r="B337" s="2975" t="s">
        <v>2890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2897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2910</v>
      </c>
      <c r="C345" s="2976">
        <v>0.15</v>
      </c>
      <c r="D345" s="2976">
        <v>0.15</v>
      </c>
      <c r="E345" s="2976">
        <v>0.15</v>
      </c>
      <c r="F345" s="2976">
        <v>0.13800000000000001</v>
      </c>
      <c r="G345" s="2977">
        <v>0.15</v>
      </c>
    </row>
    <row r="346" spans="1:7">
      <c r="A346" s="2986" t="s">
        <v>307</v>
      </c>
      <c r="B346" s="2975" t="s">
        <v>2912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2919</v>
      </c>
      <c r="C348" s="2976">
        <v>0.15</v>
      </c>
      <c r="D348" s="2976">
        <v>0.15</v>
      </c>
      <c r="E348" s="2976">
        <v>0.15</v>
      </c>
      <c r="F348" s="2976">
        <v>0.14399999999999999</v>
      </c>
      <c r="G348" s="2977">
        <v>0.15</v>
      </c>
    </row>
    <row r="349" spans="1:7">
      <c r="A349" s="2986" t="s">
        <v>307</v>
      </c>
      <c r="B349" s="2975" t="s">
        <v>2924</v>
      </c>
      <c r="C349" s="2976">
        <v>0.15</v>
      </c>
      <c r="D349" s="2976">
        <v>0.15</v>
      </c>
      <c r="E349" s="2976">
        <v>0.15</v>
      </c>
      <c r="F349" s="2976">
        <v>0.15</v>
      </c>
      <c r="G349" s="2977">
        <v>0.15</v>
      </c>
    </row>
    <row r="350" spans="1:7">
      <c r="A350" s="2986" t="s">
        <v>307</v>
      </c>
      <c r="B350" s="2975" t="s">
        <v>2927</v>
      </c>
      <c r="C350" s="2976">
        <v>0.15</v>
      </c>
      <c r="D350" s="2976">
        <v>0.15</v>
      </c>
      <c r="E350" s="2976">
        <v>0.15</v>
      </c>
      <c r="F350" s="2976">
        <v>0.14699999999999999</v>
      </c>
      <c r="G350" s="2977">
        <v>0.15</v>
      </c>
    </row>
    <row r="351" spans="1:7">
      <c r="A351" s="2986" t="s">
        <v>307</v>
      </c>
      <c r="B351" s="2975" t="s">
        <v>2932</v>
      </c>
      <c r="C351" s="2976">
        <v>0.15</v>
      </c>
      <c r="D351" s="2976">
        <v>0.15</v>
      </c>
      <c r="E351" s="2976">
        <v>0.15</v>
      </c>
      <c r="F351" s="2976">
        <v>0.13</v>
      </c>
      <c r="G351" s="2977">
        <v>0.15</v>
      </c>
    </row>
    <row r="352" spans="1:7">
      <c r="A352" s="2986" t="s">
        <v>307</v>
      </c>
      <c r="B352" s="2975" t="s">
        <v>2937</v>
      </c>
      <c r="C352" s="2976">
        <v>0.15</v>
      </c>
      <c r="D352" s="2976">
        <v>0.15</v>
      </c>
      <c r="E352" s="2976">
        <v>0.15</v>
      </c>
      <c r="F352" s="2976">
        <v>0.14599999999999999</v>
      </c>
      <c r="G352" s="2977">
        <v>0.15</v>
      </c>
    </row>
    <row r="353" spans="1:7">
      <c r="A353" s="2986" t="s">
        <v>307</v>
      </c>
      <c r="B353" s="2975" t="s">
        <v>2944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2957</v>
      </c>
      <c r="C355" s="2976">
        <v>0.15</v>
      </c>
      <c r="D355" s="2976">
        <v>0.15</v>
      </c>
      <c r="E355" s="2976">
        <v>0.15</v>
      </c>
      <c r="F355" s="2976">
        <v>0.15</v>
      </c>
      <c r="G355" s="2977">
        <v>0.15</v>
      </c>
    </row>
    <row r="356" spans="1:7">
      <c r="A356" s="2986" t="s">
        <v>307</v>
      </c>
      <c r="B356" s="2975" t="s">
        <v>2964</v>
      </c>
      <c r="C356" s="2976">
        <v>0.15</v>
      </c>
      <c r="D356" s="2976">
        <v>0.15</v>
      </c>
      <c r="E356" s="2976">
        <v>0.15</v>
      </c>
      <c r="F356" s="2976">
        <v>0.15</v>
      </c>
      <c r="G356" s="2977">
        <v>0.15</v>
      </c>
    </row>
    <row r="357" spans="1:7" ht="14.25" thickBot="1">
      <c r="A357" s="2989" t="s">
        <v>307</v>
      </c>
      <c r="B357" s="2979" t="s">
        <v>2969</v>
      </c>
      <c r="C357" s="2980">
        <v>0.126</v>
      </c>
      <c r="D357" s="2980">
        <v>0.127</v>
      </c>
      <c r="E357" s="2980">
        <v>0.14299999999999999</v>
      </c>
      <c r="F357" s="2980">
        <v>0.125</v>
      </c>
      <c r="G357" s="2982">
        <v>0.129</v>
      </c>
    </row>
    <row r="358" spans="1:7">
      <c r="A358" s="2985" t="s">
        <v>2838</v>
      </c>
      <c r="B358" s="2971" t="s">
        <v>2852</v>
      </c>
      <c r="C358" s="2972">
        <v>0.15</v>
      </c>
      <c r="D358" s="2972">
        <v>0.15</v>
      </c>
      <c r="E358" s="2972">
        <v>0.15</v>
      </c>
      <c r="F358" s="2972">
        <v>0.15</v>
      </c>
      <c r="G358" s="2973">
        <v>0.15</v>
      </c>
    </row>
    <row r="359" spans="1:7">
      <c r="A359" s="2986" t="s">
        <v>2838</v>
      </c>
      <c r="B359" s="2975" t="s">
        <v>2858</v>
      </c>
      <c r="C359" s="2976">
        <v>0.1</v>
      </c>
      <c r="D359" s="2976">
        <v>0.1</v>
      </c>
      <c r="E359" s="2976">
        <v>0.1</v>
      </c>
      <c r="F359" s="2976">
        <v>0.1</v>
      </c>
      <c r="G359" s="2977">
        <v>0.1</v>
      </c>
    </row>
    <row r="360" spans="1:7">
      <c r="A360" s="2986" t="s">
        <v>2838</v>
      </c>
      <c r="B360" s="2975" t="s">
        <v>2864</v>
      </c>
      <c r="C360" s="2976">
        <v>0.15</v>
      </c>
      <c r="D360" s="2976">
        <v>0.15</v>
      </c>
      <c r="E360" s="2976">
        <v>0.15</v>
      </c>
      <c r="F360" s="2976">
        <v>0.14899999999999999</v>
      </c>
      <c r="G360" s="2977">
        <v>0.15</v>
      </c>
    </row>
    <row r="361" spans="1:7">
      <c r="A361" s="2986" t="s">
        <v>2838</v>
      </c>
      <c r="B361" s="2975" t="s">
        <v>153</v>
      </c>
      <c r="C361" s="2976">
        <v>0.15</v>
      </c>
      <c r="D361" s="2976">
        <v>0.15</v>
      </c>
      <c r="E361" s="2976">
        <v>0.15</v>
      </c>
      <c r="F361" s="2976">
        <v>0.115</v>
      </c>
      <c r="G361" s="2977">
        <v>0.15</v>
      </c>
    </row>
    <row r="362" spans="1:7">
      <c r="A362" s="2986" t="s">
        <v>2838</v>
      </c>
      <c r="B362" s="2975" t="s">
        <v>2871</v>
      </c>
      <c r="C362" s="2976">
        <v>0.15</v>
      </c>
      <c r="D362" s="2976">
        <v>0.15</v>
      </c>
      <c r="E362" s="2976">
        <v>0.15</v>
      </c>
      <c r="F362" s="2976">
        <v>0.106</v>
      </c>
      <c r="G362" s="2977">
        <v>0.15</v>
      </c>
    </row>
    <row r="363" spans="1:7">
      <c r="A363" s="2986" t="s">
        <v>2838</v>
      </c>
      <c r="B363" s="2975" t="s">
        <v>2876</v>
      </c>
      <c r="C363" s="2976">
        <v>0.15</v>
      </c>
      <c r="D363" s="2976">
        <v>0.15</v>
      </c>
      <c r="E363" s="2976">
        <v>0.15</v>
      </c>
      <c r="F363" s="2976">
        <v>0.14699999999999999</v>
      </c>
      <c r="G363" s="2977">
        <v>0.15</v>
      </c>
    </row>
    <row r="364" spans="1:7">
      <c r="A364" s="2986" t="s">
        <v>2838</v>
      </c>
      <c r="B364" s="2975" t="s">
        <v>2880</v>
      </c>
      <c r="C364" s="2976">
        <v>0.15</v>
      </c>
      <c r="D364" s="2976">
        <v>0.15</v>
      </c>
      <c r="E364" s="2976">
        <v>0.15</v>
      </c>
      <c r="F364" s="2976">
        <v>0.14799999999999999</v>
      </c>
      <c r="G364" s="2977">
        <v>0.15</v>
      </c>
    </row>
    <row r="365" spans="1:7">
      <c r="A365" s="2986" t="s">
        <v>2838</v>
      </c>
      <c r="B365" s="2975" t="s">
        <v>200</v>
      </c>
      <c r="C365" s="2976">
        <v>0.15</v>
      </c>
      <c r="D365" s="2976">
        <v>0.15</v>
      </c>
      <c r="E365" s="2976">
        <v>0.15</v>
      </c>
      <c r="F365" s="2976">
        <v>0.15</v>
      </c>
      <c r="G365" s="2977">
        <v>0.15</v>
      </c>
    </row>
    <row r="366" spans="1:7">
      <c r="A366" s="2986" t="s">
        <v>2838</v>
      </c>
      <c r="B366" s="2975" t="s">
        <v>2883</v>
      </c>
      <c r="C366" s="2976">
        <v>0.15</v>
      </c>
      <c r="D366" s="2976">
        <v>0.15</v>
      </c>
      <c r="E366" s="2976">
        <v>0.15</v>
      </c>
      <c r="F366" s="2976">
        <v>0.15</v>
      </c>
      <c r="G366" s="2977">
        <v>0.15</v>
      </c>
    </row>
    <row r="367" spans="1:7">
      <c r="A367" s="2986" t="s">
        <v>2838</v>
      </c>
      <c r="B367" s="2975" t="s">
        <v>2886</v>
      </c>
      <c r="C367" s="2976">
        <v>0.15</v>
      </c>
      <c r="D367" s="2976">
        <v>0.15</v>
      </c>
      <c r="E367" s="2976">
        <v>0.15</v>
      </c>
      <c r="F367" s="2976">
        <v>0.14699999999999999</v>
      </c>
      <c r="G367" s="2977">
        <v>0.15</v>
      </c>
    </row>
    <row r="368" spans="1:7">
      <c r="A368" s="2986" t="s">
        <v>2838</v>
      </c>
      <c r="B368" s="2975" t="s">
        <v>2891</v>
      </c>
      <c r="C368" s="2976">
        <v>0.15</v>
      </c>
      <c r="D368" s="2976">
        <v>0.15</v>
      </c>
      <c r="E368" s="2976">
        <v>0.15</v>
      </c>
      <c r="F368" s="2976">
        <v>0.13600000000000001</v>
      </c>
      <c r="G368" s="2977">
        <v>0.15</v>
      </c>
    </row>
    <row r="369" spans="1:7">
      <c r="A369" s="2986" t="s">
        <v>2838</v>
      </c>
      <c r="B369" s="2975" t="s">
        <v>214</v>
      </c>
      <c r="C369" s="2976">
        <v>0.15</v>
      </c>
      <c r="D369" s="2976">
        <v>0.15</v>
      </c>
      <c r="E369" s="2976">
        <v>0.15</v>
      </c>
      <c r="F369" s="2976">
        <v>0.14399999999999999</v>
      </c>
      <c r="G369" s="2977">
        <v>0.15</v>
      </c>
    </row>
    <row r="370" spans="1:7">
      <c r="A370" s="2986" t="s">
        <v>2838</v>
      </c>
      <c r="B370" s="2975" t="s">
        <v>221</v>
      </c>
      <c r="C370" s="2976">
        <v>0.15</v>
      </c>
      <c r="D370" s="2976">
        <v>0.15</v>
      </c>
      <c r="E370" s="2976">
        <v>0.15</v>
      </c>
      <c r="F370" s="2976">
        <v>0.14599999999999999</v>
      </c>
      <c r="G370" s="2977">
        <v>0.15</v>
      </c>
    </row>
    <row r="371" spans="1:7">
      <c r="A371" s="2986" t="s">
        <v>2838</v>
      </c>
      <c r="B371" s="2975" t="s">
        <v>229</v>
      </c>
      <c r="C371" s="2976">
        <v>0.15</v>
      </c>
      <c r="D371" s="2976">
        <v>0.15</v>
      </c>
      <c r="E371" s="2976">
        <v>0.15</v>
      </c>
      <c r="F371" s="2976">
        <v>0.12</v>
      </c>
      <c r="G371" s="2977">
        <v>0.15</v>
      </c>
    </row>
    <row r="372" spans="1:7">
      <c r="A372" s="2986" t="s">
        <v>2838</v>
      </c>
      <c r="B372" s="2975" t="s">
        <v>2899</v>
      </c>
      <c r="C372" s="2976">
        <v>0.15</v>
      </c>
      <c r="D372" s="2976">
        <v>0.15</v>
      </c>
      <c r="E372" s="2976">
        <v>0.15</v>
      </c>
      <c r="F372" s="2976">
        <v>0.14299999999999999</v>
      </c>
      <c r="G372" s="2977">
        <v>0.15</v>
      </c>
    </row>
    <row r="373" spans="1:7">
      <c r="A373" s="2986" t="s">
        <v>2838</v>
      </c>
      <c r="B373" s="2975" t="s">
        <v>258</v>
      </c>
      <c r="C373" s="2976">
        <v>0.15</v>
      </c>
      <c r="D373" s="2976">
        <v>0.15</v>
      </c>
      <c r="E373" s="2976">
        <v>0.15</v>
      </c>
      <c r="F373" s="2976">
        <v>0.14599999999999999</v>
      </c>
      <c r="G373" s="2977">
        <v>0.15</v>
      </c>
    </row>
    <row r="374" spans="1:7">
      <c r="A374" s="2986" t="s">
        <v>2838</v>
      </c>
      <c r="B374" s="2975" t="s">
        <v>266</v>
      </c>
      <c r="C374" s="2976">
        <v>0.15</v>
      </c>
      <c r="D374" s="2976">
        <v>0.15</v>
      </c>
      <c r="E374" s="2976">
        <v>0.15</v>
      </c>
      <c r="F374" s="2976">
        <v>0.14399999999999999</v>
      </c>
      <c r="G374" s="2977">
        <v>0.15</v>
      </c>
    </row>
    <row r="375" spans="1:7">
      <c r="A375" s="2986" t="s">
        <v>2838</v>
      </c>
      <c r="B375" s="2975" t="s">
        <v>2907</v>
      </c>
      <c r="C375" s="2976">
        <v>0.15</v>
      </c>
      <c r="D375" s="2976">
        <v>0.15</v>
      </c>
      <c r="E375" s="2976">
        <v>0.15</v>
      </c>
      <c r="F375" s="2976">
        <v>0.13</v>
      </c>
      <c r="G375" s="2977">
        <v>0.15</v>
      </c>
    </row>
    <row r="376" spans="1:7">
      <c r="A376" s="2986" t="s">
        <v>2838</v>
      </c>
      <c r="B376" s="2975" t="s">
        <v>277</v>
      </c>
      <c r="C376" s="2976">
        <v>0.15</v>
      </c>
      <c r="D376" s="2976">
        <v>0.15</v>
      </c>
      <c r="E376" s="2976">
        <v>0.15</v>
      </c>
      <c r="F376" s="2976">
        <v>0.14199999999999999</v>
      </c>
      <c r="G376" s="2977">
        <v>0.15</v>
      </c>
    </row>
    <row r="377" spans="1:7" ht="14.25" thickBot="1">
      <c r="A377" s="2989" t="s">
        <v>2838</v>
      </c>
      <c r="B377" s="2979" t="s">
        <v>2913</v>
      </c>
      <c r="C377" s="2980">
        <v>0.15</v>
      </c>
      <c r="D377" s="2980">
        <v>0.15</v>
      </c>
      <c r="E377" s="2980">
        <v>0.15</v>
      </c>
      <c r="F377" s="2980">
        <v>0.14000000000000001</v>
      </c>
      <c r="G377" s="2982">
        <v>0.15</v>
      </c>
    </row>
    <row r="378" spans="1:7">
      <c r="A378" s="2985" t="s">
        <v>2839</v>
      </c>
      <c r="B378" s="2971" t="s">
        <v>2853</v>
      </c>
      <c r="C378" s="2972">
        <v>0.15</v>
      </c>
      <c r="D378" s="2972">
        <v>0.15</v>
      </c>
      <c r="E378" s="2972">
        <v>0.15</v>
      </c>
      <c r="F378" s="2972">
        <v>0.107</v>
      </c>
      <c r="G378" s="2973">
        <v>0.15</v>
      </c>
    </row>
    <row r="379" spans="1:7">
      <c r="A379" s="2986" t="s">
        <v>2839</v>
      </c>
      <c r="B379" s="2975" t="s">
        <v>2859</v>
      </c>
      <c r="C379" s="2976">
        <v>0.15</v>
      </c>
      <c r="D379" s="2976">
        <v>0.15</v>
      </c>
      <c r="E379" s="2976">
        <v>0.15</v>
      </c>
      <c r="F379" s="2976">
        <v>0.115</v>
      </c>
      <c r="G379" s="2977">
        <v>0.14899999999999999</v>
      </c>
    </row>
    <row r="380" spans="1:7">
      <c r="A380" s="2986" t="s">
        <v>2839</v>
      </c>
      <c r="B380" s="2975" t="s">
        <v>2865</v>
      </c>
      <c r="C380" s="2976">
        <v>0.15</v>
      </c>
      <c r="D380" s="2976">
        <v>0.15</v>
      </c>
      <c r="E380" s="2976">
        <v>0.15</v>
      </c>
      <c r="F380" s="2976">
        <v>0.1</v>
      </c>
      <c r="G380" s="2977">
        <v>0.14799999999999999</v>
      </c>
    </row>
    <row r="381" spans="1:7">
      <c r="A381" s="2986" t="s">
        <v>2839</v>
      </c>
      <c r="B381" s="2975" t="s">
        <v>2868</v>
      </c>
      <c r="C381" s="2976">
        <v>0.15</v>
      </c>
      <c r="D381" s="2976">
        <v>0.15</v>
      </c>
      <c r="E381" s="2976">
        <v>0.15</v>
      </c>
      <c r="F381" s="2976">
        <v>0.126</v>
      </c>
      <c r="G381" s="2977">
        <v>0.15</v>
      </c>
    </row>
    <row r="382" spans="1:7">
      <c r="A382" s="2986" t="s">
        <v>2839</v>
      </c>
      <c r="B382" s="2975" t="s">
        <v>2872</v>
      </c>
      <c r="C382" s="2976">
        <v>0.15</v>
      </c>
      <c r="D382" s="2976">
        <v>0.15</v>
      </c>
      <c r="E382" s="2976">
        <v>0.15</v>
      </c>
      <c r="F382" s="2976">
        <v>0.15</v>
      </c>
      <c r="G382" s="2977">
        <v>0.15</v>
      </c>
    </row>
    <row r="383" spans="1:7">
      <c r="A383" s="2986" t="s">
        <v>2839</v>
      </c>
      <c r="B383" s="2975" t="s">
        <v>2877</v>
      </c>
      <c r="C383" s="2976">
        <v>0.15</v>
      </c>
      <c r="D383" s="2976">
        <v>0.15</v>
      </c>
      <c r="E383" s="2976">
        <v>0.15</v>
      </c>
      <c r="F383" s="2976">
        <v>0.14699999999999999</v>
      </c>
      <c r="G383" s="2977">
        <v>0.15</v>
      </c>
    </row>
    <row r="384" spans="1:7" ht="14.25" thickBot="1">
      <c r="A384" s="2996" t="s">
        <v>2839</v>
      </c>
      <c r="B384" s="2997" t="s">
        <v>2881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64" t="s">
        <v>3220</v>
      </c>
      <c r="B1" s="3564"/>
      <c r="C1" s="3564"/>
      <c r="D1" s="3564"/>
      <c r="E1" s="3564"/>
      <c r="F1" s="3565"/>
    </row>
    <row r="2" spans="1:6">
      <c r="A2" s="3000" t="s">
        <v>3221</v>
      </c>
    </row>
    <row r="3" spans="1:6">
      <c r="A3" s="3000" t="s">
        <v>3222</v>
      </c>
      <c r="F3" s="3001" t="s">
        <v>3223</v>
      </c>
    </row>
    <row r="4" spans="1:6">
      <c r="A4" s="3002" t="s">
        <v>666</v>
      </c>
      <c r="B4" s="3002" t="s">
        <v>667</v>
      </c>
      <c r="C4" s="3002" t="s">
        <v>21</v>
      </c>
      <c r="D4" s="3002" t="s">
        <v>668</v>
      </c>
      <c r="E4" s="3002" t="s">
        <v>3</v>
      </c>
      <c r="F4" s="3002" t="s">
        <v>3224</v>
      </c>
    </row>
    <row r="5" spans="1:6">
      <c r="A5" s="3003" t="s">
        <v>669</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5">
        <f>基准地价修正!G23</f>
        <v>45709</v>
      </c>
      <c r="B1" s="2927" t="s">
        <v>3366</v>
      </c>
      <c r="C1" s="2928"/>
      <c r="D1" s="2928"/>
      <c r="E1" s="2928"/>
      <c r="F1" s="2928"/>
      <c r="G1" s="2928"/>
      <c r="H1" s="2928"/>
      <c r="I1" s="2928"/>
      <c r="J1" s="2894"/>
      <c r="K1" s="2928" t="s">
        <v>454</v>
      </c>
      <c r="L1" s="2928"/>
      <c r="M1" s="2928"/>
      <c r="N1" s="2928"/>
      <c r="O1" s="2928"/>
      <c r="P1" s="2928"/>
      <c r="Q1" s="2894"/>
      <c r="R1" s="3566" t="s">
        <v>456</v>
      </c>
      <c r="S1" s="3567"/>
      <c r="T1" s="3567"/>
      <c r="U1" s="3567"/>
      <c r="V1" s="3567"/>
      <c r="W1" s="3567"/>
      <c r="X1" s="2894"/>
      <c r="Y1" s="3566" t="s">
        <v>457</v>
      </c>
      <c r="Z1" s="3567"/>
      <c r="AA1" s="3567"/>
      <c r="AB1" s="3567"/>
      <c r="AC1" s="3567"/>
      <c r="AD1" s="3567"/>
    </row>
    <row r="2" spans="1:30" s="2008" customFormat="1" ht="14.25" thickBot="1">
      <c r="B2" s="2879"/>
      <c r="C2" s="2880"/>
      <c r="D2" s="2009" t="s">
        <v>2798</v>
      </c>
      <c r="E2" s="2010" t="s">
        <v>2799</v>
      </c>
      <c r="F2" s="2010" t="s">
        <v>2800</v>
      </c>
      <c r="G2" s="2010" t="s">
        <v>2801</v>
      </c>
      <c r="H2" s="2010" t="s">
        <v>2802</v>
      </c>
      <c r="I2" s="2010" t="s">
        <v>2619</v>
      </c>
      <c r="J2" s="2881"/>
      <c r="K2" s="2009" t="s">
        <v>2798</v>
      </c>
      <c r="L2" s="2010" t="s">
        <v>2799</v>
      </c>
      <c r="M2" s="2010" t="s">
        <v>2800</v>
      </c>
      <c r="N2" s="2010" t="s">
        <v>2801</v>
      </c>
      <c r="O2" s="2010" t="s">
        <v>2803</v>
      </c>
      <c r="P2" s="2010" t="s">
        <v>2619</v>
      </c>
      <c r="Q2" s="2881"/>
      <c r="R2" s="2009" t="s">
        <v>2798</v>
      </c>
      <c r="S2" s="2010" t="s">
        <v>2799</v>
      </c>
      <c r="T2" s="2010" t="s">
        <v>2800</v>
      </c>
      <c r="U2" s="2010" t="s">
        <v>2804</v>
      </c>
      <c r="V2" s="2010" t="s">
        <v>2805</v>
      </c>
      <c r="W2" s="2010" t="s">
        <v>2619</v>
      </c>
      <c r="X2" s="2881"/>
      <c r="Y2" s="2009" t="s">
        <v>2798</v>
      </c>
      <c r="Z2" s="2010" t="s">
        <v>2799</v>
      </c>
      <c r="AA2" s="2010" t="s">
        <v>2800</v>
      </c>
      <c r="AB2" s="2010" t="s">
        <v>2806</v>
      </c>
      <c r="AC2" s="2010" t="s">
        <v>2805</v>
      </c>
      <c r="AD2" s="2010" t="s">
        <v>2619</v>
      </c>
    </row>
    <row r="3" spans="1:30" s="2884" customFormat="1" ht="12.75">
      <c r="A3" s="2882" t="s">
        <v>2807</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3362</v>
      </c>
      <c r="B5" s="2029">
        <v>2025</v>
      </c>
      <c r="C5" s="2040">
        <v>1</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ROUND(IF(项目基本情况!$B$8="出让",SUMPRODUCT(PRODUCT(1+K5:$K$21)),SUMPRODUCT(PRODUCT(1+K5:$K$20))),4)</f>
        <v>1.0511999999999999</v>
      </c>
      <c r="S5" s="2025">
        <f>ROUND(IF(项目基本情况!$B$8="出让",SUMPRODUCT(PRODUCT(1+L5:$L$21)),SUMPRODUCT(PRODUCT(1+L5:$L$20))),4)</f>
        <v>1.0398000000000001</v>
      </c>
      <c r="T5" s="2025">
        <f>ROUND(IF(项目基本情况!$B$8="出让",SUMPRODUCT(PRODUCT(1+M5:$M$21)),SUMPRODUCT(PRODUCT(1+M5:$M$20))),4)</f>
        <v>1.0003</v>
      </c>
      <c r="U5" s="2025">
        <f>ROUND(IF(项目基本情况!$B$8="出让",SUMPRODUCT(PRODUCT(1+N5:$N$21)),SUMPRODUCT(PRODUCT(1+N5:$N$20))),4)</f>
        <v>1.0561</v>
      </c>
      <c r="V5" s="2025">
        <f>ROUND(IF(项目基本情况!$B$8="出让",SUMPRODUCT(PRODUCT(1+O5:$O$21)),SUMPRODUCT(PRODUCT(1+O5:$O$20))),4)</f>
        <v>1.0827</v>
      </c>
      <c r="W5" s="2025">
        <f>T5</f>
        <v>1.0003</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3371</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3" customFormat="1" ht="12.75">
      <c r="A7" s="2038" t="s">
        <v>3370</v>
      </c>
      <c r="B7" s="2029">
        <v>2024</v>
      </c>
      <c r="C7" s="2040">
        <v>3</v>
      </c>
      <c r="D7" s="2005">
        <v>-1.19</v>
      </c>
      <c r="E7" s="2005">
        <v>-0.47</v>
      </c>
      <c r="F7" s="2005">
        <v>-0.28999999999999998</v>
      </c>
      <c r="G7" s="2005">
        <v>-0.74</v>
      </c>
      <c r="H7" s="2005">
        <v>-0.21</v>
      </c>
      <c r="I7" s="2006">
        <f t="shared" ref="I7" si="26">F7</f>
        <v>-0.28999999999999998</v>
      </c>
      <c r="J7" s="2904"/>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4"/>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4"/>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3" t="s">
        <v>3363</v>
      </c>
      <c r="B8" s="2029">
        <v>2024</v>
      </c>
      <c r="C8" s="2040">
        <v>2</v>
      </c>
      <c r="D8" s="2005">
        <v>-0.59</v>
      </c>
      <c r="E8" s="2005">
        <v>-0.21</v>
      </c>
      <c r="F8" s="2005">
        <v>-1.38</v>
      </c>
      <c r="G8" s="2005">
        <v>-1.24</v>
      </c>
      <c r="H8" s="2915">
        <v>0.34</v>
      </c>
      <c r="I8" s="2006">
        <f t="shared" ref="I8:I21" si="37">F8</f>
        <v>-1.38</v>
      </c>
      <c r="J8" s="2904"/>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4"/>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4"/>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3" t="s">
        <v>3361</v>
      </c>
      <c r="B9" s="2029">
        <v>2024</v>
      </c>
      <c r="C9" s="2040">
        <v>1</v>
      </c>
      <c r="D9" s="2005">
        <v>0.08</v>
      </c>
      <c r="E9" s="2005">
        <v>0.46</v>
      </c>
      <c r="F9" s="2005">
        <v>-0.16</v>
      </c>
      <c r="G9" s="2005">
        <v>0.26</v>
      </c>
      <c r="H9" s="2915">
        <v>0.59</v>
      </c>
      <c r="I9" s="2006">
        <v>0</v>
      </c>
      <c r="J9" s="2904"/>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4"/>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4"/>
      <c r="Y9" s="2026"/>
      <c r="Z9" s="2026"/>
      <c r="AA9" s="2026"/>
      <c r="AB9" s="2026"/>
      <c r="AC9" s="2026"/>
      <c r="AD9" s="2026"/>
    </row>
    <row r="10" spans="1:30" s="2043" customFormat="1" ht="12.75">
      <c r="A10" s="2903" t="s">
        <v>3357</v>
      </c>
      <c r="B10" s="2029">
        <v>2023</v>
      </c>
      <c r="C10" s="2040">
        <v>4</v>
      </c>
      <c r="D10" s="2005">
        <v>0.19</v>
      </c>
      <c r="E10" s="2005">
        <v>0.24</v>
      </c>
      <c r="F10" s="2005">
        <v>-0.16</v>
      </c>
      <c r="G10" s="2005">
        <v>0.17</v>
      </c>
      <c r="H10" s="2915">
        <v>0.61</v>
      </c>
      <c r="I10" s="2006">
        <f>F10</f>
        <v>-0.16</v>
      </c>
      <c r="J10" s="2904"/>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4"/>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4"/>
      <c r="Y10" s="2026"/>
      <c r="Z10" s="2026"/>
      <c r="AA10" s="2026"/>
      <c r="AB10" s="2026"/>
      <c r="AC10" s="2026"/>
      <c r="AD10" s="2026"/>
    </row>
    <row r="11" spans="1:30" s="2043" customFormat="1" ht="12.75">
      <c r="A11" s="2903" t="s">
        <v>3356</v>
      </c>
      <c r="B11" s="2029">
        <v>2023</v>
      </c>
      <c r="C11" s="2040">
        <v>3</v>
      </c>
      <c r="D11" s="2005">
        <v>0.25</v>
      </c>
      <c r="E11" s="2005">
        <v>0.5</v>
      </c>
      <c r="F11" s="2005">
        <v>0.31</v>
      </c>
      <c r="G11" s="2005">
        <v>0.21</v>
      </c>
      <c r="H11" s="2915">
        <v>0.43</v>
      </c>
      <c r="I11" s="2006">
        <f t="shared" si="37"/>
        <v>0.31</v>
      </c>
      <c r="J11" s="2904"/>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4"/>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4"/>
      <c r="Y11" s="2026"/>
      <c r="Z11" s="2026"/>
      <c r="AA11" s="2026"/>
      <c r="AB11" s="2026"/>
      <c r="AC11" s="2026"/>
      <c r="AD11" s="2026"/>
    </row>
    <row r="12" spans="1:30" s="2043" customFormat="1" ht="12.75">
      <c r="A12" s="2903" t="s">
        <v>3354</v>
      </c>
      <c r="B12" s="2029">
        <v>2023</v>
      </c>
      <c r="C12" s="2040">
        <v>2</v>
      </c>
      <c r="D12" s="2005">
        <v>0.91</v>
      </c>
      <c r="E12" s="2005">
        <v>0.66</v>
      </c>
      <c r="F12" s="2005">
        <v>0.47</v>
      </c>
      <c r="G12" s="2005">
        <v>0.96</v>
      </c>
      <c r="H12" s="2915">
        <v>0.71</v>
      </c>
      <c r="I12" s="2006">
        <f t="shared" si="37"/>
        <v>0.47</v>
      </c>
      <c r="J12" s="2904"/>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4"/>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4"/>
      <c r="Y12" s="2026"/>
      <c r="Z12" s="2026"/>
      <c r="AA12" s="2026"/>
      <c r="AB12" s="2026"/>
      <c r="AC12" s="2026"/>
      <c r="AD12" s="2026"/>
    </row>
    <row r="13" spans="1:30" s="2043" customFormat="1" ht="12.75">
      <c r="A13" s="2903" t="s">
        <v>3353</v>
      </c>
      <c r="B13" s="2029">
        <v>2023</v>
      </c>
      <c r="C13" s="2040">
        <v>1</v>
      </c>
      <c r="D13" s="2005">
        <v>0.89</v>
      </c>
      <c r="E13" s="2005">
        <v>0.74</v>
      </c>
      <c r="F13" s="2005">
        <v>0.56999999999999995</v>
      </c>
      <c r="G13" s="2005">
        <v>0.92</v>
      </c>
      <c r="H13" s="2915">
        <v>0.5</v>
      </c>
      <c r="I13" s="2006">
        <f t="shared" si="37"/>
        <v>0.56999999999999995</v>
      </c>
      <c r="J13" s="2904"/>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4"/>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4"/>
      <c r="Y13" s="2026"/>
      <c r="Z13" s="2026"/>
      <c r="AA13" s="2026"/>
      <c r="AB13" s="2026"/>
      <c r="AC13" s="2026"/>
      <c r="AD13" s="2026"/>
    </row>
    <row r="14" spans="1:30" s="2043" customFormat="1" ht="12.75">
      <c r="A14" s="2903" t="s">
        <v>3352</v>
      </c>
      <c r="B14" s="2029">
        <v>2022</v>
      </c>
      <c r="C14" s="2040">
        <v>4</v>
      </c>
      <c r="D14" s="2005">
        <v>0.62</v>
      </c>
      <c r="E14" s="2005">
        <v>0.2</v>
      </c>
      <c r="F14" s="2005">
        <v>0.11</v>
      </c>
      <c r="G14" s="2005">
        <v>0.69</v>
      </c>
      <c r="H14" s="2915">
        <v>0.53</v>
      </c>
      <c r="I14" s="2006">
        <f t="shared" si="37"/>
        <v>0.11</v>
      </c>
      <c r="J14" s="2904"/>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4"/>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4"/>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3" t="s">
        <v>3350</v>
      </c>
      <c r="B15" s="2029">
        <v>2022</v>
      </c>
      <c r="C15" s="2040">
        <v>3</v>
      </c>
      <c r="D15" s="2005">
        <v>0.66</v>
      </c>
      <c r="E15" s="2005">
        <v>0.32</v>
      </c>
      <c r="F15" s="2005">
        <v>0.23</v>
      </c>
      <c r="G15" s="2005">
        <v>0.72</v>
      </c>
      <c r="H15" s="2915">
        <v>0.63</v>
      </c>
      <c r="I15" s="2006">
        <f t="shared" si="37"/>
        <v>0.23</v>
      </c>
      <c r="J15" s="2904"/>
      <c r="K15" s="2041">
        <f t="shared" si="38"/>
        <v>6.6E-3</v>
      </c>
      <c r="L15" s="2026">
        <f t="shared" si="38"/>
        <v>3.2000000000000002E-3</v>
      </c>
      <c r="M15" s="2026">
        <f t="shared" si="38"/>
        <v>2.3E-3</v>
      </c>
      <c r="N15" s="2026">
        <f t="shared" si="38"/>
        <v>7.1999999999999998E-3</v>
      </c>
      <c r="O15" s="2026">
        <f t="shared" si="38"/>
        <v>6.3E-3</v>
      </c>
      <c r="P15" s="2026">
        <f t="shared" si="58"/>
        <v>2.3E-3</v>
      </c>
      <c r="Q15" s="2904"/>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4"/>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3" t="s">
        <v>3342</v>
      </c>
      <c r="B16" s="2029">
        <v>2022</v>
      </c>
      <c r="C16" s="2040">
        <v>2</v>
      </c>
      <c r="D16" s="2005">
        <v>0.93</v>
      </c>
      <c r="E16" s="2005">
        <v>0.15</v>
      </c>
      <c r="F16" s="2005">
        <v>0.01</v>
      </c>
      <c r="G16" s="2005">
        <v>1.05</v>
      </c>
      <c r="H16" s="2915">
        <v>1.08</v>
      </c>
      <c r="I16" s="2006">
        <f t="shared" si="37"/>
        <v>0.01</v>
      </c>
      <c r="J16" s="2904"/>
      <c r="K16" s="2041">
        <f t="shared" si="38"/>
        <v>9.300000000000001E-3</v>
      </c>
      <c r="L16" s="2026">
        <f t="shared" si="38"/>
        <v>1.5E-3</v>
      </c>
      <c r="M16" s="2026">
        <f t="shared" si="38"/>
        <v>1E-4</v>
      </c>
      <c r="N16" s="2026">
        <f t="shared" si="38"/>
        <v>1.0500000000000001E-2</v>
      </c>
      <c r="O16" s="2026">
        <f t="shared" si="38"/>
        <v>1.0800000000000001E-2</v>
      </c>
      <c r="P16" s="2026">
        <f t="shared" si="58"/>
        <v>1E-4</v>
      </c>
      <c r="Q16" s="2904"/>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4"/>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3" t="s">
        <v>2808</v>
      </c>
      <c r="B17" s="2029">
        <v>2022</v>
      </c>
      <c r="C17" s="2040">
        <v>1</v>
      </c>
      <c r="D17" s="2005">
        <v>0.89</v>
      </c>
      <c r="E17" s="2005">
        <v>0.44</v>
      </c>
      <c r="F17" s="2005">
        <v>0.37</v>
      </c>
      <c r="G17" s="2005">
        <v>0.96</v>
      </c>
      <c r="H17" s="2915">
        <v>0.64</v>
      </c>
      <c r="I17" s="2006">
        <f t="shared" si="37"/>
        <v>0.37</v>
      </c>
      <c r="J17" s="2904"/>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4"/>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4"/>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3" t="s">
        <v>2809</v>
      </c>
      <c r="B18" s="2029">
        <v>2021</v>
      </c>
      <c r="C18" s="2040">
        <v>4</v>
      </c>
      <c r="D18" s="2005">
        <v>1.03</v>
      </c>
      <c r="E18" s="2005">
        <v>0.24</v>
      </c>
      <c r="F18" s="2005">
        <v>7.0000000000000007E-2</v>
      </c>
      <c r="G18" s="2005">
        <v>1.17</v>
      </c>
      <c r="H18" s="2915">
        <v>0.55000000000000004</v>
      </c>
      <c r="I18" s="2006">
        <f t="shared" si="37"/>
        <v>7.0000000000000007E-2</v>
      </c>
      <c r="J18" s="2904"/>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4"/>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4"/>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3" t="s">
        <v>2810</v>
      </c>
      <c r="B19" s="2029">
        <v>2021</v>
      </c>
      <c r="C19" s="2040">
        <v>3</v>
      </c>
      <c r="D19" s="2005">
        <v>0.47</v>
      </c>
      <c r="E19" s="2005">
        <v>0.41</v>
      </c>
      <c r="F19" s="2005">
        <v>0.24</v>
      </c>
      <c r="G19" s="2005">
        <v>0.48</v>
      </c>
      <c r="H19" s="2915">
        <v>0.48</v>
      </c>
      <c r="I19" s="2006">
        <f t="shared" si="37"/>
        <v>0.24</v>
      </c>
      <c r="J19" s="2904"/>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4"/>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4"/>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3" t="s">
        <v>2811</v>
      </c>
      <c r="B20" s="2029">
        <v>2021</v>
      </c>
      <c r="C20" s="2040">
        <v>2</v>
      </c>
      <c r="D20" s="2005">
        <v>0.92</v>
      </c>
      <c r="E20" s="2005">
        <v>0.72</v>
      </c>
      <c r="F20" s="2005">
        <v>0.41</v>
      </c>
      <c r="G20" s="2005">
        <v>0.95</v>
      </c>
      <c r="H20" s="2915">
        <v>1.01</v>
      </c>
      <c r="I20" s="2006">
        <f t="shared" si="37"/>
        <v>0.41</v>
      </c>
      <c r="J20" s="2904"/>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4"/>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4"/>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6" customFormat="1" thickBot="1">
      <c r="A21" s="2916" t="s">
        <v>2812</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0" t="s">
        <v>3369</v>
      </c>
    </row>
    <row r="24" spans="1:30">
      <c r="I24" s="1403" t="s">
        <v>2813</v>
      </c>
    </row>
    <row r="26" spans="1:30" s="2007" customFormat="1" ht="12.75">
      <c r="B26" s="2927" t="s">
        <v>3367</v>
      </c>
      <c r="C26" s="2928"/>
      <c r="D26" s="2928"/>
      <c r="E26" s="2928"/>
      <c r="F26" s="2928"/>
      <c r="G26" s="2928"/>
      <c r="H26" s="2928"/>
      <c r="I26" s="2928"/>
      <c r="J26" s="2894"/>
      <c r="K26" s="2928" t="s">
        <v>2814</v>
      </c>
      <c r="L26" s="2928"/>
      <c r="M26" s="2928"/>
      <c r="N26" s="2928"/>
      <c r="O26" s="2928"/>
      <c r="P26" s="2928"/>
      <c r="Q26" s="2894"/>
      <c r="R26" s="3566" t="s">
        <v>2815</v>
      </c>
      <c r="S26" s="3567"/>
      <c r="T26" s="3567"/>
      <c r="U26" s="3567"/>
      <c r="V26" s="3567"/>
      <c r="W26" s="3567"/>
      <c r="X26" s="2894"/>
      <c r="Y26" s="3566" t="s">
        <v>2816</v>
      </c>
      <c r="Z26" s="3567"/>
      <c r="AA26" s="3567"/>
      <c r="AB26" s="3567"/>
      <c r="AC26" s="3567"/>
      <c r="AD26" s="3567"/>
    </row>
    <row r="27" spans="1:30" s="2008" customFormat="1" ht="14.25" thickBot="1">
      <c r="B27" s="2879"/>
      <c r="C27" s="2880"/>
      <c r="D27" s="2009" t="s">
        <v>2817</v>
      </c>
      <c r="E27" s="2010" t="s">
        <v>2818</v>
      </c>
      <c r="F27" s="2010" t="s">
        <v>2819</v>
      </c>
      <c r="G27" s="2010" t="s">
        <v>2820</v>
      </c>
      <c r="H27" s="2010"/>
      <c r="I27" s="2010" t="s">
        <v>2821</v>
      </c>
      <c r="J27" s="2881"/>
      <c r="K27" s="2009" t="s">
        <v>2817</v>
      </c>
      <c r="L27" s="2010" t="s">
        <v>2818</v>
      </c>
      <c r="M27" s="2010" t="s">
        <v>2819</v>
      </c>
      <c r="N27" s="2010" t="s">
        <v>2820</v>
      </c>
      <c r="O27" s="2010"/>
      <c r="P27" s="2010" t="s">
        <v>2821</v>
      </c>
      <c r="Q27" s="2881"/>
      <c r="R27" s="2009" t="s">
        <v>2817</v>
      </c>
      <c r="S27" s="2010" t="s">
        <v>2818</v>
      </c>
      <c r="T27" s="2010" t="s">
        <v>2819</v>
      </c>
      <c r="U27" s="2010" t="s">
        <v>2820</v>
      </c>
      <c r="V27" s="2010"/>
      <c r="W27" s="2010" t="s">
        <v>2821</v>
      </c>
      <c r="X27" s="2881"/>
      <c r="Y27" s="2009" t="s">
        <v>2817</v>
      </c>
      <c r="Z27" s="2010" t="s">
        <v>2818</v>
      </c>
      <c r="AA27" s="2010" t="s">
        <v>2819</v>
      </c>
      <c r="AB27" s="2010" t="s">
        <v>2820</v>
      </c>
      <c r="AC27" s="2010"/>
      <c r="AD27" s="2010" t="s">
        <v>2821</v>
      </c>
    </row>
    <row r="28" spans="1:30" s="2884" customFormat="1" ht="12.75">
      <c r="A28" s="2882" t="s">
        <v>2822</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7" customFormat="1" ht="12.75">
      <c r="B29" s="2023"/>
      <c r="J29" s="2894"/>
      <c r="K29" s="2895"/>
      <c r="L29" s="2896"/>
      <c r="M29" s="2896"/>
      <c r="N29" s="2896"/>
      <c r="O29" s="2896"/>
      <c r="P29" s="2896"/>
      <c r="Q29" s="2894"/>
      <c r="R29" s="2025"/>
      <c r="S29" s="2897"/>
      <c r="T29" s="2898"/>
      <c r="U29" s="2025"/>
      <c r="V29" s="2899"/>
      <c r="W29" s="2025"/>
      <c r="X29" s="2894"/>
      <c r="Y29" s="2026"/>
      <c r="Z29" s="2900"/>
      <c r="AA29" s="2901"/>
      <c r="AB29" s="2026"/>
      <c r="AC29" s="2902"/>
      <c r="AD29" s="2026"/>
    </row>
    <row r="30" spans="1:30" s="2043" customFormat="1" ht="12.75">
      <c r="A30" s="2038" t="s">
        <v>3362</v>
      </c>
      <c r="B30" s="2029">
        <v>2025</v>
      </c>
      <c r="C30" s="2040">
        <v>1</v>
      </c>
      <c r="D30" s="2005"/>
      <c r="E30" s="2005">
        <v>0</v>
      </c>
      <c r="F30" s="2005">
        <v>0</v>
      </c>
      <c r="G30" s="2005">
        <v>0</v>
      </c>
      <c r="H30" s="2005"/>
      <c r="I30" s="2006">
        <f t="shared" ref="I30" si="69">F30</f>
        <v>0</v>
      </c>
      <c r="J30" s="2904"/>
      <c r="K30" s="2041"/>
      <c r="L30" s="2026">
        <f t="shared" ref="L30" si="70">E30/100</f>
        <v>0</v>
      </c>
      <c r="M30" s="2026">
        <f t="shared" ref="M30" si="71">F30/100</f>
        <v>0</v>
      </c>
      <c r="N30" s="2026">
        <f t="shared" ref="N30" si="72">G30/100</f>
        <v>0</v>
      </c>
      <c r="O30" s="2026"/>
      <c r="P30" s="2026">
        <f>M30</f>
        <v>0</v>
      </c>
      <c r="Q30" s="2904"/>
      <c r="R30" s="2025"/>
      <c r="S30" s="2025">
        <f>ROUND(IF(项目基本情况!$B$8="出让",SUMPRODUCT(PRODUCT(1+L30:L$46)),SUMPRODUCT(PRODUCT(1+L30:L$45))),4)</f>
        <v>1.0301</v>
      </c>
      <c r="T30" s="2025">
        <f>ROUND(IF(项目基本情况!$B$8="出让",SUMPRODUCT(PRODUCT(1+M30:M$46)),SUMPRODUCT(PRODUCT(1+M30:M$45))),4)</f>
        <v>1.0170999999999999</v>
      </c>
      <c r="U30" s="2025">
        <f>ROUND(IF(项目基本情况!$B$8="出让",SUMPRODUCT(PRODUCT(1+N30:N$46)),SUMPRODUCT(PRODUCT(1+N30:N$45))),4)</f>
        <v>1.0387999999999999</v>
      </c>
      <c r="V30" s="2025"/>
      <c r="W30" s="2025">
        <f>T30</f>
        <v>1.0170999999999999</v>
      </c>
      <c r="X30" s="2904"/>
      <c r="Y30" s="2026"/>
      <c r="Z30" s="2900">
        <f t="shared" ref="Z30" si="73">IF(E30=0,0,ROUND(AVERAGE(E30:E43)/100,4))</f>
        <v>0</v>
      </c>
      <c r="AA30" s="2900">
        <f t="shared" ref="AA30" si="74">IF(F30=0,0,ROUND(AVERAGE(F30:F43)/100,4))</f>
        <v>0</v>
      </c>
      <c r="AB30" s="2900">
        <f t="shared" ref="AB30" si="75">IF(G30=0,0,ROUND(AVERAGE(G30:G43)/100,4))</f>
        <v>0</v>
      </c>
      <c r="AC30" s="2902"/>
      <c r="AD30" s="2026">
        <f>IF(I30=0,0,ROUND(AVERAGE(I30:I43)/100,4))</f>
        <v>0</v>
      </c>
    </row>
    <row r="31" spans="1:30" s="2914" customFormat="1" ht="12.75">
      <c r="A31" s="2905" t="s">
        <v>3364</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3" customFormat="1" ht="12.75">
      <c r="A32" s="2038" t="s">
        <v>3359</v>
      </c>
      <c r="B32" s="2029">
        <v>2024</v>
      </c>
      <c r="C32" s="2040">
        <v>3</v>
      </c>
      <c r="D32" s="2005"/>
      <c r="E32" s="2005">
        <v>-0.66</v>
      </c>
      <c r="F32" s="2005">
        <v>-0.52</v>
      </c>
      <c r="G32" s="2005">
        <v>-2.87</v>
      </c>
      <c r="H32" s="2005"/>
      <c r="I32" s="2006">
        <f t="shared" ref="I32" si="83">F32</f>
        <v>-0.52</v>
      </c>
      <c r="J32" s="2904"/>
      <c r="K32" s="2041"/>
      <c r="L32" s="2026">
        <f t="shared" ref="L32" si="84">E32/100</f>
        <v>-6.6E-3</v>
      </c>
      <c r="M32" s="2026">
        <f t="shared" ref="M32" si="85">F32/100</f>
        <v>-5.1999999999999998E-3</v>
      </c>
      <c r="N32" s="2026">
        <f t="shared" ref="N32" si="86">G32/100</f>
        <v>-2.87E-2</v>
      </c>
      <c r="O32" s="2026"/>
      <c r="P32" s="2026">
        <f>M32</f>
        <v>-5.1999999999999998E-3</v>
      </c>
      <c r="Q32" s="2904"/>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4"/>
      <c r="Y32" s="2026"/>
      <c r="Z32" s="2900">
        <f t="shared" ref="Z32:AB33" si="87">IF(E32=0,0,ROUND(AVERAGE(E32:E45)/100,4))</f>
        <v>2.5999999999999999E-3</v>
      </c>
      <c r="AA32" s="2900">
        <f t="shared" si="87"/>
        <v>1.6999999999999999E-3</v>
      </c>
      <c r="AB32" s="2900">
        <f t="shared" si="87"/>
        <v>3.3999999999999998E-3</v>
      </c>
      <c r="AC32" s="2902"/>
      <c r="AD32" s="2026">
        <f>IF(I32=0,0,ROUND(AVERAGE(I32:I45)/100,4))</f>
        <v>1.6999999999999999E-3</v>
      </c>
    </row>
    <row r="33" spans="1:30" s="2043" customFormat="1" ht="12.75">
      <c r="A33" s="2903" t="s">
        <v>3365</v>
      </c>
      <c r="B33" s="2029">
        <v>2024</v>
      </c>
      <c r="C33" s="2040">
        <v>2</v>
      </c>
      <c r="D33" s="2005"/>
      <c r="E33" s="2005">
        <v>-0.31</v>
      </c>
      <c r="F33" s="2005">
        <v>-0.39</v>
      </c>
      <c r="G33" s="2005">
        <v>1.23</v>
      </c>
      <c r="H33" s="2915"/>
      <c r="I33" s="2006">
        <f t="shared" ref="I33:I46" si="88">F33</f>
        <v>-0.39</v>
      </c>
      <c r="J33" s="2904"/>
      <c r="K33" s="2041"/>
      <c r="L33" s="2026">
        <f t="shared" ref="L33:N46" si="89">E33/100</f>
        <v>-3.0999999999999999E-3</v>
      </c>
      <c r="M33" s="2026">
        <f t="shared" si="89"/>
        <v>-3.9000000000000003E-3</v>
      </c>
      <c r="N33" s="2026">
        <f t="shared" si="89"/>
        <v>1.23E-2</v>
      </c>
      <c r="O33" s="2026"/>
      <c r="P33" s="2026">
        <f>M33</f>
        <v>-3.9000000000000003E-3</v>
      </c>
      <c r="Q33" s="2904"/>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4"/>
      <c r="Y33" s="2026"/>
      <c r="Z33" s="2900">
        <f t="shared" si="87"/>
        <v>3.3E-3</v>
      </c>
      <c r="AA33" s="2901">
        <f t="shared" si="87"/>
        <v>2.3999999999999998E-3</v>
      </c>
      <c r="AB33" s="2026">
        <f t="shared" si="87"/>
        <v>6.1999999999999998E-3</v>
      </c>
      <c r="AC33" s="2902"/>
      <c r="AD33" s="2026">
        <f>IF(I33=0,0,ROUND(AVERAGE(I33:I46)/100,4))</f>
        <v>2.3999999999999998E-3</v>
      </c>
    </row>
    <row r="34" spans="1:30" s="2043" customFormat="1" ht="12.75">
      <c r="A34" s="2903" t="s">
        <v>3360</v>
      </c>
      <c r="B34" s="2029">
        <v>2024</v>
      </c>
      <c r="C34" s="2040">
        <v>1</v>
      </c>
      <c r="D34" s="2005"/>
      <c r="E34" s="2005">
        <v>0.25</v>
      </c>
      <c r="F34" s="2005">
        <v>0.4</v>
      </c>
      <c r="G34" s="2005">
        <v>-0.63</v>
      </c>
      <c r="H34" s="2915"/>
      <c r="I34" s="2006">
        <f t="shared" ref="I34:I35" si="90">F34</f>
        <v>0.4</v>
      </c>
      <c r="J34" s="2904"/>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4"/>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4"/>
      <c r="Y34" s="2026"/>
      <c r="Z34" s="2900"/>
      <c r="AA34" s="2901"/>
      <c r="AB34" s="2026"/>
      <c r="AC34" s="2902"/>
      <c r="AD34" s="2026"/>
    </row>
    <row r="35" spans="1:30" s="2043" customFormat="1" ht="12.75">
      <c r="A35" s="2903" t="s">
        <v>3358</v>
      </c>
      <c r="B35" s="2029">
        <v>2023</v>
      </c>
      <c r="C35" s="2040">
        <v>4</v>
      </c>
      <c r="D35" s="2005"/>
      <c r="E35" s="2005">
        <v>7.0000000000000007E-2</v>
      </c>
      <c r="F35" s="2005">
        <v>0.09</v>
      </c>
      <c r="G35" s="2005">
        <v>0.03</v>
      </c>
      <c r="H35" s="2915"/>
      <c r="I35" s="2006">
        <f t="shared" si="90"/>
        <v>0.09</v>
      </c>
      <c r="J35" s="2904"/>
      <c r="K35" s="2041"/>
      <c r="L35" s="2026">
        <f t="shared" si="89"/>
        <v>7.000000000000001E-4</v>
      </c>
      <c r="M35" s="2026">
        <f t="shared" si="89"/>
        <v>8.9999999999999998E-4</v>
      </c>
      <c r="N35" s="2026">
        <f t="shared" si="89"/>
        <v>2.9999999999999997E-4</v>
      </c>
      <c r="O35" s="2026"/>
      <c r="P35" s="2026">
        <f t="shared" ref="P35" si="96">M35</f>
        <v>8.9999999999999998E-4</v>
      </c>
      <c r="Q35" s="2904"/>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4"/>
      <c r="Y35" s="2026"/>
      <c r="Z35" s="2900"/>
      <c r="AA35" s="2901"/>
      <c r="AB35" s="2026"/>
      <c r="AC35" s="2902"/>
      <c r="AD35" s="2026"/>
    </row>
    <row r="36" spans="1:30" s="2043" customFormat="1" ht="12.75">
      <c r="A36" s="2903" t="s">
        <v>3356</v>
      </c>
      <c r="B36" s="2029">
        <v>2023</v>
      </c>
      <c r="C36" s="2040">
        <v>3</v>
      </c>
      <c r="D36" s="2005"/>
      <c r="E36" s="2005">
        <v>0.35</v>
      </c>
      <c r="F36" s="2005">
        <v>0.17</v>
      </c>
      <c r="G36" s="2005">
        <v>0.52</v>
      </c>
      <c r="H36" s="2915"/>
      <c r="I36" s="2006">
        <f t="shared" si="88"/>
        <v>0.17</v>
      </c>
      <c r="J36" s="2904"/>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4"/>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4"/>
      <c r="Y36" s="2026"/>
      <c r="Z36" s="2900"/>
      <c r="AA36" s="2901"/>
      <c r="AB36" s="2026"/>
      <c r="AC36" s="2902"/>
      <c r="AD36" s="2026"/>
    </row>
    <row r="37" spans="1:30" s="2043" customFormat="1" ht="12.75">
      <c r="A37" s="2903" t="s">
        <v>3355</v>
      </c>
      <c r="B37" s="2029">
        <v>2023</v>
      </c>
      <c r="C37" s="2040">
        <v>2</v>
      </c>
      <c r="D37" s="2005"/>
      <c r="E37" s="2005">
        <v>0.5</v>
      </c>
      <c r="F37" s="2005">
        <v>0.45</v>
      </c>
      <c r="G37" s="2005">
        <v>0.89</v>
      </c>
      <c r="H37" s="2915"/>
      <c r="I37" s="2006">
        <f t="shared" si="88"/>
        <v>0.45</v>
      </c>
      <c r="J37" s="2904"/>
      <c r="K37" s="2041"/>
      <c r="L37" s="2026">
        <f t="shared" si="98"/>
        <v>5.0000000000000001E-3</v>
      </c>
      <c r="M37" s="2026">
        <f t="shared" si="99"/>
        <v>4.5000000000000005E-3</v>
      </c>
      <c r="N37" s="2026">
        <f t="shared" si="100"/>
        <v>8.8999999999999999E-3</v>
      </c>
      <c r="O37" s="2026"/>
      <c r="P37" s="2026">
        <f t="shared" si="101"/>
        <v>4.5000000000000005E-3</v>
      </c>
      <c r="Q37" s="2904"/>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4"/>
      <c r="Y37" s="2026"/>
      <c r="Z37" s="2900"/>
      <c r="AA37" s="2901"/>
      <c r="AB37" s="2026"/>
      <c r="AC37" s="2902"/>
      <c r="AD37" s="2026"/>
    </row>
    <row r="38" spans="1:30" s="2043" customFormat="1" ht="12.75">
      <c r="A38" s="2903" t="s">
        <v>3353</v>
      </c>
      <c r="B38" s="2029">
        <v>2023</v>
      </c>
      <c r="C38" s="2040">
        <v>1</v>
      </c>
      <c r="D38" s="2005"/>
      <c r="E38" s="2005">
        <v>0.55000000000000004</v>
      </c>
      <c r="F38" s="2005">
        <v>0.59</v>
      </c>
      <c r="G38" s="2005">
        <v>0.64</v>
      </c>
      <c r="H38" s="2915"/>
      <c r="I38" s="2006">
        <f t="shared" si="88"/>
        <v>0.59</v>
      </c>
      <c r="J38" s="2904"/>
      <c r="K38" s="2041"/>
      <c r="L38" s="2026">
        <f t="shared" si="98"/>
        <v>5.5000000000000005E-3</v>
      </c>
      <c r="M38" s="2026">
        <f t="shared" si="99"/>
        <v>5.8999999999999999E-3</v>
      </c>
      <c r="N38" s="2026">
        <f t="shared" si="100"/>
        <v>6.4000000000000003E-3</v>
      </c>
      <c r="O38" s="2026"/>
      <c r="P38" s="2026">
        <f t="shared" si="101"/>
        <v>5.8999999999999999E-3</v>
      </c>
      <c r="Q38" s="2904"/>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4"/>
      <c r="Y38" s="2026"/>
      <c r="Z38" s="2900"/>
      <c r="AA38" s="2901"/>
      <c r="AB38" s="2026"/>
      <c r="AC38" s="2902"/>
      <c r="AD38" s="2026"/>
    </row>
    <row r="39" spans="1:30" s="2043" customFormat="1" ht="12.75">
      <c r="A39" s="2903" t="s">
        <v>3352</v>
      </c>
      <c r="B39" s="2029">
        <v>2022</v>
      </c>
      <c r="C39" s="2040">
        <v>4</v>
      </c>
      <c r="D39" s="2005"/>
      <c r="E39" s="2005">
        <v>0.45</v>
      </c>
      <c r="F39" s="2005">
        <v>0.2</v>
      </c>
      <c r="G39" s="2005">
        <v>0.38</v>
      </c>
      <c r="H39" s="2915"/>
      <c r="I39" s="2006">
        <f t="shared" si="88"/>
        <v>0.2</v>
      </c>
      <c r="J39" s="2904"/>
      <c r="K39" s="2041"/>
      <c r="L39" s="2026">
        <f t="shared" si="89"/>
        <v>4.5000000000000005E-3</v>
      </c>
      <c r="M39" s="2026">
        <f t="shared" si="89"/>
        <v>2E-3</v>
      </c>
      <c r="N39" s="2026">
        <f t="shared" si="89"/>
        <v>3.8E-3</v>
      </c>
      <c r="O39" s="2026"/>
      <c r="P39" s="2026">
        <f t="shared" ref="P39:P46" si="103">M39</f>
        <v>2E-3</v>
      </c>
      <c r="Q39" s="2904"/>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4"/>
      <c r="Y39" s="2026"/>
      <c r="Z39" s="2900">
        <f t="shared" ref="Z39:AD46" si="105">IF(E39=0,0,ROUND(AVERAGE(E39:E47)/100,4))</f>
        <v>4.0000000000000001E-3</v>
      </c>
      <c r="AA39" s="2901">
        <f t="shared" si="105"/>
        <v>2.5999999999999999E-3</v>
      </c>
      <c r="AB39" s="2026">
        <f t="shared" si="105"/>
        <v>7.4000000000000003E-3</v>
      </c>
      <c r="AC39" s="2902"/>
      <c r="AD39" s="2026">
        <f t="shared" si="105"/>
        <v>2.5999999999999999E-3</v>
      </c>
    </row>
    <row r="40" spans="1:30" s="2043" customFormat="1" ht="12.75">
      <c r="A40" s="2903" t="s">
        <v>3351</v>
      </c>
      <c r="B40" s="2029">
        <v>2022</v>
      </c>
      <c r="C40" s="2040">
        <v>3</v>
      </c>
      <c r="D40" s="2005"/>
      <c r="E40" s="2005">
        <v>0.3</v>
      </c>
      <c r="F40" s="2005">
        <v>0.28999999999999998</v>
      </c>
      <c r="G40" s="2005">
        <v>0.83</v>
      </c>
      <c r="H40" s="2915"/>
      <c r="I40" s="2006">
        <f t="shared" si="88"/>
        <v>0.28999999999999998</v>
      </c>
      <c r="J40" s="2904"/>
      <c r="K40" s="2041"/>
      <c r="L40" s="2026">
        <f t="shared" si="89"/>
        <v>3.0000000000000001E-3</v>
      </c>
      <c r="M40" s="2026">
        <f t="shared" si="89"/>
        <v>2.8999999999999998E-3</v>
      </c>
      <c r="N40" s="2026">
        <f t="shared" si="89"/>
        <v>8.3000000000000001E-3</v>
      </c>
      <c r="O40" s="2026"/>
      <c r="P40" s="2026">
        <f t="shared" si="103"/>
        <v>2.8999999999999998E-3</v>
      </c>
      <c r="Q40" s="2904"/>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4"/>
      <c r="Y40" s="2026"/>
      <c r="Z40" s="2900">
        <f t="shared" si="105"/>
        <v>3.8999999999999998E-3</v>
      </c>
      <c r="AA40" s="2901">
        <f t="shared" si="105"/>
        <v>2.7000000000000001E-3</v>
      </c>
      <c r="AB40" s="2026">
        <f t="shared" si="105"/>
        <v>7.9000000000000008E-3</v>
      </c>
      <c r="AC40" s="2902"/>
      <c r="AD40" s="2026">
        <f t="shared" si="105"/>
        <v>2.7000000000000001E-3</v>
      </c>
    </row>
    <row r="41" spans="1:30" s="2043" customFormat="1" ht="12.75">
      <c r="A41" s="2903" t="s">
        <v>3342</v>
      </c>
      <c r="B41" s="2029">
        <v>2022</v>
      </c>
      <c r="C41" s="2040">
        <v>2</v>
      </c>
      <c r="D41" s="2005"/>
      <c r="E41" s="2005">
        <v>-0.11</v>
      </c>
      <c r="F41" s="2005">
        <v>-0.13</v>
      </c>
      <c r="G41" s="2005">
        <v>0.53</v>
      </c>
      <c r="H41" s="2915"/>
      <c r="I41" s="2006">
        <f t="shared" si="88"/>
        <v>-0.13</v>
      </c>
      <c r="J41" s="2904"/>
      <c r="K41" s="2041"/>
      <c r="L41" s="2026">
        <f t="shared" si="89"/>
        <v>-1.1000000000000001E-3</v>
      </c>
      <c r="M41" s="2026">
        <f t="shared" si="89"/>
        <v>-1.2999999999999999E-3</v>
      </c>
      <c r="N41" s="2026">
        <f t="shared" si="89"/>
        <v>5.3E-3</v>
      </c>
      <c r="O41" s="2026"/>
      <c r="P41" s="2026">
        <f t="shared" si="103"/>
        <v>-1.2999999999999999E-3</v>
      </c>
      <c r="Q41" s="2904"/>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4"/>
      <c r="Y41" s="2026"/>
      <c r="Z41" s="2900">
        <f t="shared" si="105"/>
        <v>4.1000000000000003E-3</v>
      </c>
      <c r="AA41" s="2901">
        <f t="shared" si="105"/>
        <v>2.7000000000000001E-3</v>
      </c>
      <c r="AB41" s="2026">
        <f t="shared" si="105"/>
        <v>7.9000000000000008E-3</v>
      </c>
      <c r="AC41" s="2902"/>
      <c r="AD41" s="2026">
        <f t="shared" si="105"/>
        <v>2.7000000000000001E-3</v>
      </c>
    </row>
    <row r="42" spans="1:30" s="2043" customFormat="1" ht="12.75">
      <c r="A42" s="2903" t="s">
        <v>2823</v>
      </c>
      <c r="B42" s="2029">
        <v>2022</v>
      </c>
      <c r="C42" s="2040">
        <v>1</v>
      </c>
      <c r="D42" s="2005"/>
      <c r="E42" s="2005">
        <v>0.6</v>
      </c>
      <c r="F42" s="2005">
        <v>0.45</v>
      </c>
      <c r="G42" s="2005">
        <v>0.53</v>
      </c>
      <c r="H42" s="2915"/>
      <c r="I42" s="2006">
        <f t="shared" si="88"/>
        <v>0.45</v>
      </c>
      <c r="J42" s="2904"/>
      <c r="K42" s="2041"/>
      <c r="L42" s="2026">
        <f t="shared" si="89"/>
        <v>6.0000000000000001E-3</v>
      </c>
      <c r="M42" s="2026">
        <f t="shared" si="89"/>
        <v>4.5000000000000005E-3</v>
      </c>
      <c r="N42" s="2026">
        <f t="shared" si="89"/>
        <v>5.3E-3</v>
      </c>
      <c r="O42" s="2026"/>
      <c r="P42" s="2026">
        <f t="shared" si="103"/>
        <v>4.5000000000000005E-3</v>
      </c>
      <c r="Q42" s="2904"/>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4"/>
      <c r="Y42" s="2026"/>
      <c r="Z42" s="2900">
        <f t="shared" si="105"/>
        <v>5.1000000000000004E-3</v>
      </c>
      <c r="AA42" s="2901">
        <f t="shared" si="105"/>
        <v>3.5000000000000001E-3</v>
      </c>
      <c r="AB42" s="2026">
        <f t="shared" si="105"/>
        <v>8.3999999999999995E-3</v>
      </c>
      <c r="AC42" s="2902"/>
      <c r="AD42" s="2026">
        <f t="shared" si="105"/>
        <v>3.5000000000000001E-3</v>
      </c>
    </row>
    <row r="43" spans="1:30" s="2043" customFormat="1" ht="12.75">
      <c r="A43" s="2903" t="s">
        <v>2824</v>
      </c>
      <c r="B43" s="2029">
        <v>2021</v>
      </c>
      <c r="C43" s="2040">
        <v>4</v>
      </c>
      <c r="D43" s="2005"/>
      <c r="E43" s="2005">
        <v>0.57999999999999996</v>
      </c>
      <c r="F43" s="2005">
        <v>0.08</v>
      </c>
      <c r="G43" s="2005">
        <v>0.68</v>
      </c>
      <c r="H43" s="2915"/>
      <c r="I43" s="2006">
        <f t="shared" si="88"/>
        <v>0.08</v>
      </c>
      <c r="J43" s="2904"/>
      <c r="K43" s="2041"/>
      <c r="L43" s="2026">
        <f t="shared" si="89"/>
        <v>5.7999999999999996E-3</v>
      </c>
      <c r="M43" s="2026">
        <f t="shared" si="89"/>
        <v>8.0000000000000004E-4</v>
      </c>
      <c r="N43" s="2026">
        <f t="shared" si="89"/>
        <v>6.8000000000000005E-3</v>
      </c>
      <c r="O43" s="2026"/>
      <c r="P43" s="2026">
        <f t="shared" si="103"/>
        <v>8.0000000000000004E-4</v>
      </c>
      <c r="Q43" s="2904"/>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4"/>
      <c r="Y43" s="2026"/>
      <c r="Z43" s="2900">
        <f t="shared" si="105"/>
        <v>4.8999999999999998E-3</v>
      </c>
      <c r="AA43" s="2901">
        <f t="shared" si="105"/>
        <v>3.3E-3</v>
      </c>
      <c r="AB43" s="2026">
        <f t="shared" si="105"/>
        <v>9.1999999999999998E-3</v>
      </c>
      <c r="AC43" s="2902"/>
      <c r="AD43" s="2026">
        <f t="shared" si="105"/>
        <v>3.3E-3</v>
      </c>
    </row>
    <row r="44" spans="1:30" s="2043" customFormat="1" ht="12.75">
      <c r="A44" s="2903" t="s">
        <v>2825</v>
      </c>
      <c r="B44" s="2029">
        <v>2021</v>
      </c>
      <c r="C44" s="2040">
        <v>3</v>
      </c>
      <c r="D44" s="2005"/>
      <c r="E44" s="2005">
        <v>0.47</v>
      </c>
      <c r="F44" s="2005">
        <v>0.28000000000000003</v>
      </c>
      <c r="G44" s="2005">
        <v>0.91</v>
      </c>
      <c r="H44" s="2915"/>
      <c r="I44" s="2006">
        <f t="shared" si="88"/>
        <v>0.28000000000000003</v>
      </c>
      <c r="J44" s="2904"/>
      <c r="K44" s="2041"/>
      <c r="L44" s="2026">
        <f t="shared" si="89"/>
        <v>4.6999999999999993E-3</v>
      </c>
      <c r="M44" s="2026">
        <f t="shared" si="89"/>
        <v>2.8000000000000004E-3</v>
      </c>
      <c r="N44" s="2026">
        <f t="shared" si="89"/>
        <v>9.1000000000000004E-3</v>
      </c>
      <c r="O44" s="2026"/>
      <c r="P44" s="2026">
        <f t="shared" si="103"/>
        <v>2.8000000000000004E-3</v>
      </c>
      <c r="Q44" s="2904"/>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4"/>
      <c r="Y44" s="2026"/>
      <c r="Z44" s="2900">
        <f t="shared" si="105"/>
        <v>4.5999999999999999E-3</v>
      </c>
      <c r="AA44" s="2901">
        <f t="shared" si="105"/>
        <v>4.1000000000000003E-3</v>
      </c>
      <c r="AB44" s="2026">
        <f t="shared" si="105"/>
        <v>0.01</v>
      </c>
      <c r="AC44" s="2902"/>
      <c r="AD44" s="2026">
        <f t="shared" si="105"/>
        <v>4.1000000000000003E-3</v>
      </c>
    </row>
    <row r="45" spans="1:30" s="2043" customFormat="1" ht="12.75">
      <c r="A45" s="2903" t="s">
        <v>2826</v>
      </c>
      <c r="B45" s="2029">
        <v>2021</v>
      </c>
      <c r="C45" s="2040">
        <v>2</v>
      </c>
      <c r="D45" s="2005"/>
      <c r="E45" s="2005">
        <v>0.55000000000000004</v>
      </c>
      <c r="F45" s="2005">
        <v>0.46</v>
      </c>
      <c r="G45" s="2005">
        <v>1.1000000000000001</v>
      </c>
      <c r="H45" s="2915"/>
      <c r="I45" s="2006">
        <f t="shared" si="88"/>
        <v>0.46</v>
      </c>
      <c r="J45" s="2904"/>
      <c r="K45" s="2041"/>
      <c r="L45" s="2026">
        <f t="shared" si="89"/>
        <v>5.5000000000000005E-3</v>
      </c>
      <c r="M45" s="2026">
        <f t="shared" si="89"/>
        <v>4.5999999999999999E-3</v>
      </c>
      <c r="N45" s="2026">
        <f t="shared" si="89"/>
        <v>1.1000000000000001E-2</v>
      </c>
      <c r="O45" s="2026"/>
      <c r="P45" s="2026">
        <f t="shared" si="103"/>
        <v>4.5999999999999999E-3</v>
      </c>
      <c r="Q45" s="2904"/>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4"/>
      <c r="Y45" s="2026"/>
      <c r="Z45" s="2900">
        <f t="shared" si="105"/>
        <v>4.4999999999999997E-3</v>
      </c>
      <c r="AA45" s="2901">
        <f t="shared" si="105"/>
        <v>4.7000000000000002E-3</v>
      </c>
      <c r="AB45" s="2026">
        <f t="shared" si="105"/>
        <v>1.04E-2</v>
      </c>
      <c r="AC45" s="2902"/>
      <c r="AD45" s="2026">
        <f t="shared" si="105"/>
        <v>4.7000000000000002E-3</v>
      </c>
    </row>
    <row r="46" spans="1:30" s="2926" customFormat="1" thickBot="1">
      <c r="A46" s="2916" t="s">
        <v>2812</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0" t="s">
        <v>3368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71" t="s">
        <v>452</v>
      </c>
      <c r="C1" s="3571"/>
      <c r="D1" s="3571"/>
      <c r="E1" s="3571"/>
      <c r="F1" s="3571"/>
      <c r="G1" s="3567" t="s">
        <v>453</v>
      </c>
      <c r="H1" s="3567"/>
      <c r="I1" s="3567"/>
      <c r="J1" s="3567"/>
      <c r="K1" s="3567"/>
      <c r="L1" s="3567"/>
      <c r="N1" s="3567" t="s">
        <v>454</v>
      </c>
      <c r="O1" s="3567"/>
      <c r="P1" s="3567"/>
      <c r="Q1" s="3567"/>
      <c r="S1" s="3567" t="s">
        <v>455</v>
      </c>
      <c r="T1" s="3567"/>
      <c r="U1" s="3567"/>
      <c r="V1" s="3567"/>
      <c r="X1" s="3566" t="s">
        <v>456</v>
      </c>
      <c r="Y1" s="3567"/>
      <c r="Z1" s="3567"/>
      <c r="AA1" s="3567"/>
      <c r="AB1" s="3567"/>
      <c r="AD1" s="3566" t="s">
        <v>457</v>
      </c>
      <c r="AE1" s="3567"/>
      <c r="AF1" s="3567"/>
      <c r="AG1" s="3567"/>
      <c r="AH1" s="3567"/>
    </row>
    <row r="2" spans="1:34" s="2008" customFormat="1" ht="14.25" thickBot="1">
      <c r="B2" s="2009" t="s">
        <v>458</v>
      </c>
      <c r="C2" s="2009" t="s">
        <v>459</v>
      </c>
      <c r="D2" s="2010" t="s">
        <v>460</v>
      </c>
      <c r="E2" s="2010" t="s">
        <v>461</v>
      </c>
      <c r="F2" s="2009" t="s">
        <v>462</v>
      </c>
      <c r="G2" s="2011"/>
      <c r="I2" s="2009" t="s">
        <v>458</v>
      </c>
      <c r="J2" s="2010" t="s">
        <v>670</v>
      </c>
      <c r="K2" s="2010" t="s">
        <v>308</v>
      </c>
      <c r="L2" s="2009" t="s">
        <v>462</v>
      </c>
      <c r="N2" s="2009" t="s">
        <v>458</v>
      </c>
      <c r="O2" s="2010" t="s">
        <v>670</v>
      </c>
      <c r="P2" s="2010" t="s">
        <v>308</v>
      </c>
      <c r="Q2" s="2009" t="s">
        <v>462</v>
      </c>
      <c r="S2" s="2009" t="s">
        <v>458</v>
      </c>
      <c r="T2" s="2010" t="s">
        <v>670</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2104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3349</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3346</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2105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3347</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3348</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2424</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2298</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2297</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2118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2117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2116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2114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2113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2115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69">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2111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69"/>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69"/>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2103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76"/>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2101</v>
      </c>
      <c r="B25" s="2047">
        <v>439</v>
      </c>
      <c r="C25" s="2047">
        <v>327</v>
      </c>
      <c r="D25" s="2047">
        <f>C25</f>
        <v>327</v>
      </c>
      <c r="E25" s="2047">
        <v>627</v>
      </c>
      <c r="F25" s="2048">
        <v>283</v>
      </c>
      <c r="G25" s="3572">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2102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69"/>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671</v>
      </c>
      <c r="B27" s="2039">
        <f t="shared" si="232"/>
        <v>419.31181600000002</v>
      </c>
      <c r="C27" s="2039">
        <f t="shared" si="233"/>
        <v>313.95436800000004</v>
      </c>
      <c r="D27" s="2039">
        <f t="shared" si="234"/>
        <v>313.95436800000004</v>
      </c>
      <c r="E27" s="2039">
        <f t="shared" si="235"/>
        <v>596.63028431999999</v>
      </c>
      <c r="F27" s="2039">
        <f t="shared" si="236"/>
        <v>274.74220703999998</v>
      </c>
      <c r="G27" s="3569"/>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76"/>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72">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69"/>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69"/>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70"/>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68">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69"/>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69"/>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70"/>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68">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69"/>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69"/>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70"/>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73">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74"/>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74"/>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75"/>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68">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69"/>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69"/>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70"/>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68">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69">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69">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70">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68">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69">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69">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70">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68">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69">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69">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70">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68">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69">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69">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70">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68">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69">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69">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70">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68">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69">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69">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70">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68">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69">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69">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70">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68">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69">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69">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70">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68">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69">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69">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70">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68">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69">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69">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70">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45709</v>
      </c>
      <c r="D1" s="1215" t="s">
        <v>603</v>
      </c>
      <c r="E1" s="1210">
        <f>'数据-取费表'!B22</f>
        <v>2</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3">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44795</v>
      </c>
      <c r="D18" s="1203">
        <v>3.65</v>
      </c>
      <c r="E18" s="1203">
        <v>3.65</v>
      </c>
      <c r="F18" s="1203">
        <v>3.65</v>
      </c>
      <c r="G18" s="1203">
        <v>3.65</v>
      </c>
      <c r="H18" s="1203">
        <v>4.3</v>
      </c>
      <c r="I18" s="1199"/>
      <c r="J18" s="1199"/>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4"/>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1198" t="s">
        <v>2299</v>
      </c>
      <c r="C26" s="1205">
        <v>43697</v>
      </c>
      <c r="D26" s="2572">
        <v>4.25</v>
      </c>
      <c r="E26" s="2572">
        <v>4.25</v>
      </c>
      <c r="F26" s="2572">
        <v>4.25</v>
      </c>
      <c r="G26" s="2572">
        <v>4.25</v>
      </c>
      <c r="H26" s="2572">
        <v>4.8499999999999996</v>
      </c>
      <c r="I26" s="2572"/>
      <c r="J26" s="2572"/>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2575"/>
      <c r="C27" s="2576">
        <v>42301</v>
      </c>
      <c r="D27" s="2577">
        <v>4.3499999999999996</v>
      </c>
      <c r="E27" s="2577">
        <v>4.3499999999999996</v>
      </c>
      <c r="F27" s="2577">
        <v>4.75</v>
      </c>
      <c r="G27" s="2577">
        <v>4.75</v>
      </c>
      <c r="H27" s="2577">
        <v>4.9000000000000004</v>
      </c>
      <c r="I27" s="2577"/>
      <c r="J27" s="2577"/>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48" t="str">
        <f>IF(项目基本情况!B9="房地产市场价值","估价结果一览表","结果表-2")</f>
        <v>结果表-2</v>
      </c>
      <c r="B1" s="3248"/>
      <c r="C1" s="3248"/>
      <c r="D1" s="3248"/>
      <c r="E1" s="3248"/>
      <c r="F1" s="3248"/>
      <c r="G1" s="3248"/>
      <c r="H1" s="3248"/>
      <c r="I1" s="3248"/>
    </row>
    <row r="2" spans="1:9" ht="30" customHeight="1" thickTop="1">
      <c r="A2" s="3249" t="s">
        <v>922</v>
      </c>
      <c r="B2" s="3249" t="s">
        <v>923</v>
      </c>
      <c r="C2" s="3249" t="s">
        <v>924</v>
      </c>
      <c r="D2" s="3249" t="str">
        <f>结果表!D116</f>
        <v>出让国有建设用地使用权价值</v>
      </c>
      <c r="E2" s="3249"/>
      <c r="F2" s="3249" t="str">
        <f>结果表!F116</f>
        <v>在建建筑物价值</v>
      </c>
      <c r="G2" s="3249"/>
      <c r="H2" s="3249" t="str">
        <f>IF(项目基本情况!B9="房地产市场价值","房地产市场价值","房地产价值")</f>
        <v>房地产价值</v>
      </c>
      <c r="I2" s="3249"/>
    </row>
    <row r="3" spans="1:9" ht="15">
      <c r="A3" s="3244"/>
      <c r="B3" s="3244"/>
      <c r="C3" s="3244"/>
      <c r="D3" s="799" t="s">
        <v>919</v>
      </c>
      <c r="E3" s="799" t="s">
        <v>925</v>
      </c>
      <c r="F3" s="799" t="s">
        <v>919</v>
      </c>
      <c r="G3" s="799" t="s">
        <v>920</v>
      </c>
      <c r="H3" s="799" t="s">
        <v>919</v>
      </c>
      <c r="I3" s="799" t="s">
        <v>920</v>
      </c>
    </row>
    <row r="4" spans="1:9" ht="165">
      <c r="A4" s="1401" t="str">
        <f>项目基本情况!S2</f>
        <v>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v>
      </c>
      <c r="B4" s="799">
        <f>项目基本情况!C17</f>
        <v>23997.3</v>
      </c>
      <c r="C4" s="799">
        <f>项目基本情况!C18</f>
        <v>6542.04</v>
      </c>
      <c r="D4" s="799">
        <f ca="1">结果表!D118</f>
        <v>21021</v>
      </c>
      <c r="E4" s="799">
        <f ca="1">结果表!E118</f>
        <v>8760</v>
      </c>
      <c r="F4" s="799">
        <f ca="1">结果表!F118</f>
        <v>13271</v>
      </c>
      <c r="G4" s="799">
        <f ca="1">结果表!G118</f>
        <v>5530</v>
      </c>
      <c r="H4" s="799">
        <f ca="1">结果表!H118</f>
        <v>34292</v>
      </c>
      <c r="I4" s="799">
        <f ca="1">结果表!I118</f>
        <v>14290</v>
      </c>
    </row>
    <row r="5" spans="1:9" ht="30" customHeight="1">
      <c r="A5" s="3244" t="s">
        <v>921</v>
      </c>
      <c r="B5" s="3244"/>
      <c r="C5" s="3244"/>
      <c r="D5" s="3244" t="str">
        <f ca="1">结果表!D119</f>
        <v>贰亿壹仟零贰拾壹万元整</v>
      </c>
      <c r="E5" s="3244"/>
      <c r="F5" s="3244" t="str">
        <f ca="1">结果表!F119</f>
        <v>壹亿叁仟贰佰柒拾壹万元整</v>
      </c>
      <c r="G5" s="3244"/>
      <c r="H5" s="3244" t="str">
        <f ca="1">结果表!H119</f>
        <v>叁亿肆仟贰佰玖拾贰万元整</v>
      </c>
      <c r="I5" s="3244"/>
    </row>
    <row r="6" spans="1:9" ht="15.75">
      <c r="A6" s="3243" t="str">
        <f>结果表!A120</f>
        <v>估价师知悉的法定优先受偿款</v>
      </c>
      <c r="B6" s="3243"/>
      <c r="C6" s="3243"/>
      <c r="D6" s="3243">
        <f>结果表!D120</f>
        <v>0</v>
      </c>
      <c r="E6" s="3243"/>
      <c r="F6" s="3243"/>
      <c r="G6" s="3243"/>
      <c r="H6" s="3243"/>
      <c r="I6" s="3243"/>
    </row>
    <row r="7" spans="1:9" ht="15">
      <c r="A7" s="3244" t="s">
        <v>921</v>
      </c>
      <c r="B7" s="3244"/>
      <c r="C7" s="3244"/>
      <c r="D7" s="3245" t="str">
        <f>结果表!D121</f>
        <v>零元整</v>
      </c>
      <c r="E7" s="3246"/>
      <c r="F7" s="3246"/>
      <c r="G7" s="3246"/>
      <c r="H7" s="3246"/>
      <c r="I7" s="3247"/>
    </row>
    <row r="8" spans="1:9" ht="15.75">
      <c r="A8" s="3243" t="str">
        <f>结果表!A122</f>
        <v>房地产抵押价值</v>
      </c>
      <c r="B8" s="3243"/>
      <c r="C8" s="3243"/>
      <c r="D8" s="3243">
        <f ca="1">结果表!D122</f>
        <v>34292</v>
      </c>
      <c r="E8" s="3243"/>
      <c r="F8" s="3243"/>
      <c r="G8" s="3243"/>
      <c r="H8" s="3243"/>
      <c r="I8" s="3243"/>
    </row>
    <row r="9" spans="1:9" ht="15">
      <c r="A9" s="3244" t="s">
        <v>921</v>
      </c>
      <c r="B9" s="3244"/>
      <c r="C9" s="3244"/>
      <c r="D9" s="3244" t="str">
        <f ca="1">结果表!D123</f>
        <v>叁亿肆仟贰佰玖拾贰万元整</v>
      </c>
      <c r="E9" s="3244"/>
      <c r="F9" s="3244"/>
      <c r="G9" s="3244"/>
      <c r="H9" s="3244"/>
      <c r="I9" s="3244"/>
    </row>
    <row r="10" spans="1:9" ht="15.75">
      <c r="A10" s="3243" t="str">
        <f>结果表!A124</f>
        <v/>
      </c>
      <c r="B10" s="3243"/>
      <c r="C10" s="3243"/>
      <c r="D10" s="3243" t="str">
        <f>结果表!D124</f>
        <v>——</v>
      </c>
      <c r="E10" s="3243"/>
      <c r="F10" s="3243"/>
      <c r="G10" s="3243"/>
      <c r="H10" s="3243"/>
      <c r="I10" s="3243"/>
    </row>
    <row r="11" spans="1:9" ht="15">
      <c r="A11" s="3244" t="s">
        <v>921</v>
      </c>
      <c r="B11" s="3244"/>
      <c r="C11" s="3244"/>
      <c r="D11" s="3244" t="e">
        <f>结果表!D125</f>
        <v>#VALUE!</v>
      </c>
      <c r="E11" s="3244"/>
      <c r="F11" s="3244"/>
      <c r="G11" s="3244"/>
      <c r="H11" s="3244"/>
      <c r="I11" s="3244"/>
    </row>
    <row r="12" spans="1:9" ht="15.75">
      <c r="A12" s="3243" t="str">
        <f>结果表!A126</f>
        <v/>
      </c>
      <c r="B12" s="3243"/>
      <c r="C12" s="3243"/>
      <c r="D12" s="3243" t="str">
        <f>结果表!D126</f>
        <v>——</v>
      </c>
      <c r="E12" s="3243"/>
      <c r="F12" s="3243"/>
      <c r="G12" s="3243"/>
      <c r="H12" s="3243"/>
      <c r="I12" s="3243"/>
    </row>
    <row r="13" spans="1:9" ht="15.75" thickBot="1">
      <c r="A13" s="3241" t="s">
        <v>921</v>
      </c>
      <c r="B13" s="3241"/>
      <c r="C13" s="3241"/>
      <c r="D13" s="3241" t="e">
        <f>结果表!D127</f>
        <v>#VALUE!</v>
      </c>
      <c r="E13" s="3241"/>
      <c r="F13" s="3241"/>
      <c r="G13" s="3241"/>
      <c r="H13" s="3241"/>
      <c r="I13" s="3241"/>
    </row>
    <row r="14" spans="1:9" ht="15" thickTop="1">
      <c r="A14" s="3242" t="s">
        <v>926</v>
      </c>
      <c r="B14" s="3242"/>
      <c r="C14" s="3242"/>
      <c r="D14" s="3242"/>
      <c r="E14" s="3242"/>
      <c r="F14" s="3242"/>
      <c r="G14" s="3242"/>
      <c r="H14" s="3242"/>
      <c r="I14" s="3242"/>
    </row>
    <row r="16" spans="1:9" ht="18.75">
      <c r="A16" s="1402" t="s">
        <v>909</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T34"/>
  <sheetViews>
    <sheetView topLeftCell="D13" workbookViewId="0">
      <selection activeCell="S17" sqref="S17"/>
    </sheetView>
  </sheetViews>
  <sheetFormatPr defaultRowHeight="13.5"/>
  <cols>
    <col min="14" max="14" width="7.875" customWidth="1"/>
    <col min="15" max="15" width="7" customWidth="1"/>
    <col min="16" max="16" width="17.5" customWidth="1"/>
  </cols>
  <sheetData>
    <row r="4" spans="5:20">
      <c r="E4" s="1403"/>
      <c r="F4" s="3211"/>
      <c r="P4" s="3209" t="s">
        <v>3940</v>
      </c>
      <c r="Q4" s="3209" t="s">
        <v>3941</v>
      </c>
      <c r="R4" s="2745"/>
      <c r="S4" s="2745"/>
      <c r="T4" s="2745"/>
    </row>
    <row r="5" spans="5:20">
      <c r="F5" s="1403"/>
      <c r="P5" s="3209" t="s">
        <v>3942</v>
      </c>
      <c r="Q5" s="2745">
        <v>119</v>
      </c>
      <c r="R5" s="3209" t="s">
        <v>3943</v>
      </c>
      <c r="S5" s="2745"/>
      <c r="T5" s="2745"/>
    </row>
    <row r="6" spans="5:20">
      <c r="P6" s="3209" t="s">
        <v>3944</v>
      </c>
      <c r="Q6" s="2745">
        <v>125</v>
      </c>
      <c r="R6" s="3209" t="s">
        <v>3943</v>
      </c>
      <c r="S6" s="2745"/>
      <c r="T6" s="2745"/>
    </row>
    <row r="7" spans="5:20">
      <c r="P7" s="3209" t="s">
        <v>3945</v>
      </c>
      <c r="Q7" s="2745">
        <v>293</v>
      </c>
      <c r="R7" s="3209" t="s">
        <v>3943</v>
      </c>
      <c r="S7" s="2745"/>
      <c r="T7" s="2745"/>
    </row>
    <row r="8" spans="5:20">
      <c r="P8" s="3209" t="s">
        <v>3946</v>
      </c>
      <c r="Q8" s="2745">
        <v>122</v>
      </c>
      <c r="R8" s="3209" t="s">
        <v>3943</v>
      </c>
      <c r="S8" s="2745"/>
      <c r="T8" s="2745"/>
    </row>
    <row r="9" spans="5:20">
      <c r="P9" s="3209" t="s">
        <v>3947</v>
      </c>
      <c r="Q9" s="2745">
        <v>209</v>
      </c>
      <c r="R9" s="3209" t="s">
        <v>3943</v>
      </c>
      <c r="S9" s="2745"/>
      <c r="T9" s="2745"/>
    </row>
    <row r="10" spans="5:20">
      <c r="P10" s="3209" t="s">
        <v>3948</v>
      </c>
      <c r="Q10" s="2745">
        <v>149</v>
      </c>
      <c r="R10" s="3209" t="s">
        <v>3943</v>
      </c>
      <c r="S10" s="2745"/>
      <c r="T10" s="2745"/>
    </row>
    <row r="11" spans="5:20">
      <c r="P11" s="3209" t="s">
        <v>3949</v>
      </c>
      <c r="Q11" s="2745">
        <v>179</v>
      </c>
      <c r="R11" s="3209" t="s">
        <v>3950</v>
      </c>
      <c r="S11" s="2745"/>
      <c r="T11" s="2745"/>
    </row>
    <row r="12" spans="5:20">
      <c r="P12" s="2745"/>
      <c r="Q12" s="2745"/>
      <c r="R12" s="2745"/>
      <c r="S12" s="2745"/>
      <c r="T12" s="2745"/>
    </row>
    <row r="13" spans="5:20">
      <c r="P13" s="3209" t="s">
        <v>3951</v>
      </c>
      <c r="Q13" s="3209" t="s">
        <v>3952</v>
      </c>
      <c r="R13" s="3209" t="s">
        <v>3953</v>
      </c>
      <c r="S13" s="3209" t="s">
        <v>3954</v>
      </c>
      <c r="T13" s="2745"/>
    </row>
    <row r="14" spans="5:20">
      <c r="P14" s="3210" t="s">
        <v>3955</v>
      </c>
      <c r="Q14" s="2745">
        <v>23</v>
      </c>
      <c r="R14" s="2745">
        <v>1533</v>
      </c>
      <c r="S14" s="2745">
        <f>R14/Q14/30</f>
        <v>2.2217391304347829</v>
      </c>
      <c r="T14" s="3209" t="s">
        <v>3956</v>
      </c>
    </row>
    <row r="15" spans="5:20">
      <c r="P15" s="2745"/>
      <c r="Q15" s="2745">
        <v>30</v>
      </c>
      <c r="R15" s="2745">
        <v>2000</v>
      </c>
      <c r="S15" s="2745">
        <f>R15/Q15/30</f>
        <v>2.2222222222222223</v>
      </c>
      <c r="T15" s="2745"/>
    </row>
    <row r="16" spans="5:20">
      <c r="Q16" s="2745">
        <v>32</v>
      </c>
      <c r="R16" s="2745">
        <v>2100</v>
      </c>
      <c r="S16" s="2745">
        <f>R16/Q16/30</f>
        <v>2.1875</v>
      </c>
      <c r="T16" s="2745"/>
    </row>
    <row r="17" spans="16:20">
      <c r="P17" s="3209" t="s">
        <v>3957</v>
      </c>
      <c r="Q17" s="2745">
        <v>20</v>
      </c>
      <c r="R17" s="2745">
        <v>1800</v>
      </c>
      <c r="S17" s="2745">
        <f>R17/Q17/30</f>
        <v>3</v>
      </c>
      <c r="T17" s="2745"/>
    </row>
    <row r="18" spans="16:20">
      <c r="P18" s="2745"/>
      <c r="Q18" s="2745"/>
      <c r="R18" s="2745"/>
      <c r="S18" s="2745"/>
      <c r="T18" s="2745"/>
    </row>
    <row r="19" spans="16:20">
      <c r="P19" s="2745"/>
      <c r="Q19" s="2745"/>
      <c r="R19" s="2745"/>
      <c r="S19" s="2745"/>
      <c r="T19" s="2745"/>
    </row>
    <row r="20" spans="16:20">
      <c r="P20" s="2745"/>
      <c r="Q20" s="2745"/>
      <c r="R20" s="2745"/>
      <c r="S20" s="2745"/>
      <c r="T20" s="2745"/>
    </row>
    <row r="21" spans="16:20">
      <c r="P21" s="3209" t="s">
        <v>3958</v>
      </c>
      <c r="Q21" s="3209" t="s">
        <v>3952</v>
      </c>
      <c r="R21" s="3209" t="s">
        <v>3959</v>
      </c>
      <c r="S21" s="3209" t="s">
        <v>3954</v>
      </c>
      <c r="T21" s="2745"/>
    </row>
    <row r="22" spans="16:20">
      <c r="P22" s="3210" t="s">
        <v>3955</v>
      </c>
      <c r="Q22" s="2745">
        <v>500</v>
      </c>
      <c r="R22" s="2745">
        <v>1</v>
      </c>
      <c r="S22" s="3212" t="s">
        <v>3960</v>
      </c>
      <c r="T22" s="2745"/>
    </row>
    <row r="23" spans="16:20">
      <c r="P23" s="2745"/>
      <c r="Q23" s="2745"/>
      <c r="R23" s="2745">
        <v>2</v>
      </c>
      <c r="S23" s="2745">
        <v>3</v>
      </c>
      <c r="T23" s="2745"/>
    </row>
    <row r="24" spans="16:20">
      <c r="P24" s="2745"/>
      <c r="Q24" s="2745"/>
      <c r="R24" s="2745">
        <v>3</v>
      </c>
      <c r="S24" s="2745">
        <v>2</v>
      </c>
      <c r="T24" s="2745"/>
    </row>
    <row r="25" spans="16:20">
      <c r="P25" s="3209" t="s">
        <v>3961</v>
      </c>
      <c r="Q25" s="2745">
        <v>56.91</v>
      </c>
      <c r="R25" s="2745">
        <v>2</v>
      </c>
      <c r="S25" s="2745">
        <v>3.47</v>
      </c>
      <c r="T25" s="2745"/>
    </row>
    <row r="26" spans="16:20">
      <c r="P26" s="2745"/>
      <c r="Q26" s="2745"/>
      <c r="R26" s="2745"/>
      <c r="S26" s="2745"/>
      <c r="T26" s="2745"/>
    </row>
    <row r="27" spans="16:20">
      <c r="P27" s="2745"/>
      <c r="Q27" s="2745"/>
      <c r="R27" s="2745"/>
      <c r="S27" s="2745"/>
      <c r="T27" s="2745"/>
    </row>
    <row r="28" spans="16:20">
      <c r="P28" s="3209" t="s">
        <v>3962</v>
      </c>
      <c r="Q28" s="3209" t="s">
        <v>3952</v>
      </c>
      <c r="R28" s="3209" t="s">
        <v>3954</v>
      </c>
      <c r="S28" s="2745"/>
      <c r="T28" s="2745"/>
    </row>
    <row r="29" spans="16:20">
      <c r="P29" s="3209" t="s">
        <v>3963</v>
      </c>
      <c r="Q29" s="2745">
        <v>255</v>
      </c>
      <c r="R29" s="2745">
        <v>1.8</v>
      </c>
      <c r="S29" s="2745"/>
      <c r="T29" s="2745"/>
    </row>
    <row r="30" spans="16:20">
      <c r="P30" s="3209" t="s">
        <v>3964</v>
      </c>
      <c r="Q30" s="2745">
        <v>260</v>
      </c>
      <c r="R30" s="2745">
        <v>1.8</v>
      </c>
      <c r="S30" s="2745"/>
      <c r="T30" s="2745"/>
    </row>
    <row r="31" spans="16:20">
      <c r="P31" s="3209" t="s">
        <v>3965</v>
      </c>
      <c r="Q31" s="2745">
        <v>2000</v>
      </c>
      <c r="R31" s="2745">
        <v>1.5</v>
      </c>
      <c r="S31" s="2745"/>
      <c r="T31" s="2745"/>
    </row>
    <row r="32" spans="16:20">
      <c r="P32" s="3209" t="s">
        <v>3966</v>
      </c>
      <c r="Q32" s="2745">
        <v>1400</v>
      </c>
      <c r="R32" s="2745">
        <v>1.7</v>
      </c>
      <c r="S32" s="2745"/>
      <c r="T32" s="2745"/>
    </row>
    <row r="33" spans="16:20">
      <c r="P33" s="3209" t="s">
        <v>3967</v>
      </c>
      <c r="Q33" s="2745">
        <v>30</v>
      </c>
      <c r="R33" s="2745">
        <v>1.67</v>
      </c>
      <c r="S33" s="2745"/>
      <c r="T33" s="2745"/>
    </row>
    <row r="34" spans="16:20">
      <c r="P34" s="3209" t="s">
        <v>3968</v>
      </c>
      <c r="Q34" s="2745">
        <v>800</v>
      </c>
      <c r="R34" s="2745">
        <v>1.5</v>
      </c>
      <c r="S34" s="2745"/>
      <c r="T34" s="2745"/>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56" t="s">
        <v>943</v>
      </c>
      <c r="B1" s="3256"/>
      <c r="C1" s="3256"/>
      <c r="D1" s="3256"/>
    </row>
    <row r="2" spans="1:4" ht="18">
      <c r="A2" s="3257" t="s">
        <v>927</v>
      </c>
      <c r="B2" s="3257"/>
      <c r="C2" s="3257"/>
      <c r="D2" s="3257"/>
    </row>
    <row r="3" spans="1:4" ht="18.75">
      <c r="A3" s="1405" t="s">
        <v>928</v>
      </c>
      <c r="B3" s="1405" t="s">
        <v>929</v>
      </c>
      <c r="C3" s="1405" t="s">
        <v>930</v>
      </c>
      <c r="D3" s="1405" t="s">
        <v>931</v>
      </c>
    </row>
    <row r="4" spans="1:4" ht="56.25" customHeight="1">
      <c r="A4" s="1406" t="str">
        <f>项目基本情况!B4</f>
        <v>郑燚</v>
      </c>
      <c r="B4" s="1407">
        <f ca="1">项目基本情况!C4</f>
        <v>1120070131</v>
      </c>
      <c r="C4" s="1408"/>
      <c r="D4" s="1409" t="s">
        <v>932</v>
      </c>
    </row>
    <row r="5" spans="1:4" ht="56.25" customHeight="1">
      <c r="A5" s="1406" t="str">
        <f>项目基本情况!D4</f>
        <v>崔锴</v>
      </c>
      <c r="B5" s="1407">
        <f ca="1">项目基本情况!E4</f>
        <v>1120100036</v>
      </c>
      <c r="C5" s="1410"/>
      <c r="D5" s="1409" t="s">
        <v>932</v>
      </c>
    </row>
    <row r="6" spans="1:4" ht="18">
      <c r="A6" s="3257" t="s">
        <v>933</v>
      </c>
      <c r="B6" s="3257"/>
      <c r="C6" s="3257"/>
      <c r="D6" s="3257"/>
    </row>
    <row r="7" spans="1:4" ht="18.75">
      <c r="A7" s="1405" t="s">
        <v>928</v>
      </c>
      <c r="B7" s="1407" t="s">
        <v>934</v>
      </c>
      <c r="C7" s="1405" t="s">
        <v>930</v>
      </c>
      <c r="D7" s="1405" t="s">
        <v>931</v>
      </c>
    </row>
    <row r="8" spans="1:4" ht="56.25" customHeight="1">
      <c r="A8" s="1411" t="s">
        <v>390</v>
      </c>
      <c r="B8" s="1411" t="s">
        <v>0</v>
      </c>
      <c r="C8" s="1408"/>
      <c r="D8" s="1409" t="s">
        <v>932</v>
      </c>
    </row>
    <row r="10" spans="1:4" ht="18.75">
      <c r="A10" s="1412" t="s">
        <v>935</v>
      </c>
    </row>
    <row r="11" spans="1:4" ht="30" customHeight="1">
      <c r="A11" s="3258" t="s">
        <v>936</v>
      </c>
      <c r="B11" s="3250"/>
      <c r="C11" s="3250"/>
      <c r="D11" s="3250"/>
    </row>
    <row r="12" spans="1:4" ht="15.75">
      <c r="A12" s="3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5"/>
      <c r="C12" s="3255"/>
      <c r="D12" s="3255"/>
    </row>
    <row r="13" spans="1:4" ht="30" customHeight="1">
      <c r="A13" s="32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5"/>
      <c r="C13" s="3255"/>
      <c r="D13" s="3255"/>
    </row>
    <row r="14" spans="1:4" ht="15.75" customHeight="1">
      <c r="A14" s="3250" t="str">
        <f>IF(项目基本情况!B8="抵押","4.本次评估估价师所知悉的法定优先受偿款情况说明如下：","——")</f>
        <v>4.本次评估估价师所知悉的法定优先受偿款情况说明如下：</v>
      </c>
      <c r="B14" s="3255"/>
      <c r="C14" s="3255"/>
      <c r="D14" s="3255"/>
    </row>
    <row r="15" spans="1:4" ht="42" customHeight="1">
      <c r="A15" s="32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0"/>
      <c r="C15" s="3250"/>
      <c r="D15" s="3250"/>
    </row>
    <row r="16" spans="1:4" ht="30" customHeight="1">
      <c r="A16" s="3252" t="s">
        <v>937</v>
      </c>
      <c r="B16" s="3252"/>
      <c r="C16" s="3252"/>
      <c r="D16" s="3252"/>
    </row>
    <row r="17" spans="1:4" ht="144" customHeight="1">
      <c r="A17" s="3252" t="s">
        <v>938</v>
      </c>
      <c r="B17" s="3252"/>
      <c r="C17" s="3252"/>
      <c r="D17" s="3252"/>
    </row>
    <row r="18" spans="1:4" ht="15.75" customHeight="1">
      <c r="A18" s="3250" t="str">
        <f>IF(项目基本情况!B8="抵押",结果表!K120,"——")</f>
        <v>故，本次评估不存在估价师知悉的法定优先受偿款</v>
      </c>
      <c r="B18" s="3250"/>
      <c r="C18" s="3250"/>
      <c r="D18" s="3250"/>
    </row>
    <row r="19" spans="1:4" ht="46.5" customHeight="1">
      <c r="A19" s="3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0"/>
      <c r="C19" s="3250"/>
      <c r="D19" s="3250"/>
    </row>
    <row r="20" spans="1:4" ht="57.75" customHeight="1">
      <c r="A20" s="3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0"/>
      <c r="C20" s="3250"/>
      <c r="D20" s="3250"/>
    </row>
    <row r="21" spans="1:4" ht="57.75" customHeight="1">
      <c r="A21" s="32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3"/>
      <c r="C21" s="3253"/>
      <c r="D21" s="3253"/>
    </row>
    <row r="22" spans="1:4" ht="18.75" customHeight="1">
      <c r="A22" s="3254" t="s">
        <v>939</v>
      </c>
      <c r="B22" s="3254"/>
      <c r="C22" s="3254"/>
      <c r="D22" s="3254"/>
    </row>
    <row r="23" spans="1:4">
      <c r="A23" s="1413"/>
      <c r="B23" s="458"/>
      <c r="C23" s="458"/>
      <c r="D23" s="458"/>
    </row>
    <row r="24" spans="1:4">
      <c r="A24" s="1413"/>
      <c r="B24" s="458"/>
      <c r="C24" s="458"/>
      <c r="D24" s="458"/>
    </row>
    <row r="25" spans="1:4" ht="18.75">
      <c r="A25" s="1414" t="s">
        <v>940</v>
      </c>
    </row>
    <row r="26" spans="1:4" ht="18">
      <c r="A26" s="1385"/>
    </row>
    <row r="27" spans="1:4" ht="18.75">
      <c r="A27" s="1385" t="s">
        <v>941</v>
      </c>
    </row>
    <row r="30" spans="1:4" ht="18.75">
      <c r="D30" s="1414" t="s">
        <v>942</v>
      </c>
    </row>
    <row r="31" spans="1:4" ht="13.5" customHeight="1">
      <c r="C31" s="3251">
        <v>42551</v>
      </c>
      <c r="D31" s="325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944</v>
      </c>
    </row>
    <row r="3" spans="1:7">
      <c r="A3" s="1418" t="s">
        <v>55</v>
      </c>
      <c r="B3" s="1403" t="s">
        <v>945</v>
      </c>
      <c r="G3" s="1419"/>
    </row>
    <row r="4" spans="1:7">
      <c r="G4" s="1419"/>
    </row>
    <row r="5" spans="1:7">
      <c r="A5" s="1421" t="s">
        <v>46</v>
      </c>
      <c r="B5" s="1403" t="s">
        <v>946</v>
      </c>
      <c r="G5" s="1419"/>
    </row>
    <row r="6" spans="1:7">
      <c r="G6" s="1419"/>
    </row>
    <row r="7" spans="1:7">
      <c r="A7" s="1422" t="s">
        <v>108</v>
      </c>
      <c r="B7" s="1403" t="s">
        <v>947</v>
      </c>
      <c r="G7" s="1419"/>
    </row>
    <row r="8" spans="1:7">
      <c r="G8" s="1419"/>
    </row>
    <row r="9" spans="1:7">
      <c r="A9" s="1423" t="s">
        <v>47</v>
      </c>
      <c r="B9" s="1403" t="s">
        <v>948</v>
      </c>
    </row>
    <row r="11" spans="1:7">
      <c r="A11" s="1424" t="s">
        <v>48</v>
      </c>
      <c r="B11" s="1425" t="s">
        <v>45</v>
      </c>
    </row>
    <row r="13" spans="1:7">
      <c r="A13" s="1426" t="s">
        <v>949</v>
      </c>
    </row>
    <row r="15" spans="1:7" ht="13.5">
      <c r="A15" s="3264" t="s">
        <v>950</v>
      </c>
      <c r="B15" s="3259" t="s">
        <v>109</v>
      </c>
      <c r="C15" s="3260"/>
    </row>
    <row r="16" spans="1:7" ht="13.5">
      <c r="A16" s="3265"/>
      <c r="B16" s="3259" t="s">
        <v>42</v>
      </c>
      <c r="C16" s="3260"/>
    </row>
    <row r="17" spans="1:3" ht="13.5">
      <c r="A17" s="3265"/>
      <c r="B17" s="3262" t="s">
        <v>951</v>
      </c>
      <c r="C17" s="1427" t="s">
        <v>950</v>
      </c>
    </row>
    <row r="18" spans="1:3" ht="13.5">
      <c r="A18" s="3265"/>
      <c r="B18" s="3262"/>
      <c r="C18" s="1427" t="s">
        <v>952</v>
      </c>
    </row>
    <row r="19" spans="1:3" ht="13.5">
      <c r="A19" s="3265"/>
      <c r="B19" s="3262"/>
      <c r="C19" s="1427" t="s">
        <v>953</v>
      </c>
    </row>
    <row r="20" spans="1:3" ht="13.5">
      <c r="A20" s="3266"/>
      <c r="B20" s="3261" t="s">
        <v>954</v>
      </c>
      <c r="C20" s="3260"/>
    </row>
    <row r="21" spans="1:3" ht="13.5">
      <c r="A21" s="1428" t="s">
        <v>955</v>
      </c>
      <c r="B21" s="1429"/>
      <c r="C21" s="1430"/>
    </row>
    <row r="22" spans="1:3" ht="13.5">
      <c r="A22" s="3263" t="s">
        <v>956</v>
      </c>
      <c r="B22" s="3261" t="s">
        <v>957</v>
      </c>
      <c r="C22" s="3260"/>
    </row>
    <row r="23" spans="1:3" ht="13.5">
      <c r="A23" s="3263"/>
      <c r="B23" s="3261" t="s">
        <v>958</v>
      </c>
      <c r="C23" s="3260"/>
    </row>
    <row r="24" spans="1:3" ht="13.5">
      <c r="A24" s="3263"/>
      <c r="B24" s="3261" t="s">
        <v>959</v>
      </c>
      <c r="C24" s="3260"/>
    </row>
    <row r="25" spans="1:3" ht="13.5">
      <c r="A25" s="3263"/>
      <c r="B25" s="3262" t="s">
        <v>960</v>
      </c>
      <c r="C25" s="1427" t="s">
        <v>961</v>
      </c>
    </row>
    <row r="26" spans="1:3" ht="13.5">
      <c r="A26" s="3263"/>
      <c r="B26" s="3262"/>
      <c r="C26" s="1427" t="s">
        <v>962</v>
      </c>
    </row>
    <row r="27" spans="1:3" ht="13.5">
      <c r="A27" s="3263"/>
      <c r="B27" s="3262"/>
      <c r="C27" s="1427" t="s">
        <v>963</v>
      </c>
    </row>
    <row r="28" spans="1:3" ht="13.5">
      <c r="A28" s="3263"/>
      <c r="B28" s="3262"/>
      <c r="C28" s="1427" t="s">
        <v>964</v>
      </c>
    </row>
    <row r="29" spans="1:3" ht="13.5">
      <c r="A29" s="3263"/>
      <c r="B29" s="3262"/>
      <c r="C29" s="1427" t="s">
        <v>965</v>
      </c>
    </row>
    <row r="30" spans="1:3" ht="13.5">
      <c r="A30" s="3263"/>
      <c r="B30" s="3262"/>
      <c r="C30" s="1427" t="s">
        <v>966</v>
      </c>
    </row>
    <row r="31" spans="1:3" ht="13.5">
      <c r="A31" s="3263"/>
      <c r="B31" s="3262"/>
      <c r="C31" s="1427" t="s">
        <v>967</v>
      </c>
    </row>
    <row r="32" spans="1:3" ht="13.5">
      <c r="A32" s="3263"/>
      <c r="B32" s="3262"/>
      <c r="C32" s="1427" t="s">
        <v>968</v>
      </c>
    </row>
    <row r="33" spans="1:3" ht="13.5">
      <c r="A33" s="3263"/>
      <c r="B33" s="3262"/>
      <c r="C33" s="1427" t="s">
        <v>969</v>
      </c>
    </row>
    <row r="34" spans="1:3">
      <c r="A34" s="1431" t="s">
        <v>49</v>
      </c>
    </row>
    <row r="37" spans="1:3">
      <c r="A37" s="1431" t="s">
        <v>970</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2129</v>
      </c>
      <c r="B2" s="2155">
        <f ca="1">TODAY()</f>
        <v>45723</v>
      </c>
      <c r="C2" s="2156" t="s">
        <v>2130</v>
      </c>
      <c r="D2" s="2156"/>
      <c r="E2" s="2156"/>
      <c r="F2" s="2152"/>
      <c r="G2" s="2152"/>
      <c r="H2" s="2152"/>
    </row>
    <row r="3" spans="1:8" ht="24" customHeight="1">
      <c r="A3" s="2157" t="s">
        <v>2131</v>
      </c>
      <c r="B3" s="1217" t="s">
        <v>2132</v>
      </c>
      <c r="C3" s="1217" t="s">
        <v>2133</v>
      </c>
      <c r="D3" s="2158" t="s">
        <v>2134</v>
      </c>
      <c r="E3" s="2159" t="s">
        <v>2135</v>
      </c>
      <c r="F3" s="1217" t="s">
        <v>2136</v>
      </c>
      <c r="G3" s="1217" t="s">
        <v>2133</v>
      </c>
      <c r="H3" s="2158" t="s">
        <v>2137</v>
      </c>
    </row>
    <row r="4" spans="1:8" ht="24" customHeight="1">
      <c r="A4" s="1217" t="s">
        <v>2138</v>
      </c>
      <c r="B4" s="1217">
        <f ca="1">IF(C4&lt;B2,"已过期",1119970066)</f>
        <v>1119970066</v>
      </c>
      <c r="C4" s="2160">
        <v>45937</v>
      </c>
      <c r="D4" s="2161" t="str">
        <f ca="1">A4&amp;"（注册号："&amp;B4&amp;"）"</f>
        <v>梁津（注册号：1119970066）</v>
      </c>
      <c r="E4" s="2162" t="s">
        <v>2138</v>
      </c>
      <c r="F4" s="1217">
        <f ca="1">IF(G4&lt;B2,"已过期",96010014)</f>
        <v>96010014</v>
      </c>
      <c r="G4" s="2163">
        <v>47118</v>
      </c>
      <c r="H4" s="2164" t="str">
        <f ca="1">E4&amp;"（注册号："&amp;F4&amp;"）"</f>
        <v>梁津（注册号：96010014）</v>
      </c>
    </row>
    <row r="5" spans="1:8" ht="24" customHeight="1">
      <c r="A5" s="1217" t="s">
        <v>2139</v>
      </c>
      <c r="B5" s="1217">
        <f ca="1">IF(C5&lt;B2,"已过期",1119970111)</f>
        <v>1119970111</v>
      </c>
      <c r="C5" s="2160">
        <v>45937</v>
      </c>
      <c r="D5" s="2161" t="str">
        <f t="shared" ref="D5:D15" ca="1" si="0">A5&amp;"（注册号："&amp;B5&amp;"）"</f>
        <v>叶凌（注册号：1119970111）</v>
      </c>
      <c r="E5" s="2162" t="s">
        <v>2139</v>
      </c>
      <c r="F5" s="1217">
        <f ca="1">IF(G5&lt;B2,"已过期",94010078)</f>
        <v>94010078</v>
      </c>
      <c r="G5" s="2163">
        <v>46387</v>
      </c>
      <c r="H5" s="2164" t="str">
        <f t="shared" ref="H5:H16" ca="1" si="1">E5&amp;"（注册号："&amp;F5&amp;"）"</f>
        <v>叶凌（注册号：94010078）</v>
      </c>
    </row>
    <row r="6" spans="1:8" ht="24" customHeight="1">
      <c r="A6" s="1217" t="s">
        <v>2140</v>
      </c>
      <c r="B6" s="1217" t="str">
        <f ca="1">IF(C6&lt;B2,"已过期",1120050019)</f>
        <v>已过期</v>
      </c>
      <c r="C6" s="2160">
        <v>45410</v>
      </c>
      <c r="D6" s="2161" t="str">
        <f t="shared" ca="1" si="0"/>
        <v>王鹏（注册号：已过期）</v>
      </c>
      <c r="E6" s="2162" t="s">
        <v>2140</v>
      </c>
      <c r="F6" s="1217">
        <f ca="1">IF(G6&lt;B2,"已过期",2002110030)</f>
        <v>2002110030</v>
      </c>
      <c r="G6" s="2163">
        <v>46387</v>
      </c>
      <c r="H6" s="2164" t="str">
        <f t="shared" ca="1" si="1"/>
        <v>王鹏（注册号：2002110030）</v>
      </c>
    </row>
    <row r="7" spans="1:8" ht="24" customHeight="1">
      <c r="A7" s="1217" t="s">
        <v>2141</v>
      </c>
      <c r="B7" s="1217">
        <f ca="1">IF(C7&lt;B2,"已过期",1120000080)</f>
        <v>1120000080</v>
      </c>
      <c r="C7" s="2160">
        <v>45937</v>
      </c>
      <c r="D7" s="2161" t="str">
        <f t="shared" ca="1" si="0"/>
        <v>欧红伟（注册号：1120000080）</v>
      </c>
      <c r="E7" s="2162" t="s">
        <v>2141</v>
      </c>
      <c r="F7" s="1217">
        <f ca="1">IF(G7&lt;B2,"已过期",2000110082)</f>
        <v>2000110082</v>
      </c>
      <c r="G7" s="2163">
        <v>46387</v>
      </c>
      <c r="H7" s="2164" t="str">
        <f t="shared" ca="1" si="1"/>
        <v>欧红伟（注册号：2000110082）</v>
      </c>
    </row>
    <row r="8" spans="1:8" ht="24" customHeight="1">
      <c r="A8" s="1217" t="s">
        <v>2142</v>
      </c>
      <c r="B8" s="1217">
        <f ca="1">IF(C8&lt;B2,"已过期",1419970001)</f>
        <v>1419970001</v>
      </c>
      <c r="C8" s="2160">
        <v>45937</v>
      </c>
      <c r="D8" s="2161" t="str">
        <f t="shared" ca="1" si="0"/>
        <v>吴薇（注册号：1419970001）</v>
      </c>
      <c r="E8" s="2162" t="s">
        <v>2142</v>
      </c>
      <c r="F8" s="1217">
        <f ca="1">IF(G8&lt;B2,"已过期",2002110125)</f>
        <v>2002110125</v>
      </c>
      <c r="G8" s="2163">
        <v>47118</v>
      </c>
      <c r="H8" s="2164" t="str">
        <f t="shared" ca="1" si="1"/>
        <v>吴薇（注册号：2002110125）</v>
      </c>
    </row>
    <row r="9" spans="1:8" ht="24" customHeight="1">
      <c r="A9" s="1217" t="s">
        <v>2143</v>
      </c>
      <c r="B9" s="1217" t="str">
        <f ca="1">IF(C9&lt;B2,"已过期",1120060040)</f>
        <v>已过期</v>
      </c>
      <c r="C9" s="2165">
        <v>45592</v>
      </c>
      <c r="D9" s="2161" t="str">
        <f t="shared" ca="1" si="0"/>
        <v>陈颖（注册号：已过期）</v>
      </c>
      <c r="E9" s="2162" t="s">
        <v>2143</v>
      </c>
      <c r="F9" s="1217">
        <f ca="1">IF(G9&lt;B2,"已过期",2004110096)</f>
        <v>2004110096</v>
      </c>
      <c r="G9" s="2163">
        <v>47118</v>
      </c>
      <c r="H9" s="2164" t="str">
        <f t="shared" ca="1" si="1"/>
        <v>陈颖（注册号：2004110096）</v>
      </c>
    </row>
    <row r="10" spans="1:8" ht="24" customHeight="1">
      <c r="A10" s="1217" t="s">
        <v>2144</v>
      </c>
      <c r="B10" s="1217">
        <f ca="1">IF(C10&lt;B2,"已过期",1120100036)</f>
        <v>1120100036</v>
      </c>
      <c r="C10" s="2165">
        <v>45752</v>
      </c>
      <c r="D10" s="2161" t="str">
        <f t="shared" ca="1" si="0"/>
        <v>崔锴（注册号：1120100036）</v>
      </c>
      <c r="E10" s="2162" t="s">
        <v>2144</v>
      </c>
      <c r="F10" s="1217">
        <f ca="1">IF(G10&lt;B2,"已过期",2010110070)</f>
        <v>2010110070</v>
      </c>
      <c r="G10" s="2163">
        <v>47907</v>
      </c>
      <c r="H10" s="2164" t="str">
        <f t="shared" ca="1" si="1"/>
        <v>崔锴（注册号：2010110070）</v>
      </c>
    </row>
    <row r="11" spans="1:8" ht="24" customHeight="1">
      <c r="A11" s="1217" t="s">
        <v>2145</v>
      </c>
      <c r="B11" s="1217">
        <f ca="1">IF(C11&lt;B2,"已过期",1120070131)</f>
        <v>1120070131</v>
      </c>
      <c r="C11" s="2160">
        <v>45937</v>
      </c>
      <c r="D11" s="2161" t="str">
        <f t="shared" ca="1" si="0"/>
        <v>郑燚（注册号：1120070131）</v>
      </c>
      <c r="E11" s="2162" t="s">
        <v>2145</v>
      </c>
      <c r="F11" s="1217">
        <f ca="1">IF(G11&lt;B2,"已过期",2014110011)</f>
        <v>2014110011</v>
      </c>
      <c r="G11" s="2163">
        <v>49302</v>
      </c>
      <c r="H11" s="2164" t="str">
        <f t="shared" ca="1" si="1"/>
        <v>郑燚（注册号：2014110011）</v>
      </c>
    </row>
    <row r="12" spans="1:8" ht="24" customHeight="1">
      <c r="A12" s="1217" t="s">
        <v>2146</v>
      </c>
      <c r="B12" s="1217">
        <f ca="1">IF(C12&lt;B2,"已过期",1120040230)</f>
        <v>1120040230</v>
      </c>
      <c r="C12" s="2165">
        <v>45937</v>
      </c>
      <c r="D12" s="2161" t="str">
        <f t="shared" ca="1" si="0"/>
        <v>苏海（注册号：1120040230）</v>
      </c>
      <c r="E12" s="2162" t="s">
        <v>2146</v>
      </c>
      <c r="F12" s="1217">
        <f ca="1">IF(G12&lt;B2,"已过期",98030020)</f>
        <v>98030020</v>
      </c>
      <c r="G12" s="2163">
        <v>47118</v>
      </c>
      <c r="H12" s="2164" t="str">
        <f t="shared" ca="1" si="1"/>
        <v>苏海（注册号：98030020）</v>
      </c>
    </row>
    <row r="13" spans="1:8" ht="24" customHeight="1">
      <c r="A13" s="1217" t="s">
        <v>2147</v>
      </c>
      <c r="B13" s="1217" t="str">
        <f ca="1">IF(C13&lt;B2,"已过期",1120020033)</f>
        <v>已过期</v>
      </c>
      <c r="C13" s="2160">
        <v>45375</v>
      </c>
      <c r="D13" s="2161" t="str">
        <f t="shared" ca="1" si="0"/>
        <v>刘敬东（注册号：已过期）</v>
      </c>
      <c r="E13" s="2162" t="s">
        <v>2147</v>
      </c>
      <c r="F13" s="1217">
        <f ca="1">IF(G13&lt;B2,"已过期",2000110137)</f>
        <v>2000110137</v>
      </c>
      <c r="G13" s="2163">
        <v>46387</v>
      </c>
      <c r="H13" s="2164" t="str">
        <f t="shared" ca="1" si="1"/>
        <v>刘敬东（注册号：2000110137）</v>
      </c>
    </row>
    <row r="14" spans="1:8" ht="24" customHeight="1">
      <c r="A14" s="1217" t="s">
        <v>2148</v>
      </c>
      <c r="B14" s="1217" t="str">
        <f ca="1">IF(C14&lt;B2,"已过期",1119980106)</f>
        <v>已过期</v>
      </c>
      <c r="C14" s="2165">
        <v>44969</v>
      </c>
      <c r="D14" s="2161" t="str">
        <f t="shared" ca="1" si="0"/>
        <v>刘俊财（注册号：已过期）</v>
      </c>
      <c r="E14" s="2162" t="s">
        <v>2148</v>
      </c>
      <c r="F14" s="1217">
        <f ca="1">IF(G14&lt;B2,"已过期",96010063)</f>
        <v>96010063</v>
      </c>
      <c r="G14" s="2163">
        <v>47483</v>
      </c>
      <c r="H14" s="2164" t="str">
        <f t="shared" ca="1" si="1"/>
        <v>刘俊财（注册号：96010063）</v>
      </c>
    </row>
    <row r="15" spans="1:8" ht="24" customHeight="1">
      <c r="A15" s="1217" t="s">
        <v>2425</v>
      </c>
      <c r="B15" s="1217">
        <v>1120210056</v>
      </c>
      <c r="C15" s="2165">
        <v>45410</v>
      </c>
      <c r="D15" s="2161" t="str">
        <f t="shared" si="0"/>
        <v>宁小鳗（注册号：1120210056）</v>
      </c>
      <c r="E15" s="2162" t="s">
        <v>2149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67" t="s">
        <v>2150</v>
      </c>
      <c r="B17" s="3267"/>
      <c r="C17" s="3267"/>
      <c r="D17" s="3267"/>
      <c r="E17" s="3267"/>
      <c r="F17" s="3267"/>
      <c r="G17" s="3267"/>
      <c r="H17" s="3267"/>
    </row>
    <row r="18" spans="1:8" ht="24" customHeight="1">
      <c r="A18" s="3268" t="s">
        <v>2151</v>
      </c>
      <c r="B18" s="3268"/>
      <c r="C18" s="3268"/>
      <c r="D18" s="2158"/>
      <c r="E18" s="3269" t="s">
        <v>2152</v>
      </c>
      <c r="F18" s="3268"/>
      <c r="G18" s="3268"/>
    </row>
    <row r="19" spans="1:8" s="2168" customFormat="1" ht="24" customHeight="1">
      <c r="A19" s="2167" t="s">
        <v>2153</v>
      </c>
      <c r="B19" s="1217" t="s">
        <v>2154</v>
      </c>
      <c r="C19" s="1217" t="s">
        <v>2133</v>
      </c>
      <c r="D19" s="2158"/>
      <c r="E19" s="2162" t="s">
        <v>2153</v>
      </c>
      <c r="F19" s="1217" t="s">
        <v>2154</v>
      </c>
      <c r="G19" s="1217" t="s">
        <v>2133</v>
      </c>
    </row>
    <row r="20" spans="1:8" s="2168" customFormat="1" ht="24" customHeight="1">
      <c r="A20" s="2169" t="s">
        <v>2155</v>
      </c>
      <c r="B20" s="2169" t="s">
        <v>2156</v>
      </c>
      <c r="C20" s="2163">
        <v>45898</v>
      </c>
      <c r="D20" s="2170"/>
      <c r="E20" s="2171" t="s">
        <v>2157</v>
      </c>
      <c r="F20" s="2174" t="s">
        <v>2426</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核对项目总净值</vt:lpstr>
      <vt:lpstr>地价款明细</vt:lpstr>
      <vt:lpstr>成本法</vt:lpstr>
      <vt:lpstr>成本法 (元)</vt:lpstr>
      <vt:lpstr>基准地价修正</vt:lpstr>
      <vt:lpstr>土地比较法-住宅、综合</vt:lpstr>
      <vt:lpstr>商业土地案例</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收益法</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商业、办公</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核对项目总净值!Print_Area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2025-03-07T02:38:39Z</dcterms:modified>
</cp:coreProperties>
</file>