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codeName="ThisWorkbook" defaultThemeVersion="124226"/>
  <mc:AlternateContent xmlns:mc="http://schemas.openxmlformats.org/markup-compatibility/2006">
    <mc:Choice Requires="x15">
      <x15ac:absPath xmlns:x15ac="http://schemas.microsoft.com/office/spreadsheetml/2010/11/ac" url="D:\桌面\2022-1-0182望京诚盈中心\结果\"/>
    </mc:Choice>
  </mc:AlternateContent>
  <xr:revisionPtr revIDLastSave="0" documentId="13_ncr:1_{B75BC6E4-84EC-47D5-88E3-E3F8345D44DC}" xr6:coauthVersionLast="47" xr6:coauthVersionMax="47" xr10:uidLastSave="{00000000-0000-0000-0000-000000000000}"/>
  <bookViews>
    <workbookView xWindow="-120" yWindow="-120" windowWidth="19440" windowHeight="15000" tabRatio="885" firstSheet="9" activeTab="14"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办公" sheetId="34" r:id="rId17"/>
    <sheet name="案例" sheetId="64" r:id="rId18"/>
    <sheet name="假设开发法" sheetId="12" state="hidden" r:id="rId19"/>
    <sheet name="收益法" sheetId="15" r:id="rId20"/>
    <sheet name="成本法" sheetId="11" r:id="rId21"/>
    <sheet name="收益法-酒店模型" sheetId="63" state="hidden" r:id="rId22"/>
    <sheet name="典型户型修正" sheetId="31" state="hidden" r:id="rId23"/>
    <sheet name="比较法-住宅" sheetId="21" state="hidden" r:id="rId24"/>
    <sheet name="比较法-商业" sheetId="33"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16"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23"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6">'比较法-办公'!$A$1:$K$55,'比较法-办公'!$A$58:$M$132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E13" i="1" l="1"/>
  <c r="C6" i="11"/>
  <c r="D33" i="62" l="1"/>
  <c r="D32" i="62"/>
  <c r="D31" i="62"/>
  <c r="C34" i="34"/>
  <c r="I37" i="34"/>
  <c r="G37" i="34"/>
  <c r="E37" i="34"/>
  <c r="C37" i="34"/>
  <c r="I7" i="34"/>
  <c r="G7" i="34"/>
  <c r="E7" i="34"/>
  <c r="D14" i="9"/>
  <c r="H20" i="1" l="1"/>
  <c r="G20" i="1"/>
  <c r="E15" i="1"/>
  <c r="D2" i="4"/>
  <c r="G14" i="61"/>
  <c r="F14" i="61"/>
  <c r="E14" i="61"/>
  <c r="G15" i="61" l="1"/>
  <c r="F15" i="61"/>
  <c r="E15" i="61"/>
  <c r="AH5" i="59" l="1"/>
  <c r="AG5" i="59"/>
  <c r="AE5" i="59"/>
  <c r="AF5" i="59" s="1"/>
  <c r="AD5" i="59"/>
  <c r="Q5" i="59"/>
  <c r="P5" i="59"/>
  <c r="O5" i="59"/>
  <c r="N5"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D11" i="63" s="1"/>
  <c r="R13" i="63"/>
  <c r="R12" i="63"/>
  <c r="D12" i="63"/>
  <c r="R11" i="63"/>
  <c r="R10" i="63"/>
  <c r="D10" i="63"/>
  <c r="R9" i="63"/>
  <c r="D9" i="63"/>
  <c r="R8" i="63"/>
  <c r="R7" i="63"/>
  <c r="R4" i="63"/>
  <c r="R3" i="63"/>
  <c r="E11" i="63" l="1"/>
  <c r="E7" i="63" s="1"/>
  <c r="C27" i="63" s="1"/>
  <c r="D7" i="63"/>
  <c r="C26" i="63" s="1"/>
  <c r="R14" i="63"/>
  <c r="R24" i="63" s="1"/>
  <c r="E23" i="63"/>
  <c r="D26" i="63"/>
  <c r="C29" i="63"/>
  <c r="C32" i="63" s="1"/>
  <c r="C38" i="63" s="1"/>
  <c r="C39" i="63" s="1"/>
  <c r="R35" i="63"/>
  <c r="U34" i="63" s="1"/>
  <c r="D29" i="63"/>
  <c r="D32" i="63" s="1"/>
  <c r="AH6" i="59"/>
  <c r="AG6" i="59"/>
  <c r="AE6" i="59"/>
  <c r="AF6" i="59" s="1"/>
  <c r="AD6" i="59"/>
  <c r="Q6" i="59"/>
  <c r="P6" i="59"/>
  <c r="O6" i="59"/>
  <c r="N6" i="59"/>
  <c r="R25" i="63" l="1"/>
  <c r="R19" i="63"/>
  <c r="E26" i="63"/>
  <c r="E38" i="63"/>
  <c r="E39" i="63" s="1"/>
  <c r="C40" i="63" s="1"/>
  <c r="E29" i="63"/>
  <c r="E32" i="63" s="1"/>
  <c r="AH7" i="59"/>
  <c r="AG7" i="59"/>
  <c r="AE7" i="59"/>
  <c r="AF7" i="59" s="1"/>
  <c r="AD7" i="59"/>
  <c r="Q7" i="59"/>
  <c r="P7" i="59"/>
  <c r="O7" i="59"/>
  <c r="N7" i="59"/>
  <c r="R5" i="63" l="1"/>
  <c r="U5" i="63" s="1"/>
  <c r="C41" i="63"/>
  <c r="B2" i="63"/>
  <c r="B3" i="63" s="1"/>
  <c r="E20" i="43"/>
  <c r="AH8" i="59" l="1"/>
  <c r="AG8" i="59"/>
  <c r="AE8" i="59"/>
  <c r="AF8" i="59" s="1"/>
  <c r="AD8" i="59"/>
  <c r="Q8" i="59"/>
  <c r="P8" i="59"/>
  <c r="O8" i="59"/>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P10" i="59"/>
  <c r="O10" i="59"/>
  <c r="N10" i="59"/>
  <c r="D15" i="48" l="1"/>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P11" i="59"/>
  <c r="O11" i="59"/>
  <c r="N11" i="59"/>
  <c r="AH12" i="59" l="1"/>
  <c r="AG12" i="59"/>
  <c r="AE12" i="59"/>
  <c r="AF12" i="59" s="1"/>
  <c r="AD12" i="59"/>
  <c r="Q12" i="59"/>
  <c r="P12" i="59"/>
  <c r="O12" i="59"/>
  <c r="N12" i="59"/>
  <c r="O14" i="59" l="1"/>
  <c r="N14" i="59"/>
  <c r="AH13" i="59"/>
  <c r="AG13" i="59"/>
  <c r="AE13" i="59"/>
  <c r="AF13" i="59" s="1"/>
  <c r="AD13" i="59"/>
  <c r="Q13" i="59"/>
  <c r="Q14" i="59"/>
  <c r="P13" i="59"/>
  <c r="P14" i="59"/>
  <c r="O13" i="59"/>
  <c r="N13" i="59"/>
  <c r="B2" i="48"/>
  <c r="O15" i="59"/>
  <c r="O16" i="59"/>
  <c r="N15" i="59"/>
  <c r="N16" i="59"/>
  <c r="AH14" i="59"/>
  <c r="AG14" i="59"/>
  <c r="AE14" i="59"/>
  <c r="AF14" i="59"/>
  <c r="AD14" i="59"/>
  <c r="Q15" i="59"/>
  <c r="Q16" i="59"/>
  <c r="P15" i="59"/>
  <c r="P16" i="59"/>
  <c r="AH15" i="59"/>
  <c r="AG15" i="59"/>
  <c r="AE15" i="59"/>
  <c r="AF15" i="59" s="1"/>
  <c r="AD15" i="59"/>
  <c r="M15" i="45"/>
  <c r="L15" i="45"/>
  <c r="K15" i="45"/>
  <c r="J15" i="45"/>
  <c r="I15" i="45"/>
  <c r="H15" i="45"/>
  <c r="G15" i="45"/>
  <c r="F15" i="45"/>
  <c r="E15" i="45"/>
  <c r="D15" i="45"/>
  <c r="C15" i="45"/>
  <c r="B15" i="45"/>
  <c r="AH16" i="59"/>
  <c r="AG16" i="59"/>
  <c r="AE16" i="59"/>
  <c r="AF16" i="59"/>
  <c r="AD16" i="59"/>
  <c r="AH17" i="59"/>
  <c r="AG17" i="59"/>
  <c r="AE17" i="59"/>
  <c r="AF17" i="59" s="1"/>
  <c r="AD17" i="59"/>
  <c r="Q17" i="59"/>
  <c r="P17" i="59"/>
  <c r="O17" i="59"/>
  <c r="N17" i="59"/>
  <c r="L3" i="59"/>
  <c r="AH3" i="59" s="1"/>
  <c r="K3" i="59"/>
  <c r="AG3" i="59" s="1"/>
  <c r="J3" i="59"/>
  <c r="AE3" i="59" s="1"/>
  <c r="I3" i="59"/>
  <c r="AD3" i="59" s="1"/>
  <c r="AH18" i="59"/>
  <c r="AG18" i="59"/>
  <c r="AE18" i="59"/>
  <c r="AF18" i="59"/>
  <c r="AD18" i="59"/>
  <c r="Q18" i="59"/>
  <c r="Q19" i="59"/>
  <c r="P18" i="59"/>
  <c r="P19" i="59"/>
  <c r="O18" i="59"/>
  <c r="O19" i="59"/>
  <c r="N18" i="59"/>
  <c r="N19" i="59"/>
  <c r="N20" i="59"/>
  <c r="O20" i="59"/>
  <c r="P20" i="59"/>
  <c r="Q20" i="59"/>
  <c r="AD19" i="59"/>
  <c r="AE19" i="59"/>
  <c r="AF19" i="59" s="1"/>
  <c r="AG19" i="59"/>
  <c r="AH19" i="59"/>
  <c r="M48" i="15"/>
  <c r="B2" i="1"/>
  <c r="F30" i="1" s="1"/>
  <c r="B24" i="1"/>
  <c r="J50" i="15"/>
  <c r="J51" i="15"/>
  <c r="B26" i="1"/>
  <c r="AH20" i="59"/>
  <c r="AG20" i="59"/>
  <c r="AE20" i="59"/>
  <c r="AF20" i="59"/>
  <c r="AD20" i="59"/>
  <c r="AH21" i="59"/>
  <c r="AG21" i="59"/>
  <c r="AE21" i="59"/>
  <c r="AF21" i="59" s="1"/>
  <c r="AD21" i="59"/>
  <c r="Q21" i="59"/>
  <c r="P21" i="59"/>
  <c r="O21" i="59"/>
  <c r="N21" i="59"/>
  <c r="Q22" i="59"/>
  <c r="P22" i="59"/>
  <c r="O22" i="59"/>
  <c r="N22" i="59"/>
  <c r="D22" i="59"/>
  <c r="E21" i="59"/>
  <c r="E20" i="59"/>
  <c r="E19" i="59" s="1"/>
  <c r="E18" i="59" s="1"/>
  <c r="E17" i="59" s="1"/>
  <c r="E16" i="59" s="1"/>
  <c r="E15" i="59" s="1"/>
  <c r="E14" i="59" s="1"/>
  <c r="E13" i="59" s="1"/>
  <c r="F21" i="59"/>
  <c r="F20" i="59" s="1"/>
  <c r="F19" i="59" s="1"/>
  <c r="C21" i="59"/>
  <c r="C20" i="59" s="1"/>
  <c r="T21" i="59"/>
  <c r="A2" i="50"/>
  <c r="D21" i="59"/>
  <c r="K60" i="15"/>
  <c r="P59" i="15" s="1"/>
  <c r="P72" i="15"/>
  <c r="A127" i="57"/>
  <c r="A123" i="9"/>
  <c r="A16" i="54"/>
  <c r="B14" i="60" s="1"/>
  <c r="A14" i="54"/>
  <c r="B12" i="60" s="1"/>
  <c r="A19" i="55"/>
  <c r="A13" i="55"/>
  <c r="A1" i="52"/>
  <c r="A4" i="50"/>
  <c r="P23" i="59"/>
  <c r="O23" i="59"/>
  <c r="N23" i="59"/>
  <c r="Q23"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H36" i="59"/>
  <c r="AG36" i="59"/>
  <c r="AE36" i="59"/>
  <c r="AD36" i="59"/>
  <c r="AF36" i="59"/>
  <c r="AD37" i="59"/>
  <c r="AE37" i="59"/>
  <c r="AF37" i="59" s="1"/>
  <c r="AG37" i="59"/>
  <c r="AH37"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10" i="60" s="1"/>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6" i="59"/>
  <c r="F85" i="59"/>
  <c r="E85" i="59"/>
  <c r="E84" i="59" s="1"/>
  <c r="E83" i="59" s="1"/>
  <c r="C85" i="59"/>
  <c r="D85" i="59"/>
  <c r="B85" i="59"/>
  <c r="F84" i="59"/>
  <c r="F83" i="59" s="1"/>
  <c r="B84" i="59"/>
  <c r="B83" i="59" s="1"/>
  <c r="D82" i="59"/>
  <c r="F81" i="59"/>
  <c r="E81" i="59"/>
  <c r="E80" i="59" s="1"/>
  <c r="E79" i="59"/>
  <c r="C81" i="59"/>
  <c r="D81" i="59"/>
  <c r="B81" i="59"/>
  <c r="F80" i="59"/>
  <c r="F79" i="59" s="1"/>
  <c r="B80" i="59"/>
  <c r="B79" i="59" s="1"/>
  <c r="D78" i="59"/>
  <c r="Q77" i="59"/>
  <c r="P77" i="59"/>
  <c r="O77" i="59"/>
  <c r="N77" i="59"/>
  <c r="F77" i="59"/>
  <c r="V77" i="59" s="1"/>
  <c r="E77" i="59"/>
  <c r="U77" i="59" s="1"/>
  <c r="C77" i="59"/>
  <c r="T77" i="59" s="1"/>
  <c r="B77" i="59"/>
  <c r="S77" i="59" s="1"/>
  <c r="Q76" i="59"/>
  <c r="P76" i="59"/>
  <c r="O76" i="59"/>
  <c r="N76" i="59"/>
  <c r="F76" i="59"/>
  <c r="F75" i="59"/>
  <c r="Q75" i="59"/>
  <c r="P75" i="59"/>
  <c r="O75" i="59"/>
  <c r="N75" i="59"/>
  <c r="Q74" i="59"/>
  <c r="P74" i="59"/>
  <c r="O74" i="59"/>
  <c r="N74" i="59"/>
  <c r="D74" i="59"/>
  <c r="S73" i="59"/>
  <c r="Q73" i="59"/>
  <c r="P73" i="59"/>
  <c r="O73" i="59"/>
  <c r="N73" i="59"/>
  <c r="F73" i="59"/>
  <c r="V73" i="59"/>
  <c r="E73" i="59"/>
  <c r="U73" i="59"/>
  <c r="C73" i="59"/>
  <c r="T73" i="59"/>
  <c r="B73" i="59"/>
  <c r="Q72" i="59"/>
  <c r="P72" i="59"/>
  <c r="O72" i="59"/>
  <c r="N72" i="59"/>
  <c r="F72" i="59"/>
  <c r="F71" i="59" s="1"/>
  <c r="B72" i="59"/>
  <c r="B71" i="59" s="1"/>
  <c r="Q71" i="59"/>
  <c r="P71" i="59"/>
  <c r="O71" i="59"/>
  <c r="N71" i="59"/>
  <c r="Q70" i="59"/>
  <c r="P70" i="59"/>
  <c r="O70" i="59"/>
  <c r="N70" i="59"/>
  <c r="D70" i="59"/>
  <c r="Q69" i="59"/>
  <c r="P69" i="59"/>
  <c r="O69" i="59"/>
  <c r="N69" i="59"/>
  <c r="F69" i="59"/>
  <c r="V69" i="59" s="1"/>
  <c r="E69" i="59"/>
  <c r="C69" i="59"/>
  <c r="B69" i="59"/>
  <c r="S69" i="59" s="1"/>
  <c r="Q68" i="59"/>
  <c r="P68" i="59"/>
  <c r="O68" i="59"/>
  <c r="N68" i="59"/>
  <c r="Q67" i="59"/>
  <c r="P67" i="59"/>
  <c r="O67" i="59"/>
  <c r="N67" i="59"/>
  <c r="Q66" i="59"/>
  <c r="P66" i="59"/>
  <c r="O66" i="59"/>
  <c r="N66" i="59"/>
  <c r="D66" i="59"/>
  <c r="F65" i="59"/>
  <c r="V65" i="59" s="1"/>
  <c r="E65" i="59"/>
  <c r="U65" i="59" s="1"/>
  <c r="C65" i="59"/>
  <c r="B65" i="59"/>
  <c r="S65" i="59" s="1"/>
  <c r="B64" i="59"/>
  <c r="D62" i="59"/>
  <c r="Q61" i="59"/>
  <c r="P61" i="59"/>
  <c r="O61" i="59"/>
  <c r="N61" i="59"/>
  <c r="Q60" i="59"/>
  <c r="P60" i="59"/>
  <c r="O60" i="59"/>
  <c r="N60" i="59"/>
  <c r="Q59" i="59"/>
  <c r="P59" i="59"/>
  <c r="O59" i="59"/>
  <c r="N59" i="59"/>
  <c r="Q58" i="59"/>
  <c r="F59" i="59"/>
  <c r="F60" i="59" s="1"/>
  <c r="F61" i="59" s="1"/>
  <c r="V61" i="59" s="1"/>
  <c r="P58" i="59"/>
  <c r="E59" i="59" s="1"/>
  <c r="E60" i="59" s="1"/>
  <c r="E61" i="59" s="1"/>
  <c r="U61" i="59" s="1"/>
  <c r="O58" i="59"/>
  <c r="C59" i="59" s="1"/>
  <c r="N58" i="59"/>
  <c r="B59" i="59"/>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c r="F52" i="59" s="1"/>
  <c r="F53" i="59" s="1"/>
  <c r="V53" i="59" s="1"/>
  <c r="P50" i="59"/>
  <c r="E51" i="59" s="1"/>
  <c r="E52" i="59" s="1"/>
  <c r="E53" i="59" s="1"/>
  <c r="U53" i="59" s="1"/>
  <c r="O50" i="59"/>
  <c r="C51" i="59" s="1"/>
  <c r="N50" i="59"/>
  <c r="B51" i="59"/>
  <c r="B52" i="59" s="1"/>
  <c r="B53" i="59" s="1"/>
  <c r="S53" i="59" s="1"/>
  <c r="D50" i="59"/>
  <c r="Q49" i="59"/>
  <c r="P49" i="59"/>
  <c r="O49" i="59"/>
  <c r="N49" i="59"/>
  <c r="Q48" i="59"/>
  <c r="P48" i="59"/>
  <c r="O48" i="59"/>
  <c r="N48" i="59"/>
  <c r="Q47" i="59"/>
  <c r="P47" i="59"/>
  <c r="O47" i="59"/>
  <c r="N47" i="59"/>
  <c r="Q46" i="59"/>
  <c r="F47" i="59"/>
  <c r="F48" i="59" s="1"/>
  <c r="F49" i="59" s="1"/>
  <c r="V49" i="59" s="1"/>
  <c r="P46" i="59"/>
  <c r="E47" i="59" s="1"/>
  <c r="E48" i="59" s="1"/>
  <c r="E49" i="59" s="1"/>
  <c r="U49" i="59" s="1"/>
  <c r="O46" i="59"/>
  <c r="C47" i="59"/>
  <c r="N46" i="59"/>
  <c r="B47" i="59"/>
  <c r="B48" i="59" s="1"/>
  <c r="B49" i="59" s="1"/>
  <c r="S49" i="59" s="1"/>
  <c r="D46" i="59"/>
  <c r="T45" i="59"/>
  <c r="Q45" i="59"/>
  <c r="P45" i="59"/>
  <c r="O45" i="59"/>
  <c r="N45" i="59"/>
  <c r="D45" i="59"/>
  <c r="Q44" i="59"/>
  <c r="P44" i="59"/>
  <c r="O44" i="59"/>
  <c r="N44" i="59"/>
  <c r="Q43" i="59"/>
  <c r="P43" i="59"/>
  <c r="O43" i="59"/>
  <c r="N43" i="59"/>
  <c r="Q42" i="59"/>
  <c r="F43" i="59" s="1"/>
  <c r="F44" i="59" s="1"/>
  <c r="F45" i="59" s="1"/>
  <c r="V45" i="59" s="1"/>
  <c r="P42" i="59"/>
  <c r="E43" i="59" s="1"/>
  <c r="E44" i="59" s="1"/>
  <c r="E45" i="59" s="1"/>
  <c r="U45" i="59" s="1"/>
  <c r="O42" i="59"/>
  <c r="C43" i="59"/>
  <c r="N42" i="59"/>
  <c r="B43" i="59"/>
  <c r="B44" i="59" s="1"/>
  <c r="B45" i="59" s="1"/>
  <c r="S45" i="59" s="1"/>
  <c r="D42" i="59"/>
  <c r="Q41" i="59"/>
  <c r="P41" i="59"/>
  <c r="O41" i="59"/>
  <c r="N41" i="59"/>
  <c r="Q40" i="59"/>
  <c r="P40" i="59"/>
  <c r="O40" i="59"/>
  <c r="N40" i="59"/>
  <c r="Q39" i="59"/>
  <c r="P39" i="59"/>
  <c r="O39" i="59"/>
  <c r="N39" i="59"/>
  <c r="Q38" i="59"/>
  <c r="F39" i="59" s="1"/>
  <c r="F40" i="59" s="1"/>
  <c r="F41" i="59" s="1"/>
  <c r="V41" i="59" s="1"/>
  <c r="P38" i="59"/>
  <c r="E39" i="59" s="1"/>
  <c r="E40" i="59" s="1"/>
  <c r="E41" i="59" s="1"/>
  <c r="U41" i="59" s="1"/>
  <c r="O38" i="59"/>
  <c r="C39" i="59"/>
  <c r="N38" i="59"/>
  <c r="B39" i="59"/>
  <c r="B40" i="59" s="1"/>
  <c r="B41" i="59" s="1"/>
  <c r="S41" i="59" s="1"/>
  <c r="D38" i="59"/>
  <c r="Q37" i="59"/>
  <c r="P37" i="59"/>
  <c r="O37" i="59"/>
  <c r="N37" i="59"/>
  <c r="Q36" i="59"/>
  <c r="AB36" i="59" s="1"/>
  <c r="P36" i="59"/>
  <c r="AA36" i="59"/>
  <c r="O36" i="59"/>
  <c r="Y36" i="59"/>
  <c r="Z36" i="59" s="1"/>
  <c r="N36" i="59"/>
  <c r="X36" i="59" s="1"/>
  <c r="Z35" i="59"/>
  <c r="Q35" i="59"/>
  <c r="P35" i="59"/>
  <c r="AA35" i="59" s="1"/>
  <c r="O35" i="59"/>
  <c r="Y35" i="59" s="1"/>
  <c r="N35" i="59"/>
  <c r="X35" i="59" s="1"/>
  <c r="Q34" i="59"/>
  <c r="P34" i="59"/>
  <c r="AA34" i="59" s="1"/>
  <c r="O34" i="59"/>
  <c r="Y34" i="59" s="1"/>
  <c r="Z34" i="59" s="1"/>
  <c r="C35" i="59"/>
  <c r="N34" i="59"/>
  <c r="B35" i="59"/>
  <c r="B36" i="59" s="1"/>
  <c r="B37" i="59" s="1"/>
  <c r="S37" i="59" s="1"/>
  <c r="D34" i="59"/>
  <c r="Q33" i="59"/>
  <c r="P33" i="59"/>
  <c r="AA33" i="59" s="1"/>
  <c r="O33" i="59"/>
  <c r="Y33" i="59" s="1"/>
  <c r="Z33" i="59" s="1"/>
  <c r="N33" i="59"/>
  <c r="X33" i="59" s="1"/>
  <c r="Q32" i="59"/>
  <c r="P32" i="59"/>
  <c r="AA32" i="59" s="1"/>
  <c r="O32" i="59"/>
  <c r="Y32" i="59" s="1"/>
  <c r="Z32" i="59" s="1"/>
  <c r="N32" i="59"/>
  <c r="X32" i="59" s="1"/>
  <c r="Q31" i="59"/>
  <c r="P31" i="59"/>
  <c r="AA31" i="59" s="1"/>
  <c r="O31" i="59"/>
  <c r="Y31" i="59" s="1"/>
  <c r="Z31" i="59" s="1"/>
  <c r="N31" i="59"/>
  <c r="X31" i="59" s="1"/>
  <c r="Q30" i="59"/>
  <c r="AB30" i="59" s="1"/>
  <c r="P30" i="59"/>
  <c r="AA30" i="59" s="1"/>
  <c r="O30" i="59"/>
  <c r="Y30" i="59" s="1"/>
  <c r="Z30" i="59" s="1"/>
  <c r="C31" i="59"/>
  <c r="N30" i="59"/>
  <c r="B31" i="59"/>
  <c r="B32" i="59" s="1"/>
  <c r="B33" i="59" s="1"/>
  <c r="S33" i="59" s="1"/>
  <c r="D30" i="59"/>
  <c r="Q29" i="59"/>
  <c r="AB29" i="59" s="1"/>
  <c r="P29" i="59"/>
  <c r="AA29" i="59" s="1"/>
  <c r="O29" i="59"/>
  <c r="Y29" i="59" s="1"/>
  <c r="Z29" i="59" s="1"/>
  <c r="N29" i="59"/>
  <c r="X29" i="59" s="1"/>
  <c r="Q28" i="59"/>
  <c r="AB28" i="59" s="1"/>
  <c r="P28" i="59"/>
  <c r="AA28" i="59" s="1"/>
  <c r="O28" i="59"/>
  <c r="Y28" i="59" s="1"/>
  <c r="Z28" i="59" s="1"/>
  <c r="N28" i="59"/>
  <c r="X28" i="59" s="1"/>
  <c r="Q27" i="59"/>
  <c r="AB27" i="59" s="1"/>
  <c r="P27" i="59"/>
  <c r="AA27" i="59" s="1"/>
  <c r="O27" i="59"/>
  <c r="Y27" i="59" s="1"/>
  <c r="Z27" i="59" s="1"/>
  <c r="N27" i="59"/>
  <c r="X27" i="59" s="1"/>
  <c r="Q26" i="59"/>
  <c r="AB26" i="59" s="1"/>
  <c r="P26" i="59"/>
  <c r="AA26" i="59" s="1"/>
  <c r="O26" i="59"/>
  <c r="Y26" i="59" s="1"/>
  <c r="Z26" i="59" s="1"/>
  <c r="C27" i="59"/>
  <c r="N26" i="59"/>
  <c r="B27" i="59"/>
  <c r="B28" i="59" s="1"/>
  <c r="B29" i="59" s="1"/>
  <c r="S29" i="59" s="1"/>
  <c r="D26" i="59"/>
  <c r="O25" i="59"/>
  <c r="N25" i="59"/>
  <c r="B25" i="59" s="1"/>
  <c r="C25" i="59"/>
  <c r="T25" i="59"/>
  <c r="Y22" i="59"/>
  <c r="Z22" i="59"/>
  <c r="Y23" i="59"/>
  <c r="Z23" i="59"/>
  <c r="Y25" i="59"/>
  <c r="Z25" i="59"/>
  <c r="Y24" i="59"/>
  <c r="Z24" i="59"/>
  <c r="X25" i="59"/>
  <c r="X22" i="59"/>
  <c r="C28" i="59"/>
  <c r="D27" i="59"/>
  <c r="C32" i="59"/>
  <c r="D31" i="59"/>
  <c r="C36" i="59"/>
  <c r="D35" i="59"/>
  <c r="C40" i="59"/>
  <c r="D39" i="59"/>
  <c r="C44" i="59"/>
  <c r="D44" i="59" s="1"/>
  <c r="D43" i="59"/>
  <c r="C48" i="59"/>
  <c r="D47" i="59"/>
  <c r="P25" i="59"/>
  <c r="U69" i="59"/>
  <c r="E68" i="59"/>
  <c r="E67" i="59" s="1"/>
  <c r="Q25" i="59"/>
  <c r="F25" i="59" s="1"/>
  <c r="N64" i="59"/>
  <c r="B63" i="59"/>
  <c r="T65" i="59"/>
  <c r="O65" i="59"/>
  <c r="D65" i="59"/>
  <c r="C64" i="59"/>
  <c r="T69" i="59"/>
  <c r="D69" i="59"/>
  <c r="C68" i="59"/>
  <c r="Q65" i="59"/>
  <c r="C72" i="59"/>
  <c r="E72" i="59"/>
  <c r="E71" i="59"/>
  <c r="D73" i="59"/>
  <c r="C76" i="59"/>
  <c r="E76" i="59"/>
  <c r="E75" i="59"/>
  <c r="D77" i="59"/>
  <c r="C80" i="59"/>
  <c r="C84" i="59"/>
  <c r="AB3" i="59"/>
  <c r="AB23" i="59"/>
  <c r="AB24" i="59"/>
  <c r="AB25" i="59"/>
  <c r="E25" i="59"/>
  <c r="AA23" i="59"/>
  <c r="AA24" i="59"/>
  <c r="AA25" i="59"/>
  <c r="AA3" i="59"/>
  <c r="AA22" i="59"/>
  <c r="C24" i="59"/>
  <c r="D25" i="59"/>
  <c r="D80" i="59"/>
  <c r="C79" i="59"/>
  <c r="D79" i="59" s="1"/>
  <c r="D72" i="59"/>
  <c r="C71" i="59"/>
  <c r="D71" i="59"/>
  <c r="C67" i="59"/>
  <c r="D67" i="59"/>
  <c r="D68" i="59"/>
  <c r="C49" i="59"/>
  <c r="T49" i="59" s="1"/>
  <c r="D48" i="59"/>
  <c r="D84" i="59"/>
  <c r="C83" i="59"/>
  <c r="D83" i="59"/>
  <c r="D76" i="59"/>
  <c r="C75" i="59"/>
  <c r="D75" i="59" s="1"/>
  <c r="C63" i="59"/>
  <c r="D63" i="59" s="1"/>
  <c r="O64" i="59"/>
  <c r="D64" i="59"/>
  <c r="N62" i="59"/>
  <c r="N63" i="59"/>
  <c r="C41" i="59"/>
  <c r="D40" i="59"/>
  <c r="C37" i="59"/>
  <c r="D36" i="59"/>
  <c r="C33" i="59"/>
  <c r="D32" i="59"/>
  <c r="C29" i="59"/>
  <c r="D28" i="59"/>
  <c r="D24" i="59"/>
  <c r="C23" i="59"/>
  <c r="D23" i="59" s="1"/>
  <c r="E24" i="59"/>
  <c r="E23" i="59" s="1"/>
  <c r="U25" i="59"/>
  <c r="O63" i="59"/>
  <c r="O62" i="59"/>
  <c r="D49" i="59"/>
  <c r="T29" i="59"/>
  <c r="D29" i="59"/>
  <c r="T33" i="59"/>
  <c r="D33" i="59"/>
  <c r="T37" i="59"/>
  <c r="D37" i="59"/>
  <c r="T41" i="59"/>
  <c r="D41" i="59"/>
  <c r="Q25" i="40"/>
  <c r="Z25" i="40" s="1"/>
  <c r="D94" i="40"/>
  <c r="E94" i="40" s="1"/>
  <c r="F94" i="40" s="1"/>
  <c r="H25" i="40"/>
  <c r="U25" i="40" s="1"/>
  <c r="F25" i="40"/>
  <c r="AA25" i="40" s="1"/>
  <c r="Q27" i="39"/>
  <c r="Z27" i="39" s="1"/>
  <c r="D101" i="39"/>
  <c r="E101" i="39"/>
  <c r="F101" i="39" s="1"/>
  <c r="Z18" i="36"/>
  <c r="Q18" i="36"/>
  <c r="F18" i="36"/>
  <c r="AA18" i="36" s="1"/>
  <c r="C18" i="36"/>
  <c r="D66" i="36"/>
  <c r="E66" i="36" s="1"/>
  <c r="F66" i="36" s="1"/>
  <c r="G66" i="36" s="1"/>
  <c r="Q18" i="35"/>
  <c r="Z18" i="35" s="1"/>
  <c r="D68" i="35"/>
  <c r="E68" i="35"/>
  <c r="F68" i="35" s="1"/>
  <c r="G68" i="35" s="1"/>
  <c r="J18" i="35"/>
  <c r="AC18" i="35"/>
  <c r="H18" i="35"/>
  <c r="AB18" i="35"/>
  <c r="F18" i="35"/>
  <c r="AA18" i="35"/>
  <c r="C18" i="35"/>
  <c r="Z21" i="37"/>
  <c r="Q21" i="37"/>
  <c r="D77" i="37"/>
  <c r="E77" i="37" s="1"/>
  <c r="F77" i="37" s="1"/>
  <c r="H21" i="37"/>
  <c r="AB21" i="37"/>
  <c r="F21" i="37"/>
  <c r="AA21" i="37" s="1"/>
  <c r="C21" i="37"/>
  <c r="Q21" i="34"/>
  <c r="Z21" i="34" s="1"/>
  <c r="D84" i="34"/>
  <c r="E84" i="34" s="1"/>
  <c r="F84" i="34" s="1"/>
  <c r="G84" i="34" s="1"/>
  <c r="F21" i="34"/>
  <c r="AA21" i="34" s="1"/>
  <c r="C21" i="34"/>
  <c r="Z21" i="33"/>
  <c r="Q21" i="33"/>
  <c r="D83" i="33"/>
  <c r="E83" i="33" s="1"/>
  <c r="F83" i="33" s="1"/>
  <c r="G83" i="33" s="1"/>
  <c r="H21" i="33"/>
  <c r="AB21" i="33" s="1"/>
  <c r="F21" i="33"/>
  <c r="AA21" i="33" s="1"/>
  <c r="C21" i="33"/>
  <c r="Q21" i="21"/>
  <c r="Z21" i="21" s="1"/>
  <c r="D83" i="21"/>
  <c r="E83" i="21"/>
  <c r="F21" i="21"/>
  <c r="AA21" i="21"/>
  <c r="C21" i="21"/>
  <c r="G20" i="20"/>
  <c r="C22" i="20"/>
  <c r="AB25" i="40"/>
  <c r="S25" i="40"/>
  <c r="S18" i="36"/>
  <c r="W18" i="35"/>
  <c r="U18" i="35"/>
  <c r="S18" i="35"/>
  <c r="U21" i="37"/>
  <c r="S21" i="37"/>
  <c r="U21" i="33"/>
  <c r="S21" i="33"/>
  <c r="S21" i="21"/>
  <c r="G94" i="40"/>
  <c r="J25" i="40"/>
  <c r="G101" i="39"/>
  <c r="J27" i="39"/>
  <c r="H27" i="39"/>
  <c r="F27" i="39"/>
  <c r="H18" i="36"/>
  <c r="J18" i="36"/>
  <c r="G77" i="37"/>
  <c r="J21" i="37"/>
  <c r="H21" i="34"/>
  <c r="U21" i="34" s="1"/>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C2" i="33"/>
  <c r="F2" i="33" s="1"/>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J15" i="4"/>
  <c r="J14" i="4"/>
  <c r="J13" i="4"/>
  <c r="I5" i="4"/>
  <c r="L4" i="9"/>
  <c r="M4" i="9"/>
  <c r="A18" i="54" s="1"/>
  <c r="B15" i="60" s="1"/>
  <c r="F16" i="4"/>
  <c r="A5" i="55"/>
  <c r="B54" i="60" s="1"/>
  <c r="A4" i="55"/>
  <c r="B52" i="60" s="1"/>
  <c r="C8" i="11"/>
  <c r="H16" i="48"/>
  <c r="D16" i="48"/>
  <c r="B21" i="49"/>
  <c r="B5" i="60" s="1"/>
  <c r="B12" i="49"/>
  <c r="B3" i="60" s="1"/>
  <c r="I2" i="43"/>
  <c r="H6" i="44" s="1"/>
  <c r="G2" i="43"/>
  <c r="E31" i="4"/>
  <c r="C7" i="4"/>
  <c r="G3" i="43"/>
  <c r="G22" i="43" s="1"/>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C20" i="12" s="1"/>
  <c r="E17" i="12"/>
  <c r="F22" i="12"/>
  <c r="F23" i="12"/>
  <c r="F24" i="12"/>
  <c r="C17" i="9"/>
  <c r="D17" i="9"/>
  <c r="C18" i="9" s="1"/>
  <c r="D18" i="9" s="1"/>
  <c r="I55" i="9"/>
  <c r="F55" i="9"/>
  <c r="P53" i="9" s="1"/>
  <c r="D89" i="9"/>
  <c r="C89" i="9" s="1"/>
  <c r="C87" i="9" s="1"/>
  <c r="E19" i="1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H30" i="36"/>
  <c r="F30" i="36"/>
  <c r="AA30" i="36" s="1"/>
  <c r="C79" i="35"/>
  <c r="J31" i="35"/>
  <c r="H31" i="35"/>
  <c r="AB31" i="35" s="1"/>
  <c r="F31" i="35"/>
  <c r="D87" i="35"/>
  <c r="E87" i="35"/>
  <c r="F87" i="35" s="1"/>
  <c r="G87" i="35"/>
  <c r="H87" i="35" s="1"/>
  <c r="I87" i="35" s="1"/>
  <c r="J87" i="35" s="1"/>
  <c r="K87" i="35" s="1"/>
  <c r="L87" i="35" s="1"/>
  <c r="M87" i="35" s="1"/>
  <c r="H29" i="35"/>
  <c r="H34" i="37"/>
  <c r="AB34" i="37" s="1"/>
  <c r="D101" i="37"/>
  <c r="F34" i="37"/>
  <c r="AA34" i="37" s="1"/>
  <c r="D99" i="37"/>
  <c r="E99" i="37" s="1"/>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c r="I111" i="33" s="1"/>
  <c r="J111" i="33" s="1"/>
  <c r="K111" i="33" s="1"/>
  <c r="L111" i="33" s="1"/>
  <c r="M111" i="33" s="1"/>
  <c r="S518" i="31"/>
  <c r="S519" i="31"/>
  <c r="S520" i="31"/>
  <c r="S521" i="31"/>
  <c r="S522" i="31"/>
  <c r="S523" i="31"/>
  <c r="S524" i="31"/>
  <c r="S525" i="31"/>
  <c r="S526" i="31"/>
  <c r="S527" i="31"/>
  <c r="F41" i="21"/>
  <c r="J41" i="21"/>
  <c r="AC41" i="21"/>
  <c r="H41" i="21"/>
  <c r="D81" i="39"/>
  <c r="E81" i="39" s="1"/>
  <c r="F81" i="39"/>
  <c r="G81" i="39" s="1"/>
  <c r="H81" i="39" s="1"/>
  <c r="I81" i="39" s="1"/>
  <c r="J81" i="39"/>
  <c r="K81" i="39" s="1"/>
  <c r="L81" i="39" s="1"/>
  <c r="M81" i="39" s="1"/>
  <c r="D76" i="40"/>
  <c r="E76" i="40" s="1"/>
  <c r="F76" i="40" s="1"/>
  <c r="G76" i="40" s="1"/>
  <c r="H76" i="40"/>
  <c r="I76" i="40" s="1"/>
  <c r="J76" i="40" s="1"/>
  <c r="K76" i="40" s="1"/>
  <c r="L76" i="40" s="1"/>
  <c r="M76" i="40" s="1"/>
  <c r="B120" i="40"/>
  <c r="B118" i="40"/>
  <c r="B116" i="40"/>
  <c r="D115" i="40"/>
  <c r="E115" i="40"/>
  <c r="F115" i="40" s="1"/>
  <c r="G115" i="40"/>
  <c r="H115" i="40" s="1"/>
  <c r="I115" i="40" s="1"/>
  <c r="J115" i="40" s="1"/>
  <c r="K115" i="40"/>
  <c r="L115" i="40" s="1"/>
  <c r="M115" i="40" s="1"/>
  <c r="D113" i="40"/>
  <c r="E113" i="40"/>
  <c r="F113" i="40" s="1"/>
  <c r="G113" i="40"/>
  <c r="H113" i="40" s="1"/>
  <c r="I113" i="40" s="1"/>
  <c r="J113" i="40" s="1"/>
  <c r="K113" i="40"/>
  <c r="L113" i="40" s="1"/>
  <c r="M113" i="40" s="1"/>
  <c r="D111" i="40"/>
  <c r="E111" i="40"/>
  <c r="F111" i="40" s="1"/>
  <c r="G111" i="40"/>
  <c r="H111" i="40" s="1"/>
  <c r="I111" i="40" s="1"/>
  <c r="J111" i="40" s="1"/>
  <c r="K111" i="40"/>
  <c r="L111" i="40" s="1"/>
  <c r="M111" i="40" s="1"/>
  <c r="M107" i="40"/>
  <c r="L107" i="40"/>
  <c r="K107" i="40"/>
  <c r="J107" i="40"/>
  <c r="I107" i="40"/>
  <c r="H107" i="40"/>
  <c r="G107" i="40"/>
  <c r="F107" i="40"/>
  <c r="E107" i="40"/>
  <c r="D107" i="40"/>
  <c r="C107" i="40"/>
  <c r="B105" i="40"/>
  <c r="J33" i="40" s="1"/>
  <c r="AC33" i="40"/>
  <c r="B103" i="40"/>
  <c r="J32" i="40"/>
  <c r="AC32" i="40" s="1"/>
  <c r="B101" i="40"/>
  <c r="J31" i="40" s="1"/>
  <c r="AC31" i="40"/>
  <c r="D100" i="40"/>
  <c r="E100" i="40"/>
  <c r="F100" i="40" s="1"/>
  <c r="G100" i="40" s="1"/>
  <c r="H100" i="40" s="1"/>
  <c r="I100" i="40"/>
  <c r="J100" i="40" s="1"/>
  <c r="K100" i="40" s="1"/>
  <c r="L100" i="40" s="1"/>
  <c r="M100" i="40" s="1"/>
  <c r="D98" i="40"/>
  <c r="E98" i="40"/>
  <c r="D96" i="40"/>
  <c r="E96" i="40"/>
  <c r="B95" i="40"/>
  <c r="D92" i="40"/>
  <c r="E92" i="40" s="1"/>
  <c r="F92" i="40" s="1"/>
  <c r="G92" i="40" s="1"/>
  <c r="D90" i="40"/>
  <c r="E90" i="40" s="1"/>
  <c r="D88" i="40"/>
  <c r="E88" i="40" s="1"/>
  <c r="F88" i="40"/>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c r="D109" i="39"/>
  <c r="F34" i="39"/>
  <c r="AA34" i="39" s="1"/>
  <c r="D107" i="39"/>
  <c r="E107" i="39" s="1"/>
  <c r="F107" i="39"/>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c r="G105" i="37" s="1"/>
  <c r="D103" i="37"/>
  <c r="J35" i="37"/>
  <c r="G97" i="37"/>
  <c r="F97" i="37"/>
  <c r="E97" i="37"/>
  <c r="D97" i="37"/>
  <c r="C97" i="37"/>
  <c r="D96" i="37"/>
  <c r="E96" i="37"/>
  <c r="F96" i="37" s="1"/>
  <c r="G96" i="37"/>
  <c r="H96" i="37" s="1"/>
  <c r="I96" i="37" s="1"/>
  <c r="J96" i="37" s="1"/>
  <c r="K96" i="37" s="1"/>
  <c r="L96" i="37" s="1"/>
  <c r="M96" i="37" s="1"/>
  <c r="D94" i="37"/>
  <c r="E94" i="37"/>
  <c r="F94" i="37" s="1"/>
  <c r="G94" i="37"/>
  <c r="H94" i="37" s="1"/>
  <c r="I94" i="37" s="1"/>
  <c r="J94" i="37" s="1"/>
  <c r="K94" i="37" s="1"/>
  <c r="L94" i="37" s="1"/>
  <c r="M94" i="37" s="1"/>
  <c r="M90" i="37"/>
  <c r="L90" i="37"/>
  <c r="K90" i="37"/>
  <c r="J90" i="37"/>
  <c r="I90" i="37"/>
  <c r="H90" i="37"/>
  <c r="G90" i="37"/>
  <c r="F90" i="37"/>
  <c r="E90" i="37"/>
  <c r="D90" i="37"/>
  <c r="C90" i="37"/>
  <c r="D89" i="37"/>
  <c r="E89" i="37" s="1"/>
  <c r="F89" i="37"/>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H14" i="36"/>
  <c r="AB14" i="36"/>
  <c r="B59" i="36"/>
  <c r="B57" i="36"/>
  <c r="B55" i="36"/>
  <c r="F54" i="36"/>
  <c r="G54" i="36" s="1"/>
  <c r="H54" i="36"/>
  <c r="I54" i="36" s="1"/>
  <c r="C51" i="36"/>
  <c r="H9" i="36" s="1"/>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F32" i="34" s="1"/>
  <c r="B97" i="34"/>
  <c r="B95" i="34"/>
  <c r="B93" i="34"/>
  <c r="B75" i="34"/>
  <c r="B73" i="34"/>
  <c r="H13" i="34" s="1"/>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S19" i="34" s="1"/>
  <c r="D80" i="34"/>
  <c r="E80" i="34" s="1"/>
  <c r="D78" i="34"/>
  <c r="E78" i="34" s="1"/>
  <c r="F78" i="34" s="1"/>
  <c r="G78" i="34" s="1"/>
  <c r="F15" i="34"/>
  <c r="AA15" i="34" s="1"/>
  <c r="D70" i="34"/>
  <c r="E70" i="34" s="1"/>
  <c r="F70" i="34" s="1"/>
  <c r="G70" i="34" s="1"/>
  <c r="H70" i="34" s="1"/>
  <c r="I70" i="34" s="1"/>
  <c r="J70" i="34" s="1"/>
  <c r="K70" i="34" s="1"/>
  <c r="L70" i="34" s="1"/>
  <c r="M70" i="34" s="1"/>
  <c r="F11" i="34"/>
  <c r="S11"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s="1"/>
  <c r="Q31" i="34"/>
  <c r="Z31" i="34" s="1"/>
  <c r="Q30" i="34"/>
  <c r="Z30" i="34" s="1"/>
  <c r="Q29" i="34"/>
  <c r="Z29" i="34" s="1"/>
  <c r="Q28" i="34"/>
  <c r="Z28" i="34" s="1"/>
  <c r="Q27" i="34"/>
  <c r="Z27" i="34"/>
  <c r="Q25" i="34"/>
  <c r="Z25" i="34"/>
  <c r="Q23" i="34"/>
  <c r="Z23" i="34"/>
  <c r="C23" i="34"/>
  <c r="Q19" i="34"/>
  <c r="Z19" i="34" s="1"/>
  <c r="C19" i="34"/>
  <c r="Q17" i="34"/>
  <c r="Z17" i="34"/>
  <c r="C17" i="34"/>
  <c r="Q15" i="34"/>
  <c r="Z15" i="34" s="1"/>
  <c r="Q14" i="34"/>
  <c r="Z14" i="34" s="1"/>
  <c r="Q13" i="34"/>
  <c r="Z13" i="34" s="1"/>
  <c r="Q12" i="34"/>
  <c r="Z12" i="34" s="1"/>
  <c r="J12" i="34"/>
  <c r="AC12" i="34" s="1"/>
  <c r="H12" i="34"/>
  <c r="U12" i="34"/>
  <c r="F12" i="34"/>
  <c r="Q11" i="34"/>
  <c r="Z11" i="34" s="1"/>
  <c r="Q10" i="34"/>
  <c r="Z10" i="34" s="1"/>
  <c r="F10" i="34"/>
  <c r="S10" i="34" s="1"/>
  <c r="Q9" i="34"/>
  <c r="Z9" i="34"/>
  <c r="J8" i="34"/>
  <c r="AC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J35" i="33"/>
  <c r="AC35" i="33" s="1"/>
  <c r="D106" i="33"/>
  <c r="E106" i="33" s="1"/>
  <c r="F106" i="33"/>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c r="G85" i="33" s="1"/>
  <c r="D81" i="33"/>
  <c r="E81" i="33" s="1"/>
  <c r="F81" i="33"/>
  <c r="G81" i="33" s="1"/>
  <c r="D79" i="33"/>
  <c r="E79" i="33" s="1"/>
  <c r="F79" i="33"/>
  <c r="G79" i="33" s="1"/>
  <c r="D77" i="33"/>
  <c r="E77" i="33" s="1"/>
  <c r="F77" i="33"/>
  <c r="G77" i="33" s="1"/>
  <c r="D69" i="33"/>
  <c r="E69" i="33" s="1"/>
  <c r="F69" i="33"/>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F12" i="33"/>
  <c r="S12" i="33" s="1"/>
  <c r="Q11" i="33"/>
  <c r="Z11" i="33" s="1"/>
  <c r="Q10" i="33"/>
  <c r="Z10" i="33" s="1"/>
  <c r="F10" i="33"/>
  <c r="AA10" i="33" s="1"/>
  <c r="Q9" i="33"/>
  <c r="Z9" i="33" s="1"/>
  <c r="J8" i="33"/>
  <c r="AC8" i="33" s="1"/>
  <c r="H8" i="33"/>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C20" i="20"/>
  <c r="B77" i="43" s="1"/>
  <c r="C18" i="20"/>
  <c r="B71" i="43" s="1"/>
  <c r="C17" i="20"/>
  <c r="B59" i="43" s="1"/>
  <c r="C16" i="20"/>
  <c r="B48" i="43" s="1"/>
  <c r="C15" i="20"/>
  <c r="B70" i="43" s="1"/>
  <c r="E54" i="21"/>
  <c r="F54" i="21"/>
  <c r="I54" i="21"/>
  <c r="J54" i="21"/>
  <c r="G54" i="21"/>
  <c r="H54" i="21"/>
  <c r="D125" i="21"/>
  <c r="E125" i="21"/>
  <c r="F125" i="21" s="1"/>
  <c r="G125" i="21" s="1"/>
  <c r="D123" i="21"/>
  <c r="E123" i="21"/>
  <c r="F123" i="21" s="1"/>
  <c r="G123" i="21"/>
  <c r="H123" i="21" s="1"/>
  <c r="I123" i="21" s="1"/>
  <c r="J123" i="21" s="1"/>
  <c r="K123" i="21" s="1"/>
  <c r="L123" i="21" s="1"/>
  <c r="M123" i="21" s="1"/>
  <c r="F42" i="21"/>
  <c r="AA42" i="21"/>
  <c r="D119" i="21"/>
  <c r="D117" i="21"/>
  <c r="E117" i="21" s="1"/>
  <c r="D115" i="21"/>
  <c r="E115" i="21" s="1"/>
  <c r="F115" i="21" s="1"/>
  <c r="G115" i="21" s="1"/>
  <c r="H115" i="21" s="1"/>
  <c r="I115" i="21" s="1"/>
  <c r="J115" i="21" s="1"/>
  <c r="K115" i="21" s="1"/>
  <c r="L115" i="21" s="1"/>
  <c r="M115" i="21" s="1"/>
  <c r="D113" i="21"/>
  <c r="E113" i="21" s="1"/>
  <c r="F113" i="21"/>
  <c r="G113" i="21" s="1"/>
  <c r="H113" i="21" s="1"/>
  <c r="F37" i="21"/>
  <c r="AA37" i="21"/>
  <c r="D110" i="21"/>
  <c r="E110" i="21"/>
  <c r="F110" i="21" s="1"/>
  <c r="G110" i="21"/>
  <c r="H110" i="21" s="1"/>
  <c r="I110" i="21" s="1"/>
  <c r="J110" i="21" s="1"/>
  <c r="K110" i="21" s="1"/>
  <c r="L110" i="21" s="1"/>
  <c r="M110" i="21" s="1"/>
  <c r="J36" i="21"/>
  <c r="D108" i="21"/>
  <c r="E108" i="21" s="1"/>
  <c r="F108" i="2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E85" i="21"/>
  <c r="F85" i="21" s="1"/>
  <c r="G85" i="21" s="1"/>
  <c r="D81" i="21"/>
  <c r="E81" i="21"/>
  <c r="F81" i="21" s="1"/>
  <c r="G81" i="21"/>
  <c r="D77" i="21"/>
  <c r="E77" i="21"/>
  <c r="F77" i="21" s="1"/>
  <c r="G77" i="21" s="1"/>
  <c r="H15" i="21"/>
  <c r="B130" i="21"/>
  <c r="B128" i="21"/>
  <c r="B126" i="21"/>
  <c r="B98" i="21"/>
  <c r="B96" i="21"/>
  <c r="B94" i="21"/>
  <c r="B92" i="21"/>
  <c r="B90" i="21"/>
  <c r="B74" i="21"/>
  <c r="B72" i="21"/>
  <c r="B70" i="2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s="1"/>
  <c r="U14" i="37"/>
  <c r="W30" i="37"/>
  <c r="F29" i="36"/>
  <c r="AA29" i="36" s="1"/>
  <c r="F16" i="36"/>
  <c r="S16" i="36" s="1"/>
  <c r="U22" i="36"/>
  <c r="S23" i="36"/>
  <c r="W23" i="36"/>
  <c r="W22" i="36"/>
  <c r="AA31" i="36"/>
  <c r="AC31" i="36"/>
  <c r="W31" i="36"/>
  <c r="U31" i="36"/>
  <c r="J33" i="36"/>
  <c r="W33" i="36" s="1"/>
  <c r="AB34" i="36"/>
  <c r="H22" i="35"/>
  <c r="AB22" i="35"/>
  <c r="U31" i="35"/>
  <c r="S32" i="35"/>
  <c r="S31" i="35"/>
  <c r="W31" i="35"/>
  <c r="U32" i="35"/>
  <c r="F36" i="34"/>
  <c r="AA36" i="34" s="1"/>
  <c r="H39" i="33"/>
  <c r="AB39" i="33" s="1"/>
  <c r="F26" i="33"/>
  <c r="S40" i="33"/>
  <c r="W8" i="21"/>
  <c r="AC38" i="21"/>
  <c r="H39" i="37"/>
  <c r="AB39" i="37"/>
  <c r="S27" i="35"/>
  <c r="F11" i="40"/>
  <c r="AA11" i="40" s="1"/>
  <c r="S8" i="40"/>
  <c r="H11" i="40"/>
  <c r="AB11" i="40"/>
  <c r="W8" i="40"/>
  <c r="U9" i="40"/>
  <c r="S34" i="40"/>
  <c r="U34" i="40"/>
  <c r="S39" i="40"/>
  <c r="W39" i="40"/>
  <c r="F42" i="39"/>
  <c r="AA42" i="39"/>
  <c r="F41" i="39"/>
  <c r="AA41" i="39"/>
  <c r="H40" i="39"/>
  <c r="AB40" i="39"/>
  <c r="H39" i="39"/>
  <c r="U39" i="39"/>
  <c r="S38" i="39"/>
  <c r="H34" i="39"/>
  <c r="AB34" i="39" s="1"/>
  <c r="E109" i="39"/>
  <c r="F109" i="39" s="1"/>
  <c r="G109" i="39" s="1"/>
  <c r="H31" i="39"/>
  <c r="AB31" i="39" s="1"/>
  <c r="F31" i="39"/>
  <c r="AA31" i="39" s="1"/>
  <c r="E103" i="39"/>
  <c r="F103" i="39" s="1"/>
  <c r="G103" i="39" s="1"/>
  <c r="H19" i="39"/>
  <c r="AB19" i="39"/>
  <c r="F19" i="39"/>
  <c r="S19" i="39"/>
  <c r="H17" i="39"/>
  <c r="U17" i="39"/>
  <c r="F17" i="39"/>
  <c r="AA17" i="39"/>
  <c r="J23" i="40"/>
  <c r="AC23" i="40"/>
  <c r="H42" i="39"/>
  <c r="AB42" i="39"/>
  <c r="J34" i="39"/>
  <c r="AC34" i="39"/>
  <c r="H109" i="39"/>
  <c r="I109" i="39" s="1"/>
  <c r="J109" i="39"/>
  <c r="K109" i="39" s="1"/>
  <c r="L109" i="39" s="1"/>
  <c r="M109" i="39" s="1"/>
  <c r="J31" i="39"/>
  <c r="W31" i="39" s="1"/>
  <c r="H29" i="39"/>
  <c r="U29" i="39"/>
  <c r="J19" i="39"/>
  <c r="AC19" i="39"/>
  <c r="J17" i="39"/>
  <c r="W17" i="39"/>
  <c r="J29" i="39"/>
  <c r="AC29" i="39"/>
  <c r="F29" i="39"/>
  <c r="AA29" i="39"/>
  <c r="F11" i="21"/>
  <c r="S11" i="21"/>
  <c r="H11" i="39"/>
  <c r="AB11" i="39"/>
  <c r="AB39" i="39"/>
  <c r="H11" i="21"/>
  <c r="U11" i="21" s="1"/>
  <c r="J11" i="21"/>
  <c r="AC11" i="21" s="1"/>
  <c r="U33" i="21"/>
  <c r="H36" i="40"/>
  <c r="U36" i="40"/>
  <c r="F35" i="40"/>
  <c r="S35" i="40"/>
  <c r="J30" i="40"/>
  <c r="W30" i="40"/>
  <c r="F30" i="40"/>
  <c r="AA30" i="40"/>
  <c r="F96" i="40"/>
  <c r="G96" i="40"/>
  <c r="H96" i="40" s="1"/>
  <c r="I96" i="40"/>
  <c r="J96" i="40" s="1"/>
  <c r="K96" i="40" s="1"/>
  <c r="L96" i="40" s="1"/>
  <c r="M96" i="40" s="1"/>
  <c r="H27" i="40"/>
  <c r="U27" i="40"/>
  <c r="H23" i="40"/>
  <c r="AB23" i="40"/>
  <c r="J11" i="40"/>
  <c r="W11" i="40"/>
  <c r="AA12" i="33"/>
  <c r="S44" i="39"/>
  <c r="F37" i="39"/>
  <c r="S37" i="39" s="1"/>
  <c r="AC9" i="21"/>
  <c r="J34" i="36"/>
  <c r="W34" i="36"/>
  <c r="U30" i="36"/>
  <c r="F22" i="35"/>
  <c r="AA22" i="35" s="1"/>
  <c r="H10" i="35"/>
  <c r="U10" i="35" s="1"/>
  <c r="U33" i="36"/>
  <c r="AB29" i="36"/>
  <c r="F33" i="36"/>
  <c r="S33" i="36" s="1"/>
  <c r="E85" i="36"/>
  <c r="F85" i="36" s="1"/>
  <c r="G85" i="36"/>
  <c r="H85" i="36" s="1"/>
  <c r="I85" i="36" s="1"/>
  <c r="J85" i="36" s="1"/>
  <c r="K85" i="36" s="1"/>
  <c r="L85" i="36" s="1"/>
  <c r="M85" i="36" s="1"/>
  <c r="J29" i="36"/>
  <c r="AC29" i="36"/>
  <c r="F12" i="36"/>
  <c r="AA12" i="36"/>
  <c r="F34" i="36"/>
  <c r="AA34" i="36"/>
  <c r="H20" i="36"/>
  <c r="J20" i="36"/>
  <c r="W20" i="36" s="1"/>
  <c r="AB8" i="36"/>
  <c r="F14" i="35"/>
  <c r="F23" i="35"/>
  <c r="AA23" i="35"/>
  <c r="J32" i="35"/>
  <c r="AC32" i="35"/>
  <c r="J16" i="35"/>
  <c r="W16" i="35"/>
  <c r="H14" i="35"/>
  <c r="AB14" i="35"/>
  <c r="H33" i="35"/>
  <c r="AB33" i="35"/>
  <c r="S8" i="35"/>
  <c r="W8" i="35"/>
  <c r="J20" i="35"/>
  <c r="W20" i="35" s="1"/>
  <c r="H20" i="35"/>
  <c r="U20" i="35" s="1"/>
  <c r="F20" i="35"/>
  <c r="AA20" i="35" s="1"/>
  <c r="E101" i="37"/>
  <c r="F101" i="37" s="1"/>
  <c r="G101" i="37"/>
  <c r="H101" i="37" s="1"/>
  <c r="I101" i="37" s="1"/>
  <c r="J101" i="37" s="1"/>
  <c r="K101" i="37" s="1"/>
  <c r="L101" i="37" s="1"/>
  <c r="M101" i="37" s="1"/>
  <c r="J34" i="37"/>
  <c r="W34" i="37" s="1"/>
  <c r="AA39" i="37"/>
  <c r="H43" i="34"/>
  <c r="AB43" i="34" s="1"/>
  <c r="U42" i="34"/>
  <c r="H40" i="34"/>
  <c r="U40" i="34" s="1"/>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H10" i="33"/>
  <c r="U10" i="33" s="1"/>
  <c r="S10" i="21"/>
  <c r="U40" i="33"/>
  <c r="S8" i="33"/>
  <c r="F37" i="40"/>
  <c r="AA37" i="40" s="1"/>
  <c r="F36" i="40"/>
  <c r="AA36" i="40" s="1"/>
  <c r="J27" i="40"/>
  <c r="W27" i="40" s="1"/>
  <c r="F27" i="40"/>
  <c r="S27" i="40" s="1"/>
  <c r="F23" i="40"/>
  <c r="AA23" i="40" s="1"/>
  <c r="AC11" i="40"/>
  <c r="AB30" i="36"/>
  <c r="AC34" i="36"/>
  <c r="W32" i="35"/>
  <c r="F29" i="35"/>
  <c r="S29" i="35" s="1"/>
  <c r="U34" i="37"/>
  <c r="AB42" i="34"/>
  <c r="H38" i="34"/>
  <c r="AB38" i="34" s="1"/>
  <c r="F113" i="33"/>
  <c r="G113" i="33" s="1"/>
  <c r="H113" i="33" s="1"/>
  <c r="I113" i="33" s="1"/>
  <c r="J113" i="33" s="1"/>
  <c r="K113" i="33" s="1"/>
  <c r="L113" i="33" s="1"/>
  <c r="M113" i="33" s="1"/>
  <c r="H37" i="33"/>
  <c r="AB37" i="33" s="1"/>
  <c r="AA37" i="33"/>
  <c r="H36" i="33"/>
  <c r="U36" i="33"/>
  <c r="S25" i="33"/>
  <c r="F17" i="33"/>
  <c r="AA17" i="33" s="1"/>
  <c r="H15" i="33"/>
  <c r="AB15" i="33" s="1"/>
  <c r="AB11" i="33"/>
  <c r="AC42" i="34"/>
  <c r="W42" i="34"/>
  <c r="AA42" i="34"/>
  <c r="S42"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AB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J13" i="34"/>
  <c r="W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J10" i="36"/>
  <c r="AC10" i="36"/>
  <c r="AB46" i="21"/>
  <c r="U14" i="21"/>
  <c r="AC14" i="21"/>
  <c r="S46" i="33"/>
  <c r="AC11" i="36"/>
  <c r="AB45" i="33"/>
  <c r="AC29" i="33"/>
  <c r="W29" i="33"/>
  <c r="AB28" i="33"/>
  <c r="U42" i="21"/>
  <c r="S33" i="21"/>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H42" i="33"/>
  <c r="U42" i="33" s="1"/>
  <c r="J23" i="37"/>
  <c r="W23" i="37" s="1"/>
  <c r="S30" i="31"/>
  <c r="U11" i="40"/>
  <c r="AC33" i="36"/>
  <c r="AB20" i="35"/>
  <c r="AA11" i="35"/>
  <c r="AC12" i="35"/>
  <c r="S28" i="37"/>
  <c r="U39" i="37"/>
  <c r="S25" i="37"/>
  <c r="W47" i="34"/>
  <c r="AB8" i="34"/>
  <c r="W14" i="33"/>
  <c r="AA13" i="33"/>
  <c r="AC31" i="33"/>
  <c r="AA30" i="33"/>
  <c r="AB10" i="33"/>
  <c r="S11" i="33"/>
  <c r="AC33" i="21"/>
  <c r="AB38" i="21"/>
  <c r="AA23" i="37"/>
  <c r="W10" i="36"/>
  <c r="W38" i="37"/>
  <c r="H37" i="21"/>
  <c r="U37" i="21" s="1"/>
  <c r="J37" i="21"/>
  <c r="W37" i="21" s="1"/>
  <c r="H19" i="34"/>
  <c r="U19" i="34" s="1"/>
  <c r="F36" i="35"/>
  <c r="AA36" i="35" s="1"/>
  <c r="J9" i="37"/>
  <c r="W9" i="37" s="1"/>
  <c r="H9" i="37"/>
  <c r="AB9" i="37" s="1"/>
  <c r="F9" i="37"/>
  <c r="AA9" i="37" s="1"/>
  <c r="F11" i="37"/>
  <c r="S11" i="37" s="1"/>
  <c r="J42" i="39"/>
  <c r="AC42" i="39" s="1"/>
  <c r="S37" i="21"/>
  <c r="AB37" i="21"/>
  <c r="AB27" i="40"/>
  <c r="AC31" i="39"/>
  <c r="U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AC13" i="39"/>
  <c r="H37" i="39"/>
  <c r="U37" i="39" s="1"/>
  <c r="AC37" i="39"/>
  <c r="H25" i="39"/>
  <c r="U25" i="39"/>
  <c r="J25" i="39"/>
  <c r="W25" i="39"/>
  <c r="F25" i="39"/>
  <c r="S25" i="39"/>
  <c r="F15" i="39"/>
  <c r="S15" i="39"/>
  <c r="H15" i="39"/>
  <c r="U15" i="39"/>
  <c r="J15" i="39"/>
  <c r="W15" i="39"/>
  <c r="H41" i="39"/>
  <c r="AB41" i="39"/>
  <c r="F11" i="39"/>
  <c r="AA11" i="39"/>
  <c r="H21" i="39"/>
  <c r="U21" i="39" s="1"/>
  <c r="F32" i="39"/>
  <c r="S32" i="39" s="1"/>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H14" i="44"/>
  <c r="W40" i="39"/>
  <c r="AC20" i="35"/>
  <c r="S39" i="34"/>
  <c r="AB12" i="34"/>
  <c r="H23" i="34"/>
  <c r="AB23" i="34" s="1"/>
  <c r="F33" i="34"/>
  <c r="S33" i="34" s="1"/>
  <c r="F109" i="34"/>
  <c r="G109" i="34" s="1"/>
  <c r="H109" i="34" s="1"/>
  <c r="I109" i="34" s="1"/>
  <c r="J109" i="34" s="1"/>
  <c r="K109" i="34" s="1"/>
  <c r="L109" i="34" s="1"/>
  <c r="M109" i="34" s="1"/>
  <c r="H36" i="34"/>
  <c r="AB36" i="34" s="1"/>
  <c r="F35" i="34"/>
  <c r="AA35" i="34" s="1"/>
  <c r="J35" i="34"/>
  <c r="AC35" i="34" s="1"/>
  <c r="W34" i="34"/>
  <c r="J33" i="34"/>
  <c r="W33" i="34" s="1"/>
  <c r="J37" i="34"/>
  <c r="W37" i="34" s="1"/>
  <c r="AC37" i="34"/>
  <c r="J26" i="35"/>
  <c r="W26" i="35"/>
  <c r="F26" i="35"/>
  <c r="AA26" i="35"/>
  <c r="H26" i="35"/>
  <c r="U26" i="35"/>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3" i="57"/>
  <c r="A131" i="9"/>
  <c r="A135" i="57"/>
  <c r="A14" i="52" s="1"/>
  <c r="B61" i="60" s="1"/>
  <c r="B103" i="57"/>
  <c r="B107" i="57" s="1"/>
  <c r="C112" i="57"/>
  <c r="H107" i="57" s="1"/>
  <c r="D128" i="57"/>
  <c r="S23" i="21"/>
  <c r="AC15" i="21"/>
  <c r="C110" i="57"/>
  <c r="H104" i="57" s="1"/>
  <c r="T27" i="31"/>
  <c r="S27" i="31"/>
  <c r="B113" i="43"/>
  <c r="I118" i="43" s="1"/>
  <c r="J118" i="43" s="1"/>
  <c r="K118" i="43" s="1"/>
  <c r="L118" i="43" s="1"/>
  <c r="M118" i="43" s="1"/>
  <c r="K101" i="43"/>
  <c r="K107" i="43" s="1"/>
  <c r="G101" i="43"/>
  <c r="G105" i="43" s="1"/>
  <c r="C101" i="43"/>
  <c r="L101" i="43"/>
  <c r="H101" i="43"/>
  <c r="H107"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c r="AB12" i="37"/>
  <c r="J37" i="37"/>
  <c r="W37" i="37"/>
  <c r="AB40" i="37"/>
  <c r="U40" i="37"/>
  <c r="U15" i="21"/>
  <c r="AB15" i="21"/>
  <c r="AA16" i="35"/>
  <c r="S14" i="39"/>
  <c r="AB29" i="35"/>
  <c r="U29" i="35"/>
  <c r="AA35" i="39"/>
  <c r="AB21" i="39"/>
  <c r="U25" i="35"/>
  <c r="W44" i="33"/>
  <c r="U36" i="37"/>
  <c r="AB46" i="34"/>
  <c r="S14" i="34"/>
  <c r="AA14" i="34"/>
  <c r="W44" i="21"/>
  <c r="F40" i="34"/>
  <c r="AA40" i="34" s="1"/>
  <c r="U20" i="36"/>
  <c r="AB20" i="36"/>
  <c r="AA16" i="36"/>
  <c r="AC44" i="39"/>
  <c r="W44" i="39"/>
  <c r="H13" i="21"/>
  <c r="U13" i="21" s="1"/>
  <c r="J13" i="21"/>
  <c r="F13" i="21"/>
  <c r="AA13" i="21"/>
  <c r="J45" i="21"/>
  <c r="F45" i="21"/>
  <c r="AA45" i="21" s="1"/>
  <c r="S42" i="21"/>
  <c r="B41" i="47"/>
  <c r="C23" i="40"/>
  <c r="W8" i="34"/>
  <c r="W12" i="34"/>
  <c r="J9" i="34"/>
  <c r="AC9" i="34" s="1"/>
  <c r="F9" i="34"/>
  <c r="S9" i="34" s="1"/>
  <c r="AA19" i="34"/>
  <c r="AA9" i="36"/>
  <c r="S9" i="36"/>
  <c r="AB23" i="36"/>
  <c r="U23" i="36"/>
  <c r="J12" i="36"/>
  <c r="W12" i="36"/>
  <c r="H12" i="36"/>
  <c r="AB12" i="36"/>
  <c r="AA9" i="39"/>
  <c r="S9" i="39"/>
  <c r="AB12" i="39"/>
  <c r="U12" i="39"/>
  <c r="J12" i="39"/>
  <c r="F12" i="39"/>
  <c r="S12" i="39" s="1"/>
  <c r="R29" i="31"/>
  <c r="T29" i="31" s="1"/>
  <c r="F15" i="21"/>
  <c r="S15" i="21"/>
  <c r="AA30" i="21"/>
  <c r="J36" i="34"/>
  <c r="W36" i="34" s="1"/>
  <c r="J19" i="40"/>
  <c r="AC19" i="40" s="1"/>
  <c r="W9" i="39"/>
  <c r="U14" i="39"/>
  <c r="H32" i="39"/>
  <c r="U32" i="39" s="1"/>
  <c r="F21" i="39"/>
  <c r="AA21" i="39" s="1"/>
  <c r="F37" i="47"/>
  <c r="B35" i="47" s="1"/>
  <c r="F31" i="37"/>
  <c r="AA31" i="37" s="1"/>
  <c r="U25" i="36"/>
  <c r="S44" i="21"/>
  <c r="AC36" i="40"/>
  <c r="F17" i="37"/>
  <c r="AA17" i="37" s="1"/>
  <c r="AA29" i="33"/>
  <c r="AB28" i="36"/>
  <c r="AB13" i="40"/>
  <c r="U33" i="40"/>
  <c r="S12" i="40"/>
  <c r="AB13" i="37"/>
  <c r="U44" i="33"/>
  <c r="U11" i="36"/>
  <c r="AB11" i="35"/>
  <c r="U32" i="34"/>
  <c r="AA30" i="34"/>
  <c r="H45" i="21"/>
  <c r="AB45" i="21" s="1"/>
  <c r="J14" i="36"/>
  <c r="AC14" i="36" s="1"/>
  <c r="AC30" i="21"/>
  <c r="J40" i="34"/>
  <c r="AC40" i="34" s="1"/>
  <c r="S37" i="40"/>
  <c r="H19" i="33"/>
  <c r="AB19" i="33"/>
  <c r="AB23" i="33"/>
  <c r="U23" i="33"/>
  <c r="W23" i="33"/>
  <c r="AA41" i="33"/>
  <c r="J23" i="34"/>
  <c r="W23" i="34" s="1"/>
  <c r="AC30" i="40"/>
  <c r="AB17" i="39"/>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32" i="33"/>
  <c r="AA32" i="33"/>
  <c r="H9" i="34"/>
  <c r="AB9" i="34" s="1"/>
  <c r="H28" i="34"/>
  <c r="U28" i="34" s="1"/>
  <c r="E116" i="34"/>
  <c r="F116" i="34"/>
  <c r="G116" i="34" s="1"/>
  <c r="H116" i="34" s="1"/>
  <c r="I116" i="34" s="1"/>
  <c r="J116" i="34" s="1"/>
  <c r="K116" i="34" s="1"/>
  <c r="L116" i="34" s="1"/>
  <c r="M116" i="34" s="1"/>
  <c r="J39" i="34"/>
  <c r="W39" i="34" s="1"/>
  <c r="J27" i="36"/>
  <c r="F37" i="34"/>
  <c r="AA37" i="34"/>
  <c r="H37" i="34"/>
  <c r="U37" i="34"/>
  <c r="F26" i="47"/>
  <c r="B24" i="47"/>
  <c r="AA32" i="37"/>
  <c r="AB12" i="40"/>
  <c r="U12" i="40"/>
  <c r="AC14" i="39"/>
  <c r="AC46" i="34"/>
  <c r="S31" i="33"/>
  <c r="U10" i="36"/>
  <c r="W28" i="33"/>
  <c r="W34" i="33"/>
  <c r="AC34" i="33"/>
  <c r="AA14" i="35"/>
  <c r="S14" i="35"/>
  <c r="W11" i="21"/>
  <c r="S45" i="39"/>
  <c r="AA45" i="39"/>
  <c r="H27" i="21"/>
  <c r="AB27" i="21"/>
  <c r="J27" i="21"/>
  <c r="W27" i="21"/>
  <c r="F27" i="21"/>
  <c r="AA27" i="21"/>
  <c r="J29" i="21"/>
  <c r="AC29" i="21"/>
  <c r="H29" i="21"/>
  <c r="U29" i="21"/>
  <c r="F29" i="21"/>
  <c r="J31" i="21"/>
  <c r="W31" i="21" s="1"/>
  <c r="H31" i="21"/>
  <c r="U31" i="21" s="1"/>
  <c r="F31" i="21"/>
  <c r="AA31" i="21"/>
  <c r="H39" i="21"/>
  <c r="U39" i="21"/>
  <c r="F117" i="21"/>
  <c r="G117" i="21"/>
  <c r="S9" i="21"/>
  <c r="AA9" i="2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c r="H41" i="33"/>
  <c r="U41" i="33"/>
  <c r="S12" i="34"/>
  <c r="AA12" i="34"/>
  <c r="F80" i="34"/>
  <c r="H17" i="34"/>
  <c r="U17" i="34" s="1"/>
  <c r="H16" i="35"/>
  <c r="U16" i="35" s="1"/>
  <c r="J24" i="35"/>
  <c r="AC24" i="35" s="1"/>
  <c r="F24" i="35"/>
  <c r="AA24" i="35" s="1"/>
  <c r="H24" i="35"/>
  <c r="U24" i="35" s="1"/>
  <c r="H34" i="35"/>
  <c r="U34" i="35" s="1"/>
  <c r="F34" i="35"/>
  <c r="S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c r="J32" i="21"/>
  <c r="W32" i="21"/>
  <c r="H32" i="21"/>
  <c r="U32" i="21"/>
  <c r="F40" i="21"/>
  <c r="AA40" i="21"/>
  <c r="H40" i="21"/>
  <c r="AB40" i="21"/>
  <c r="J40" i="21"/>
  <c r="AC40" i="21"/>
  <c r="B44" i="47"/>
  <c r="C21" i="40"/>
  <c r="AC33" i="33"/>
  <c r="W33" i="33"/>
  <c r="S34" i="33"/>
  <c r="AA38" i="33"/>
  <c r="S38" i="33"/>
  <c r="AC38" i="33"/>
  <c r="W38" i="33"/>
  <c r="J9" i="33"/>
  <c r="AC9" i="33" s="1"/>
  <c r="F9" i="33"/>
  <c r="AA9" i="33" s="1"/>
  <c r="AA10" i="34"/>
  <c r="F25" i="34"/>
  <c r="S25" i="34" s="1"/>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s="1"/>
  <c r="F15" i="37"/>
  <c r="AA15" i="37" s="1"/>
  <c r="F38" i="40"/>
  <c r="AA38" i="40" s="1"/>
  <c r="J38" i="40"/>
  <c r="W38" i="40" s="1"/>
  <c r="H38" i="40"/>
  <c r="AB38" i="40" s="1"/>
  <c r="J40" i="40"/>
  <c r="AC40" i="40" s="1"/>
  <c r="H40" i="40"/>
  <c r="AB40" i="40" s="1"/>
  <c r="F40" i="40"/>
  <c r="AA40" i="40" s="1"/>
  <c r="N6" i="43"/>
  <c r="M1" i="43"/>
  <c r="F101" i="9"/>
  <c r="F33" i="9"/>
  <c r="C25" i="57"/>
  <c r="G103" i="43"/>
  <c r="F59" i="43"/>
  <c r="H63" i="43" s="1"/>
  <c r="G15" i="47"/>
  <c r="U15" i="37"/>
  <c r="AB24" i="36"/>
  <c r="H25" i="34"/>
  <c r="U25" i="34" s="1"/>
  <c r="AB35" i="39"/>
  <c r="AC40" i="37"/>
  <c r="S27" i="37"/>
  <c r="AA34" i="35"/>
  <c r="AB24" i="35"/>
  <c r="J17" i="34"/>
  <c r="AC17" i="34" s="1"/>
  <c r="G80" i="34"/>
  <c r="F17" i="34"/>
  <c r="AA17" i="34" s="1"/>
  <c r="H27" i="33"/>
  <c r="AB27" i="33" s="1"/>
  <c r="F43" i="33"/>
  <c r="S43" i="33" s="1"/>
  <c r="F125" i="33"/>
  <c r="G125" i="33" s="1"/>
  <c r="J43" i="33"/>
  <c r="AC43" i="33" s="1"/>
  <c r="AB31" i="21"/>
  <c r="AA29" i="21"/>
  <c r="S29" i="21"/>
  <c r="W29" i="21"/>
  <c r="AC27" i="21"/>
  <c r="S37" i="34"/>
  <c r="H27" i="36"/>
  <c r="AB27" i="36"/>
  <c r="F27" i="36"/>
  <c r="AA27" i="36"/>
  <c r="J28" i="34"/>
  <c r="W28" i="34" s="1"/>
  <c r="AB34" i="21"/>
  <c r="H11" i="34"/>
  <c r="U11" i="34" s="1"/>
  <c r="S17" i="37"/>
  <c r="J11" i="37"/>
  <c r="AC11" i="37"/>
  <c r="W12" i="39"/>
  <c r="AC12" i="39"/>
  <c r="S45" i="21"/>
  <c r="AB13" i="21"/>
  <c r="AC37" i="37"/>
  <c r="U38" i="40"/>
  <c r="F23" i="39"/>
  <c r="AA23" i="39"/>
  <c r="F97" i="39"/>
  <c r="G97" i="39"/>
  <c r="S26" i="37"/>
  <c r="S24" i="36"/>
  <c r="F44" i="34"/>
  <c r="F126" i="34"/>
  <c r="G126" i="34" s="1"/>
  <c r="J44" i="34"/>
  <c r="AC44" i="34" s="1"/>
  <c r="S40" i="21"/>
  <c r="U31" i="37"/>
  <c r="W27" i="37"/>
  <c r="H60" i="37"/>
  <c r="H10" i="37"/>
  <c r="U10" i="37"/>
  <c r="S24" i="35"/>
  <c r="AA27" i="33"/>
  <c r="AB43" i="33"/>
  <c r="S31" i="21"/>
  <c r="AB29" i="21"/>
  <c r="AC27" i="36"/>
  <c r="W27" i="36"/>
  <c r="F101" i="33"/>
  <c r="G101" i="33"/>
  <c r="H101" i="33" s="1"/>
  <c r="I101" i="33" s="1"/>
  <c r="J101" i="33" s="1"/>
  <c r="K101" i="33" s="1"/>
  <c r="L101" i="33" s="1"/>
  <c r="M101" i="33" s="1"/>
  <c r="J32" i="33"/>
  <c r="W32" i="33"/>
  <c r="H32" i="33"/>
  <c r="AB32" i="33"/>
  <c r="U45" i="21"/>
  <c r="U12" i="36"/>
  <c r="AC45" i="21"/>
  <c r="W45" i="21"/>
  <c r="W13" i="21"/>
  <c r="AC13" i="21"/>
  <c r="AA44" i="34"/>
  <c r="S44" i="34"/>
  <c r="S27" i="36"/>
  <c r="I60" i="37"/>
  <c r="J10" i="37"/>
  <c r="AC10" i="37"/>
  <c r="H23" i="39"/>
  <c r="AB23" i="39"/>
  <c r="J11" i="34"/>
  <c r="W11" i="34" s="1"/>
  <c r="J27" i="33"/>
  <c r="W27" i="33"/>
  <c r="J25" i="34"/>
  <c r="W25" i="34" s="1"/>
  <c r="U23" i="39"/>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F43" i="15"/>
  <c r="F72" i="15" s="1"/>
  <c r="D93" i="9"/>
  <c r="D37" i="11"/>
  <c r="C37" i="11" s="1"/>
  <c r="M29" i="15"/>
  <c r="P51" i="15"/>
  <c r="D10" i="11"/>
  <c r="C2" i="31"/>
  <c r="I23" i="31" s="1"/>
  <c r="D3" i="35"/>
  <c r="D3" i="34"/>
  <c r="D78" i="9"/>
  <c r="D80" i="57"/>
  <c r="A16" i="55"/>
  <c r="B46" i="60" s="1"/>
  <c r="D3" i="33"/>
  <c r="D3" i="37"/>
  <c r="D3" i="36"/>
  <c r="AB36" i="40"/>
  <c r="AA32" i="40"/>
  <c r="W32" i="40"/>
  <c r="W31" i="40"/>
  <c r="AC9" i="40"/>
  <c r="S9" i="40"/>
  <c r="AA27" i="40"/>
  <c r="AC38"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c r="H17" i="40"/>
  <c r="U17" i="40"/>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S37" i="37"/>
  <c r="AA14" i="37"/>
  <c r="AA38" i="37"/>
  <c r="W3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C37" i="57"/>
  <c r="F125" i="57" s="1"/>
  <c r="G125" i="57" s="1"/>
  <c r="Y25" i="31"/>
  <c r="C36" i="57"/>
  <c r="D125" i="57" s="1"/>
  <c r="V25" i="31"/>
  <c r="H102" i="43"/>
  <c r="D3" i="21"/>
  <c r="M6" i="43"/>
  <c r="M5" i="43"/>
  <c r="F81" i="43"/>
  <c r="H85" i="43" s="1"/>
  <c r="H13" i="44"/>
  <c r="G59" i="40"/>
  <c r="C59" i="40" s="1"/>
  <c r="H11" i="44"/>
  <c r="C51" i="10"/>
  <c r="A8" i="54"/>
  <c r="B8" i="60" s="1"/>
  <c r="F2" i="21"/>
  <c r="F2" i="34"/>
  <c r="F2" i="35"/>
  <c r="D36" i="57"/>
  <c r="C120" i="57"/>
  <c r="H116" i="57"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M20" i="15"/>
  <c r="D9" i="11"/>
  <c r="D19" i="11"/>
  <c r="C19" i="12"/>
  <c r="G22" i="11"/>
  <c r="G41" i="11"/>
  <c r="E48" i="43"/>
  <c r="H113" i="43"/>
  <c r="X7" i="43"/>
  <c r="E59" i="43"/>
  <c r="B57" i="43"/>
  <c r="E70" i="43"/>
  <c r="B68" i="43"/>
  <c r="C24" i="43" s="1"/>
  <c r="AI11" i="43"/>
  <c r="AI13" i="43" s="1"/>
  <c r="AE11" i="43"/>
  <c r="AE13" i="43" s="1"/>
  <c r="AA11" i="43"/>
  <c r="AA13" i="43" s="1"/>
  <c r="AJ11" i="43"/>
  <c r="AJ13" i="43" s="1"/>
  <c r="AF11" i="43"/>
  <c r="AF13" i="43" s="1"/>
  <c r="AB11" i="43"/>
  <c r="AB13" i="43" s="1"/>
  <c r="Z7" i="43"/>
  <c r="B46" i="43"/>
  <c r="E9" i="43"/>
  <c r="E8" i="43"/>
  <c r="C7" i="43" s="1"/>
  <c r="E10" i="43"/>
  <c r="E11" i="43"/>
  <c r="C53" i="10"/>
  <c r="D123" i="9"/>
  <c r="D6" i="52" s="1"/>
  <c r="D124" i="9"/>
  <c r="D7" i="52"/>
  <c r="N49" i="57"/>
  <c r="B58" i="60"/>
  <c r="L109" i="43"/>
  <c r="C104" i="43"/>
  <c r="A125" i="57"/>
  <c r="N47" i="9"/>
  <c r="J17" i="43"/>
  <c r="C7" i="33"/>
  <c r="C58" i="33" s="1"/>
  <c r="D58" i="33" s="1"/>
  <c r="E58" i="33" s="1"/>
  <c r="F58" i="33" s="1"/>
  <c r="G58" i="33" s="1"/>
  <c r="H58" i="33" s="1"/>
  <c r="I58" i="33" s="1"/>
  <c r="J58" i="33" s="1"/>
  <c r="K58" i="33" s="1"/>
  <c r="L58" i="33" s="1"/>
  <c r="M58" i="33" s="1"/>
  <c r="N58" i="33" s="1"/>
  <c r="O58" i="33" s="1"/>
  <c r="L104" i="43"/>
  <c r="D105" i="43"/>
  <c r="K103" i="43"/>
  <c r="C105" i="43"/>
  <c r="B117" i="43"/>
  <c r="C117" i="43" s="1"/>
  <c r="G37" i="47"/>
  <c r="F36" i="43"/>
  <c r="C17" i="43"/>
  <c r="F35" i="43"/>
  <c r="F37" i="43"/>
  <c r="F39" i="43"/>
  <c r="K17" i="43"/>
  <c r="C7" i="34"/>
  <c r="C59" i="34" s="1"/>
  <c r="F38" i="43"/>
  <c r="K86" i="43"/>
  <c r="J86" i="43"/>
  <c r="D86" i="43"/>
  <c r="M87" i="43"/>
  <c r="N87" i="43" s="1"/>
  <c r="K82" i="43"/>
  <c r="J82" i="43" s="1"/>
  <c r="D82" i="43"/>
  <c r="M83" i="43"/>
  <c r="N83" i="43"/>
  <c r="H65" i="43"/>
  <c r="D117" i="43"/>
  <c r="E117" i="43" s="1"/>
  <c r="F117" i="43" s="1"/>
  <c r="G117" i="43" s="1"/>
  <c r="H117" i="43" s="1"/>
  <c r="M12" i="43"/>
  <c r="M8" i="43"/>
  <c r="N7" i="43"/>
  <c r="M3" i="43"/>
  <c r="M11" i="43"/>
  <c r="N8" i="43"/>
  <c r="H8" i="44"/>
  <c r="H12" i="44"/>
  <c r="C63" i="39"/>
  <c r="G64" i="39"/>
  <c r="C64" i="39" s="1"/>
  <c r="M85" i="43"/>
  <c r="N85" i="43" s="1"/>
  <c r="K85" i="43"/>
  <c r="J85" i="43" s="1"/>
  <c r="D85" i="43"/>
  <c r="M82" i="43"/>
  <c r="N82" i="43"/>
  <c r="K83" i="43"/>
  <c r="J83" i="43"/>
  <c r="D83" i="43"/>
  <c r="H81" i="43"/>
  <c r="D116" i="43"/>
  <c r="E116" i="43" s="1"/>
  <c r="F116" i="43" s="1"/>
  <c r="G116" i="43" s="1"/>
  <c r="H116" i="43" s="1"/>
  <c r="M7" i="15"/>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S28" i="35"/>
  <c r="AC34" i="37"/>
  <c r="U29" i="37"/>
  <c r="U30" i="37"/>
  <c r="S40" i="37"/>
  <c r="AC29" i="37"/>
  <c r="U26" i="37"/>
  <c r="AC13" i="37"/>
  <c r="U38" i="37"/>
  <c r="AA13" i="37"/>
  <c r="W25" i="37"/>
  <c r="S9" i="37"/>
  <c r="J21" i="34"/>
  <c r="W21" i="34" s="1"/>
  <c r="AB37" i="34"/>
  <c r="AA45" i="34"/>
  <c r="AB45" i="34"/>
  <c r="U34" i="34"/>
  <c r="AC25" i="34"/>
  <c r="W44" i="34"/>
  <c r="AB44" i="34"/>
  <c r="AB47" i="34"/>
  <c r="AB14" i="34"/>
  <c r="AC45" i="34"/>
  <c r="AA29"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S27" i="21"/>
  <c r="AC31" i="21"/>
  <c r="AA32" i="21"/>
  <c r="W23" i="21"/>
  <c r="AB25" i="21"/>
  <c r="AA25" i="21"/>
  <c r="U40" i="21"/>
  <c r="S46" i="21"/>
  <c r="AC46" i="21"/>
  <c r="AA26" i="21"/>
  <c r="W10" i="21"/>
  <c r="S35" i="21"/>
  <c r="C17" i="39"/>
  <c r="C15" i="40"/>
  <c r="C17" i="40"/>
  <c r="B54" i="43"/>
  <c r="U30" i="40"/>
  <c r="B52" i="43"/>
  <c r="B60" i="43"/>
  <c r="B63"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M86" i="43"/>
  <c r="N86" i="43" s="1"/>
  <c r="F34" i="11"/>
  <c r="E19" i="1"/>
  <c r="D20" i="1"/>
  <c r="D18" i="1"/>
  <c r="F50" i="11"/>
  <c r="F19" i="1"/>
  <c r="F18" i="1"/>
  <c r="C11" i="12" s="1"/>
  <c r="C15" i="12" s="1"/>
  <c r="D19" i="1"/>
  <c r="K87" i="43"/>
  <c r="J87" i="43" s="1"/>
  <c r="D87" i="43"/>
  <c r="C3" i="4"/>
  <c r="B4" i="55" s="1"/>
  <c r="B53" i="60" s="1"/>
  <c r="L106" i="9"/>
  <c r="A18" i="55" s="1"/>
  <c r="B48" i="60" s="1"/>
  <c r="M84" i="43"/>
  <c r="N84" i="43"/>
  <c r="K84" i="43"/>
  <c r="J84" i="43"/>
  <c r="D84" i="43"/>
  <c r="M81" i="43"/>
  <c r="N81" i="43" s="1"/>
  <c r="K81" i="43"/>
  <c r="J81" i="43" s="1"/>
  <c r="D81" i="43"/>
  <c r="E81" i="43" s="1"/>
  <c r="B79" i="43" s="1"/>
  <c r="M88" i="43"/>
  <c r="N88" i="43"/>
  <c r="K88" i="43"/>
  <c r="J88" i="43"/>
  <c r="D88" i="43"/>
  <c r="I114" i="57"/>
  <c r="D131" i="57" s="1"/>
  <c r="B41" i="1"/>
  <c r="M27" i="15" s="1"/>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52" i="15"/>
  <c r="M60" i="15" s="1"/>
  <c r="C19" i="59"/>
  <c r="D19" i="59"/>
  <c r="D20" i="59"/>
  <c r="B21" i="59"/>
  <c r="S21" i="59" s="1"/>
  <c r="AB21" i="59"/>
  <c r="U21" i="59"/>
  <c r="AA20" i="59"/>
  <c r="X20" i="59"/>
  <c r="AB20" i="59"/>
  <c r="AA19" i="59"/>
  <c r="Y19" i="59"/>
  <c r="Z19" i="59"/>
  <c r="Y17" i="59"/>
  <c r="Z17" i="59"/>
  <c r="AB17" i="59"/>
  <c r="AB15" i="59"/>
  <c r="X17" i="59"/>
  <c r="X15" i="59"/>
  <c r="AA17" i="59"/>
  <c r="AA15" i="59"/>
  <c r="AB16" i="59"/>
  <c r="X16" i="59"/>
  <c r="U17" i="59"/>
  <c r="J30" i="35"/>
  <c r="W30" i="35" s="1"/>
  <c r="H30" i="35"/>
  <c r="AB30" i="35" s="1"/>
  <c r="AA30" i="35"/>
  <c r="N56" i="9"/>
  <c r="O56" i="9"/>
  <c r="O58" i="57"/>
  <c r="K58" i="57"/>
  <c r="K59" i="57" s="1"/>
  <c r="K61" i="57" s="1"/>
  <c r="K63" i="57" s="1"/>
  <c r="N58" i="57"/>
  <c r="K56" i="9"/>
  <c r="K57" i="9" s="1"/>
  <c r="K59" i="9" s="1"/>
  <c r="K61" i="9" s="1"/>
  <c r="L58" i="57"/>
  <c r="F18" i="59"/>
  <c r="F17" i="59"/>
  <c r="F16" i="59" s="1"/>
  <c r="F15" i="59" s="1"/>
  <c r="F14" i="59" s="1"/>
  <c r="F13" i="59" s="1"/>
  <c r="C18" i="59"/>
  <c r="C17" i="59"/>
  <c r="C16" i="59" s="1"/>
  <c r="C15" i="59" s="1"/>
  <c r="C14" i="59" s="1"/>
  <c r="D14" i="59" s="1"/>
  <c r="X3" i="59"/>
  <c r="Y3" i="59"/>
  <c r="Z3" i="59" s="1"/>
  <c r="D18" i="59"/>
  <c r="F48" i="43"/>
  <c r="H50" i="43" s="1"/>
  <c r="G4" i="47"/>
  <c r="B20" i="59"/>
  <c r="B19" i="59" s="1"/>
  <c r="B18" i="59" s="1"/>
  <c r="B17" i="59" s="1"/>
  <c r="AC30" i="35"/>
  <c r="U30" i="35"/>
  <c r="D16" i="59"/>
  <c r="I116" i="57"/>
  <c r="D133" i="57" s="1"/>
  <c r="I14" i="62" s="1"/>
  <c r="B8" i="62" s="1"/>
  <c r="D120" i="57"/>
  <c r="I114" i="9"/>
  <c r="D129" i="9" s="1"/>
  <c r="I112" i="9"/>
  <c r="D116" i="9"/>
  <c r="D114" i="9"/>
  <c r="D115" i="9"/>
  <c r="I113" i="9" s="1"/>
  <c r="E2" i="37"/>
  <c r="F3" i="61"/>
  <c r="D19" i="57"/>
  <c r="C19" i="57"/>
  <c r="D20" i="57"/>
  <c r="E2" i="21"/>
  <c r="F5" i="61"/>
  <c r="E2" i="33"/>
  <c r="F7" i="61"/>
  <c r="E2" i="36"/>
  <c r="F6" i="61"/>
  <c r="E2" i="35"/>
  <c r="C20" i="57"/>
  <c r="H23" i="31"/>
  <c r="E2" i="34"/>
  <c r="F4" i="61"/>
  <c r="E2" i="11"/>
  <c r="U38" i="34" l="1"/>
  <c r="AB41" i="34"/>
  <c r="W41" i="34"/>
  <c r="W40" i="34"/>
  <c r="U39" i="34"/>
  <c r="AB35" i="34"/>
  <c r="S35" i="34"/>
  <c r="AB40" i="34"/>
  <c r="S40" i="34"/>
  <c r="AC39" i="34"/>
  <c r="S38" i="34"/>
  <c r="W38" i="34"/>
  <c r="U36" i="34"/>
  <c r="S36" i="34"/>
  <c r="AC36" i="34"/>
  <c r="W35" i="34"/>
  <c r="AA33" i="34"/>
  <c r="S32" i="34"/>
  <c r="AA32" i="34"/>
  <c r="S28" i="34"/>
  <c r="U31" i="34"/>
  <c r="W29" i="34"/>
  <c r="AB28" i="34"/>
  <c r="AC28" i="34"/>
  <c r="AC30" i="34"/>
  <c r="AB30" i="34"/>
  <c r="AC23" i="34"/>
  <c r="AB19" i="34"/>
  <c r="AB17" i="34"/>
  <c r="W17" i="34"/>
  <c r="W15" i="34"/>
  <c r="S15" i="34"/>
  <c r="U23" i="34"/>
  <c r="S23" i="34"/>
  <c r="AC21" i="34"/>
  <c r="S21" i="34"/>
  <c r="AC19" i="34"/>
  <c r="S17" i="34"/>
  <c r="B67" i="43"/>
  <c r="C25" i="39"/>
  <c r="B56" i="43"/>
  <c r="B49" i="43"/>
  <c r="B65" i="43"/>
  <c r="C19" i="39"/>
  <c r="C15" i="39"/>
  <c r="C21" i="39"/>
  <c r="B74" i="43"/>
  <c r="H10" i="34"/>
  <c r="U13" i="34"/>
  <c r="AB13" i="34"/>
  <c r="AA11" i="34"/>
  <c r="AC13" i="34"/>
  <c r="AB11" i="34"/>
  <c r="AC14" i="34"/>
  <c r="F13" i="34"/>
  <c r="U9" i="34"/>
  <c r="W9" i="34"/>
  <c r="AA9" i="34"/>
  <c r="AB27" i="34"/>
  <c r="F27" i="34"/>
  <c r="S27" i="34" s="1"/>
  <c r="J27" i="34"/>
  <c r="AC27" i="34" s="1"/>
  <c r="J43" i="34"/>
  <c r="AC43" i="34" s="1"/>
  <c r="F43" i="34"/>
  <c r="AA43" i="34" s="1"/>
  <c r="J22" i="43"/>
  <c r="D118" i="43"/>
  <c r="E118" i="43" s="1"/>
  <c r="F118" i="43" s="1"/>
  <c r="B115" i="43"/>
  <c r="C115" i="43" s="1"/>
  <c r="B116" i="43"/>
  <c r="C116" i="43" s="1"/>
  <c r="D115" i="43"/>
  <c r="E115" i="43" s="1"/>
  <c r="F115" i="43" s="1"/>
  <c r="G115" i="43" s="1"/>
  <c r="H115" i="43" s="1"/>
  <c r="G104" i="43"/>
  <c r="D102" i="43"/>
  <c r="H104" i="43"/>
  <c r="N104" i="46"/>
  <c r="K106" i="43"/>
  <c r="Z11" i="43"/>
  <c r="Z13" i="43" s="1"/>
  <c r="AD11" i="43"/>
  <c r="AD13" i="43" s="1"/>
  <c r="AH11" i="43"/>
  <c r="AH13" i="43" s="1"/>
  <c r="Y11" i="43"/>
  <c r="Y13" i="43" s="1"/>
  <c r="AC11" i="43"/>
  <c r="AC13" i="43" s="1"/>
  <c r="AG11" i="43"/>
  <c r="AG13" i="43" s="1"/>
  <c r="F101" i="43"/>
  <c r="J101" i="43"/>
  <c r="N101" i="43"/>
  <c r="E101" i="43"/>
  <c r="I101" i="43"/>
  <c r="I102" i="43" s="1"/>
  <c r="M101" i="43"/>
  <c r="U15" i="34"/>
  <c r="AA27" i="34"/>
  <c r="S34" i="34"/>
  <c r="U43" i="34"/>
  <c r="AC33" i="34"/>
  <c r="AB33" i="34"/>
  <c r="AC11" i="34"/>
  <c r="AC10" i="34"/>
  <c r="S8" i="34"/>
  <c r="D95" i="57"/>
  <c r="C27" i="15"/>
  <c r="C14" i="12"/>
  <c r="C9" i="11"/>
  <c r="J6" i="15"/>
  <c r="C116" i="9"/>
  <c r="H114" i="9" s="1"/>
  <c r="P60" i="15"/>
  <c r="C106" i="9"/>
  <c r="H102" i="9" s="1"/>
  <c r="D47" i="15"/>
  <c r="C114" i="9"/>
  <c r="H112" i="9" s="1"/>
  <c r="C114" i="57"/>
  <c r="H109" i="57" s="1"/>
  <c r="M104" i="43"/>
  <c r="E102" i="43"/>
  <c r="J107" i="43"/>
  <c r="E105" i="43"/>
  <c r="N102" i="43"/>
  <c r="D42" i="50"/>
  <c r="D43" i="50" s="1"/>
  <c r="J1" i="61"/>
  <c r="C7" i="36"/>
  <c r="C46" i="36" s="1"/>
  <c r="D46" i="36" s="1"/>
  <c r="G19" i="43"/>
  <c r="O19" i="43" s="1"/>
  <c r="C7" i="37"/>
  <c r="C52" i="37" s="1"/>
  <c r="D52" i="37" s="1"/>
  <c r="E52" i="37" s="1"/>
  <c r="F52" i="37" s="1"/>
  <c r="C7" i="21"/>
  <c r="C58" i="21" s="1"/>
  <c r="D58" i="21" s="1"/>
  <c r="C7" i="39"/>
  <c r="C68" i="39" s="1"/>
  <c r="C70" i="39" s="1"/>
  <c r="B16" i="59"/>
  <c r="B15" i="59" s="1"/>
  <c r="B14" i="59" s="1"/>
  <c r="B13" i="59" s="1"/>
  <c r="S17" i="59"/>
  <c r="AC21" i="21"/>
  <c r="D39" i="50"/>
  <c r="D40" i="50" s="1"/>
  <c r="D15" i="59"/>
  <c r="D17" i="59"/>
  <c r="V17" i="59"/>
  <c r="T17" i="59"/>
  <c r="S40" i="40"/>
  <c r="AB25" i="34"/>
  <c r="AB27" i="37"/>
  <c r="AA12" i="37"/>
  <c r="W40" i="40"/>
  <c r="W17" i="21"/>
  <c r="AC9" i="37"/>
  <c r="U23" i="37"/>
  <c r="AA26" i="33"/>
  <c r="S26" i="33"/>
  <c r="F12" i="21"/>
  <c r="J12" i="21"/>
  <c r="H12" i="21"/>
  <c r="U12" i="33"/>
  <c r="AB12" i="33"/>
  <c r="F12" i="59"/>
  <c r="F11" i="59" s="1"/>
  <c r="F10" i="59" s="1"/>
  <c r="F9" i="59" s="1"/>
  <c r="V13" i="59"/>
  <c r="U31" i="33"/>
  <c r="U32" i="36"/>
  <c r="AC13" i="36"/>
  <c r="AC32" i="34"/>
  <c r="W30" i="33"/>
  <c r="W28" i="37"/>
  <c r="AB14" i="33"/>
  <c r="W13" i="35"/>
  <c r="AC27" i="40"/>
  <c r="AB8" i="33"/>
  <c r="U8" i="33"/>
  <c r="AC10" i="33"/>
  <c r="W10" i="33"/>
  <c r="AC9" i="35"/>
  <c r="W9" i="35"/>
  <c r="F9" i="35"/>
  <c r="H9" i="35"/>
  <c r="F12" i="35"/>
  <c r="H12" i="35"/>
  <c r="J36" i="35"/>
  <c r="D4" i="47"/>
  <c r="F4" i="47" s="1"/>
  <c r="B2" i="47" s="1"/>
  <c r="C25" i="40"/>
  <c r="B86" i="43"/>
  <c r="F24" i="59"/>
  <c r="F23" i="59" s="1"/>
  <c r="V25" i="59"/>
  <c r="B24" i="59"/>
  <c r="B23" i="59" s="1"/>
  <c r="S25" i="59"/>
  <c r="B75" i="43"/>
  <c r="B55" i="43"/>
  <c r="C29" i="39"/>
  <c r="B66" i="43"/>
  <c r="D51" i="59"/>
  <c r="C52" i="59"/>
  <c r="D55" i="59"/>
  <c r="C56" i="59"/>
  <c r="D59" i="59"/>
  <c r="C60" i="59"/>
  <c r="AB22" i="59"/>
  <c r="X23" i="59"/>
  <c r="X24" i="59"/>
  <c r="X26" i="59"/>
  <c r="E27" i="59"/>
  <c r="E28" i="59" s="1"/>
  <c r="E29" i="59" s="1"/>
  <c r="U29" i="59" s="1"/>
  <c r="F27" i="59"/>
  <c r="F28" i="59" s="1"/>
  <c r="F29" i="59" s="1"/>
  <c r="V29" i="59" s="1"/>
  <c r="X30" i="59"/>
  <c r="E31" i="59"/>
  <c r="E32" i="59" s="1"/>
  <c r="E33" i="59" s="1"/>
  <c r="U33" i="59" s="1"/>
  <c r="F31" i="59"/>
  <c r="F32" i="59" s="1"/>
  <c r="F33" i="59" s="1"/>
  <c r="V33" i="59" s="1"/>
  <c r="AB31" i="59"/>
  <c r="AB32" i="59"/>
  <c r="AB33" i="59"/>
  <c r="X34" i="59"/>
  <c r="E35" i="59"/>
  <c r="E36" i="59" s="1"/>
  <c r="E37" i="59" s="1"/>
  <c r="AB34" i="59"/>
  <c r="F35" i="59"/>
  <c r="F36" i="59" s="1"/>
  <c r="F37" i="59" s="1"/>
  <c r="V37" i="59" s="1"/>
  <c r="AB35" i="59"/>
  <c r="Y5" i="59"/>
  <c r="Z5" i="59" s="1"/>
  <c r="Y6" i="59"/>
  <c r="Z6" i="59" s="1"/>
  <c r="Y8" i="59"/>
  <c r="Z8" i="59" s="1"/>
  <c r="AA5" i="59"/>
  <c r="AA7" i="59"/>
  <c r="AA6" i="59"/>
  <c r="F64" i="59"/>
  <c r="E64" i="59"/>
  <c r="N65" i="59"/>
  <c r="B68" i="59"/>
  <c r="B67" i="59" s="1"/>
  <c r="F68" i="59"/>
  <c r="F67" i="59" s="1"/>
  <c r="B76" i="59"/>
  <c r="B75" i="59" s="1"/>
  <c r="AA18" i="59"/>
  <c r="AA21" i="59"/>
  <c r="E12" i="59"/>
  <c r="E11" i="59" s="1"/>
  <c r="E10" i="59" s="1"/>
  <c r="E9" i="59" s="1"/>
  <c r="U13" i="59"/>
  <c r="Y20" i="59"/>
  <c r="Z20" i="59" s="1"/>
  <c r="AB19" i="59"/>
  <c r="AB18" i="59"/>
  <c r="Y18" i="59"/>
  <c r="Z18" i="59" s="1"/>
  <c r="Y16" i="59"/>
  <c r="Z16" i="59" s="1"/>
  <c r="AA14" i="59"/>
  <c r="X10" i="59"/>
  <c r="X5" i="59"/>
  <c r="X7" i="59"/>
  <c r="X8" i="59"/>
  <c r="X6" i="59"/>
  <c r="AB5" i="59"/>
  <c r="AB6" i="59"/>
  <c r="AB7" i="59"/>
  <c r="P65" i="59"/>
  <c r="X19" i="59"/>
  <c r="AA16" i="59"/>
  <c r="X18" i="59"/>
  <c r="AB14" i="59"/>
  <c r="X14" i="59"/>
  <c r="AA13" i="59"/>
  <c r="AB13" i="59"/>
  <c r="Y15" i="59"/>
  <c r="Z15" i="59" s="1"/>
  <c r="AA11" i="59"/>
  <c r="B15" i="50"/>
  <c r="B56" i="60" s="1"/>
  <c r="V21" i="59"/>
  <c r="X21" i="59"/>
  <c r="Y21" i="59"/>
  <c r="Z21" i="59" s="1"/>
  <c r="Y14" i="59"/>
  <c r="Z14" i="59" s="1"/>
  <c r="Y12" i="59"/>
  <c r="Z12" i="59" s="1"/>
  <c r="AB12" i="59"/>
  <c r="AB9" i="59"/>
  <c r="Y9" i="59"/>
  <c r="Z9" i="59" s="1"/>
  <c r="Y10" i="59"/>
  <c r="Z10" i="59" s="1"/>
  <c r="AA9" i="59"/>
  <c r="AA10" i="59"/>
  <c r="X9" i="59"/>
  <c r="X12" i="59"/>
  <c r="AA12" i="59"/>
  <c r="AB8" i="59"/>
  <c r="AB10" i="59"/>
  <c r="AB11" i="59"/>
  <c r="Y7" i="59"/>
  <c r="Z7" i="59" s="1"/>
  <c r="Y11" i="59"/>
  <c r="Z11" i="59" s="1"/>
  <c r="AA8" i="59"/>
  <c r="X11" i="59"/>
  <c r="F8" i="59"/>
  <c r="F7" i="59" s="1"/>
  <c r="F6" i="59" s="1"/>
  <c r="F5" i="59" s="1"/>
  <c r="V5" i="59" s="1"/>
  <c r="V9" i="59"/>
  <c r="E8" i="59"/>
  <c r="E7" i="59" s="1"/>
  <c r="E6" i="59" s="1"/>
  <c r="E5" i="59" s="1"/>
  <c r="U5" i="59" s="1"/>
  <c r="U9"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E70"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C20" i="11" s="1"/>
  <c r="C28" i="11" s="1"/>
  <c r="C27" i="11" s="1"/>
  <c r="B105" i="57"/>
  <c r="C118" i="57"/>
  <c r="H114" i="57" s="1"/>
  <c r="S29" i="31"/>
  <c r="S25" i="31" s="1"/>
  <c r="T28" i="31"/>
  <c r="T25" i="31" s="1"/>
  <c r="C116" i="57"/>
  <c r="H112" i="57" s="1"/>
  <c r="C17" i="12"/>
  <c r="B36" i="5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E104" i="43"/>
  <c r="E107" i="43"/>
  <c r="N103" i="43"/>
  <c r="J106" i="43"/>
  <c r="F105" i="43"/>
  <c r="N104" i="43"/>
  <c r="B118" i="43"/>
  <c r="C118" i="43" s="1"/>
  <c r="I116" i="43"/>
  <c r="J116" i="43" s="1"/>
  <c r="K116" i="43" s="1"/>
  <c r="L116" i="43" s="1"/>
  <c r="M116" i="43" s="1"/>
  <c r="I115" i="43"/>
  <c r="J115" i="43" s="1"/>
  <c r="K115" i="43" s="1"/>
  <c r="L115" i="43" s="1"/>
  <c r="M115" i="43" s="1"/>
  <c r="F68" i="39"/>
  <c r="G68" i="39" s="1"/>
  <c r="G70"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I48" i="35"/>
  <c r="J48" i="35" s="1"/>
  <c r="K48" i="35" s="1"/>
  <c r="L48" i="35" s="1"/>
  <c r="M48" i="35" s="1"/>
  <c r="N48" i="35" s="1"/>
  <c r="O48" i="35" s="1"/>
  <c r="D59" i="34"/>
  <c r="F70" i="39"/>
  <c r="E58" i="21"/>
  <c r="H72" i="43"/>
  <c r="H74" i="43"/>
  <c r="H77" i="43"/>
  <c r="F102" i="43"/>
  <c r="J103" i="43"/>
  <c r="J109" i="43"/>
  <c r="M103" i="43"/>
  <c r="M105" i="43"/>
  <c r="E22" i="43"/>
  <c r="D22" i="43" s="1"/>
  <c r="C21" i="43" s="1"/>
  <c r="H22" i="43"/>
  <c r="B39" i="50"/>
  <c r="B57" i="60"/>
  <c r="H7" i="33"/>
  <c r="J7" i="37"/>
  <c r="H7" i="35"/>
  <c r="F7" i="33"/>
  <c r="J105" i="43"/>
  <c r="H71"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C13" i="59"/>
  <c r="B5" i="48"/>
  <c r="D5" i="48" s="1"/>
  <c r="F7" i="48"/>
  <c r="H7" i="48" s="1"/>
  <c r="F11" i="48"/>
  <c r="H11" i="48" s="1"/>
  <c r="B12" i="48"/>
  <c r="D12" i="48" s="1"/>
  <c r="D13" i="59"/>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G20" i="57"/>
  <c r="C104" i="57"/>
  <c r="D104" i="57"/>
  <c r="D5" i="61"/>
  <c r="D6" i="61"/>
  <c r="D7" i="61"/>
  <c r="D4" i="61"/>
  <c r="D3" i="61"/>
  <c r="AB10" i="34" l="1"/>
  <c r="U10" i="34"/>
  <c r="AA13" i="34"/>
  <c r="S13" i="34"/>
  <c r="W27" i="34"/>
  <c r="W43" i="34"/>
  <c r="S43" i="34"/>
  <c r="N107" i="43"/>
  <c r="N106" i="43"/>
  <c r="N105" i="43"/>
  <c r="F104" i="43"/>
  <c r="F106" i="43"/>
  <c r="F103" i="43"/>
  <c r="I104" i="43"/>
  <c r="I107" i="43"/>
  <c r="F107" i="43"/>
  <c r="I106" i="43"/>
  <c r="F109" i="43"/>
  <c r="I109" i="43"/>
  <c r="N109" i="43"/>
  <c r="I103" i="43"/>
  <c r="M109" i="43"/>
  <c r="M107" i="43"/>
  <c r="E109" i="43"/>
  <c r="E106" i="43"/>
  <c r="J102" i="43"/>
  <c r="J104" i="43"/>
  <c r="C105" i="57"/>
  <c r="K1" i="61"/>
  <c r="H68" i="39"/>
  <c r="I68" i="39" s="1"/>
  <c r="F7" i="37"/>
  <c r="S7" i="37" s="1"/>
  <c r="H7" i="37"/>
  <c r="AB7" i="37" s="1"/>
  <c r="T42" i="37" s="1"/>
  <c r="G42" i="37" s="1"/>
  <c r="G46" i="37" s="1"/>
  <c r="H46" i="37" s="1"/>
  <c r="C12" i="59"/>
  <c r="T13" i="59"/>
  <c r="F7" i="35"/>
  <c r="F63" i="59"/>
  <c r="Q64" i="59"/>
  <c r="M19" i="43"/>
  <c r="U37" i="59"/>
  <c r="D60" i="59"/>
  <c r="C61" i="59"/>
  <c r="D56" i="59"/>
  <c r="C57" i="59"/>
  <c r="D52" i="59"/>
  <c r="C53" i="59"/>
  <c r="U12" i="35"/>
  <c r="AB12" i="35"/>
  <c r="AB9" i="35"/>
  <c r="U9" i="35"/>
  <c r="AC12" i="21"/>
  <c r="W12" i="21"/>
  <c r="P64" i="59"/>
  <c r="E63" i="59"/>
  <c r="AC36" i="35"/>
  <c r="W36" i="35"/>
  <c r="S12" i="35"/>
  <c r="AA12" i="35"/>
  <c r="AA9" i="35"/>
  <c r="S9" i="35"/>
  <c r="AB12" i="21"/>
  <c r="U12" i="21"/>
  <c r="AA12" i="21"/>
  <c r="S12" i="21"/>
  <c r="B12" i="59"/>
  <c r="B11" i="59" s="1"/>
  <c r="B10" i="59" s="1"/>
  <c r="B9" i="59" s="1"/>
  <c r="S13" i="59"/>
  <c r="C18" i="15"/>
  <c r="C16" i="15"/>
  <c r="J7" i="35"/>
  <c r="AC7" i="35" s="1"/>
  <c r="V38" i="35" s="1"/>
  <c r="I38" i="35" s="1"/>
  <c r="C30" i="11"/>
  <c r="C48" i="11"/>
  <c r="C32" i="15"/>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H70" i="39"/>
  <c r="W7" i="35"/>
  <c r="D22" i="50"/>
  <c r="B35" i="60" s="1"/>
  <c r="B33" i="60"/>
  <c r="D12" i="59"/>
  <c r="C11" i="59"/>
  <c r="C19" i="43"/>
  <c r="P24" i="43"/>
  <c r="B66" i="40" s="1"/>
  <c r="P21" i="43"/>
  <c r="B71" i="39" s="1"/>
  <c r="P23" i="43"/>
  <c r="P22" i="43"/>
  <c r="P28" i="43"/>
  <c r="N28" i="43"/>
  <c r="M28" i="43"/>
  <c r="O28" i="43"/>
  <c r="G20" i="43" s="1"/>
  <c r="E41" i="43" s="1"/>
  <c r="C41" i="43" s="1"/>
  <c r="F11" i="15"/>
  <c r="M11" i="15"/>
  <c r="J10" i="15" s="1"/>
  <c r="J5" i="15" s="1"/>
  <c r="G1" i="61"/>
  <c r="C19" i="15" l="1"/>
  <c r="C20" i="15" s="1"/>
  <c r="C26" i="15" s="1"/>
  <c r="E27" i="1"/>
  <c r="F22" i="11" s="1"/>
  <c r="F41" i="11" s="1"/>
  <c r="J7" i="36"/>
  <c r="AC7" i="36" s="1"/>
  <c r="V36" i="36" s="1"/>
  <c r="I36" i="36" s="1"/>
  <c r="S9" i="59"/>
  <c r="B8" i="59"/>
  <c r="B7" i="59" s="1"/>
  <c r="B6" i="59" s="1"/>
  <c r="B5" i="59" s="1"/>
  <c r="S5" i="59" s="1"/>
  <c r="Q63" i="59"/>
  <c r="Q62" i="59"/>
  <c r="P62" i="59"/>
  <c r="P63" i="59"/>
  <c r="D53" i="59"/>
  <c r="T53" i="59"/>
  <c r="D57" i="59"/>
  <c r="T57" i="59"/>
  <c r="D61" i="59"/>
  <c r="T61" i="59"/>
  <c r="H7" i="36"/>
  <c r="C20" i="43"/>
  <c r="C29" i="43" s="1"/>
  <c r="B5" i="55"/>
  <c r="B55" i="60" s="1"/>
  <c r="B18" i="49"/>
  <c r="B4" i="60" s="1"/>
  <c r="D11" i="59"/>
  <c r="C10"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4" i="15" l="1"/>
  <c r="C24" i="15" s="1"/>
  <c r="F25" i="12"/>
  <c r="C26" i="12" s="1"/>
  <c r="D25" i="12" s="1"/>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0" i="59"/>
  <c r="C9"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3" i="15"/>
  <c r="C43" i="11"/>
  <c r="C23" i="11"/>
  <c r="C44" i="11"/>
  <c r="D41" i="11" s="1"/>
  <c r="C25" i="11"/>
  <c r="C42" i="11"/>
  <c r="C26" i="11"/>
  <c r="D22" i="11" s="1"/>
  <c r="C24" i="11"/>
  <c r="C61" i="15"/>
  <c r="C67" i="15"/>
  <c r="C38" i="15"/>
  <c r="C27" i="12" l="1"/>
  <c r="C25" i="12" s="1"/>
  <c r="C8" i="59"/>
  <c r="C7" i="59" s="1"/>
  <c r="T9" i="59"/>
  <c r="E33" i="43"/>
  <c r="G36" i="43"/>
  <c r="I36" i="43" s="1"/>
  <c r="E35" i="43"/>
  <c r="E34" i="43"/>
  <c r="G37" i="43"/>
  <c r="I37" i="43" s="1"/>
  <c r="D9" i="59"/>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22" i="11"/>
  <c r="C31" i="11" s="1"/>
  <c r="C32" i="12"/>
  <c r="D7" i="59" l="1"/>
  <c r="C6" i="59"/>
  <c r="D8"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6" i="59" l="1"/>
  <c r="C5"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56" i="11"/>
  <c r="C57" i="11" s="1"/>
  <c r="B2" i="11"/>
  <c r="B3" i="11"/>
  <c r="C98" i="57" l="1"/>
  <c r="E98" i="57" s="1"/>
  <c r="E99" i="57" s="1"/>
  <c r="D5" i="59"/>
  <c r="T5" i="59"/>
  <c r="M20" i="43"/>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O63" i="57" l="1"/>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D35" i="9" l="1"/>
  <c r="D34" i="9" s="1"/>
  <c r="L65" i="40"/>
  <c r="M63" i="40"/>
  <c r="AA7" i="39"/>
  <c r="R47" i="39" s="1"/>
  <c r="R48" i="39" s="1"/>
  <c r="S7" i="39"/>
  <c r="M59" i="34"/>
  <c r="N59" i="34" s="1"/>
  <c r="O59" i="34" s="1"/>
  <c r="H7" i="34" s="1"/>
  <c r="AB7" i="39"/>
  <c r="U7" i="39"/>
  <c r="AC7" i="39"/>
  <c r="W7" i="39"/>
  <c r="L58" i="15"/>
  <c r="L61" i="15" s="1"/>
  <c r="Q64" i="15" l="1"/>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19" i="9"/>
  <c r="D20" i="9"/>
  <c r="R50" i="34" l="1"/>
  <c r="C50" i="34" s="1"/>
  <c r="B2" i="34" s="1"/>
  <c r="E49" i="34"/>
  <c r="E53" i="34" s="1"/>
  <c r="F53" i="34" s="1"/>
  <c r="D101" i="9"/>
  <c r="D102" i="9"/>
  <c r="I53" i="34"/>
  <c r="J53"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19" i="9"/>
  <c r="C49" i="34" l="1"/>
  <c r="I54" i="34"/>
  <c r="J54" i="34" s="1"/>
  <c r="E54" i="34"/>
  <c r="F54" i="34" s="1"/>
  <c r="C101" i="9"/>
  <c r="D22" i="9"/>
  <c r="G19" i="9"/>
  <c r="B3" i="34"/>
  <c r="AC7" i="40"/>
  <c r="V42" i="40" s="1"/>
  <c r="I42" i="40" s="1"/>
  <c r="I46" i="40" s="1"/>
  <c r="J46" i="40" s="1"/>
  <c r="W7" i="40"/>
  <c r="S7" i="40"/>
  <c r="AA7" i="40"/>
  <c r="R42" i="40" s="1"/>
  <c r="R43" i="40" s="1"/>
  <c r="AB7" i="40"/>
  <c r="T42" i="40" s="1"/>
  <c r="G42" i="40" s="1"/>
  <c r="G46" i="40" s="1"/>
  <c r="H46" i="40" s="1"/>
  <c r="U7" i="40"/>
  <c r="C20" i="9"/>
  <c r="C102" i="9" l="1"/>
  <c r="G20" i="9"/>
  <c r="C32" i="9" s="1"/>
  <c r="C35" i="9" s="1"/>
  <c r="C34" i="9" s="1"/>
  <c r="G47" i="40"/>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N49" i="9"/>
  <c r="M65" i="9" s="1"/>
  <c r="N65" i="9" s="1"/>
  <c r="M68" i="9" l="1"/>
  <c r="N68" i="9" s="1"/>
  <c r="M67" i="9"/>
  <c r="N67" i="9" s="1"/>
  <c r="M63" i="9"/>
  <c r="N63" i="9" s="1"/>
  <c r="N69" i="9" s="1"/>
  <c r="O69" i="9" s="1"/>
  <c r="M64" i="9"/>
  <c r="N64" i="9" s="1"/>
  <c r="M66" i="9"/>
  <c r="N66" i="9" s="1"/>
  <c r="F121" i="9"/>
  <c r="D121" i="9"/>
  <c r="H121" i="9"/>
  <c r="D14" i="62" s="1"/>
  <c r="F14" i="62" l="1"/>
  <c r="E14" i="62"/>
  <c r="B5" i="62"/>
  <c r="E121" i="9"/>
  <c r="E4" i="52" s="1"/>
  <c r="B38" i="60" s="1"/>
  <c r="D4" i="52"/>
  <c r="B37" i="60" s="1"/>
  <c r="C103" i="9"/>
  <c r="H4" i="52"/>
  <c r="G121" i="9"/>
  <c r="G4" i="52" s="1"/>
  <c r="B41" i="60" s="1"/>
  <c r="F4" i="52"/>
  <c r="B40" i="60" s="1"/>
  <c r="I102" i="9"/>
  <c r="I121" i="9"/>
  <c r="F122" i="9"/>
  <c r="F5" i="52" s="1"/>
  <c r="B42" i="60" s="1"/>
  <c r="H122" i="9"/>
  <c r="H5" i="52" s="1"/>
  <c r="D106" i="9"/>
  <c r="D112" i="9" s="1"/>
  <c r="D107" i="9"/>
  <c r="D122" i="9"/>
  <c r="D5" i="52" s="1"/>
  <c r="B39" i="60" s="1"/>
  <c r="D113" i="9" l="1"/>
  <c r="I111" i="9" s="1"/>
  <c r="C5" i="62"/>
  <c r="D5" i="62"/>
  <c r="N48" i="9"/>
  <c r="D28" i="50"/>
  <c r="D29" i="50" s="1"/>
  <c r="D7" i="50"/>
  <c r="I103" i="9"/>
  <c r="I4" i="52"/>
  <c r="D45" i="9"/>
  <c r="D52" i="9" s="1"/>
  <c r="I110" i="9"/>
  <c r="C104" i="9"/>
  <c r="D117" i="9"/>
  <c r="D38" i="50" l="1"/>
  <c r="B62" i="60" s="1"/>
  <c r="C72" i="9"/>
  <c r="C64" i="9"/>
  <c r="C63" i="9" s="1"/>
  <c r="C67" i="9" s="1"/>
  <c r="C68" i="9" s="1"/>
  <c r="D54" i="9" s="1"/>
  <c r="C78" i="9"/>
  <c r="C73" i="9" s="1"/>
  <c r="C79" i="9" s="1"/>
  <c r="D53" i="9"/>
  <c r="D48" i="9" s="1"/>
  <c r="N52" i="9" s="1"/>
  <c r="O57" i="9" s="1"/>
  <c r="O58" i="9" s="1"/>
  <c r="D30" i="50"/>
  <c r="D9" i="50"/>
  <c r="B21" i="60" s="1"/>
  <c r="C85" i="9"/>
  <c r="C93" i="9"/>
  <c r="C86" i="9" s="1"/>
  <c r="I115" i="9"/>
  <c r="D23" i="50" s="1"/>
  <c r="B34" i="60" s="1"/>
  <c r="D44" i="50"/>
  <c r="D125" i="9"/>
  <c r="D36" i="50"/>
  <c r="D37" i="50" s="1"/>
  <c r="D15" i="50"/>
  <c r="B19" i="60"/>
  <c r="D8" i="50"/>
  <c r="B22" i="60" s="1"/>
  <c r="D126" i="9"/>
  <c r="D9" i="52" s="1"/>
  <c r="D17" i="50"/>
  <c r="D8" i="52" l="1"/>
  <c r="G14" i="62"/>
  <c r="B6" i="62" s="1"/>
  <c r="Q57" i="9"/>
  <c r="O59" i="9"/>
  <c r="O60" i="9" s="1"/>
  <c r="B29" i="60"/>
  <c r="D16" i="50"/>
  <c r="B30" i="60" s="1"/>
  <c r="C95" i="9"/>
  <c r="C80" i="9"/>
  <c r="E80" i="9" s="1"/>
  <c r="E81" i="9" s="1"/>
  <c r="C81" i="9" l="1"/>
  <c r="O61" i="9"/>
  <c r="D6" i="62"/>
  <c r="C6" i="62"/>
  <c r="C96" i="9"/>
  <c r="E96" i="9" s="1"/>
  <c r="E97" i="9" s="1"/>
  <c r="C97" i="9" l="1"/>
  <c r="D58"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<sst xmlns="http://schemas.openxmlformats.org/spreadsheetml/2006/main" count="6957" uniqueCount="3029">
  <si>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</si>
  <si>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</si>
  <si>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</si>
  <si>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</si>
  <si>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</si>
  <si>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</si>
  <si>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</si>
  <si>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</si>
  <si>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</si>
  <si>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</si>
  <si>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</si>
  <si>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</si>
  <si>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</si>
  <si>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</si>
  <si>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</si>
  <si>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</si>
  <si>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</si>
  <si>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</si>
  <si>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</si>
  <si>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</si>
  <si>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</si>
  <si>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</si>
  <si>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</si>
  <si>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</si>
  <si>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</si>
  <si>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</si>
  <si>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</si>
  <si>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</si>
  <si>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</si>
  <si>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</si>
  <si>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</si>
  <si>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</si>
  <si>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</si>
  <si>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</si>
  <si>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</si>
  <si>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</si>
  <si>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</si>
  <si>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</si>
  <si>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</si>
  <si>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</si>
  <si>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</si>
  <si>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</si>
  <si>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</si>
  <si>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</si>
  <si>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</si>
  <si>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</si>
  <si>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</si>
  <si>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</si>
  <si>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</si>
  <si>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</si>
  <si>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</si>
  <si>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</si>
  <si>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</si>
  <si>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</si>
  <si>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</si>
  <si>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</si>
  <si>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</si>
  <si>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</si>
  <si>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</si>
  <si>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</si>
  <si>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</si>
  <si>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</si>
  <si>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</si>
  <si>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</si>
  <si>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</si>
  <si>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</si>
  <si>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</si>
  <si>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</si>
  <si>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</si>
  <si>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</si>
  <si>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</si>
  <si>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</si>
  <si>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</si>
  <si>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</si>
  <si>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</si>
  <si>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</si>
  <si>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</si>
  <si>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</si>
  <si>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</si>
  <si>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</si>
  <si>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</si>
  <si>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</si>
  <si>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</si>
  <si>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</si>
  <si>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</si>
  <si>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</si>
  <si>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</si>
  <si>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</si>
  <si>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</si>
  <si>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</si>
  <si>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</si>
  <si>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</si>
  <si>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</si>
  <si>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</si>
  <si>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</si>
  <si>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</si>
  <si>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</si>
  <si>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</si>
  <si>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</si>
  <si>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</si>
  <si>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</si>
  <si>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</si>
  <si>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</si>
  <si>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</si>
  <si>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</si>
  <si>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</si>
  <si>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</si>
  <si>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</si>
  <si>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</si>
  <si>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</si>
  <si>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</si>
  <si>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</si>
  <si>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</si>
  <si>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</si>
  <si>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</si>
  <si>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</si>
  <si>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</si>
  <si>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</si>
  <si>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</si>
  <si>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</si>
  <si>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</si>
  <si>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</si>
  <si>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</si>
  <si>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</si>
  <si>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</si>
  <si>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</si>
  <si>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</si>
  <si>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</si>
  <si>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</si>
  <si>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</si>
  <si>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</si>
  <si>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</si>
  <si>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</si>
  <si>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</si>
  <si>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</si>
  <si>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</si>
  <si>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</si>
  <si>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</si>
  <si>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</si>
  <si>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</si>
  <si>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</si>
  <si>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</si>
  <si>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</si>
  <si>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</si>
  <si>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</si>
  <si>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</si>
  <si>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</si>
  <si>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</si>
  <si>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</si>
  <si>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</si>
  <si>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</si>
  <si>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</si>
  <si>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</si>
  <si>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</si>
  <si>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</si>
  <si>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</si>
  <si>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</si>
  <si>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</si>
  <si>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</si>
  <si>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</si>
  <si>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</si>
  <si>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</si>
  <si>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</si>
  <si>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</si>
  <si>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</si>
  <si>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</si>
  <si>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</si>
  <si>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</si>
  <si>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</si>
  <si>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</si>
  <si>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</si>
  <si>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</si>
  <si>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</si>
  <si>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</si>
  <si>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</si>
  <si>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</si>
  <si>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</si>
  <si>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</si>
  <si>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</si>
  <si>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</si>
  <si>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</si>
  <si>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</si>
  <si>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</si>
  <si>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</si>
  <si>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</si>
  <si>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</si>
  <si>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</si>
  <si>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</si>
  <si>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</si>
  <si>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</si>
  <si>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</si>
  <si>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</si>
  <si>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</si>
  <si>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</si>
  <si>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</si>
  <si>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</si>
  <si>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</si>
  <si>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</si>
  <si>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</si>
  <si>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</si>
  <si>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</si>
  <si>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</si>
  <si>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</si>
  <si>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</si>
  <si>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</si>
  <si>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</si>
  <si>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</si>
  <si>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</si>
  <si>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</si>
  <si>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</si>
  <si>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</si>
  <si>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</si>
  <si>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</si>
  <si>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</si>
  <si>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</si>
  <si>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</si>
  <si>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</si>
  <si>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</si>
  <si>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</si>
  <si>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</si>
  <si>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</si>
  <si>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</si>
  <si>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</si>
  <si>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</si>
  <si>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</si>
  <si>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</si>
  <si>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</si>
  <si>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</si>
  <si>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</si>
  <si>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</si>
  <si>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</si>
  <si>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</si>
  <si>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</si>
  <si>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</si>
  <si>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</si>
  <si>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</si>
  <si>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</si>
  <si>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</si>
  <si>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</si>
  <si>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</si>
  <si>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</si>
  <si>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</si>
  <si>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</si>
  <si>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</si>
  <si>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</si>
  <si>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</si>
  <si>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</si>
  <si>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</si>
  <si>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</si>
  <si>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</si>
  <si>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</si>
  <si>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</si>
  <si>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</si>
  <si>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</si>
  <si>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</si>
  <si>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</si>
  <si>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</si>
  <si>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</si>
  <si>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</si>
  <si>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</si>
  <si>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</si>
  <si>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</si>
  <si>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</si>
  <si>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</si>
  <si>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</si>
  <si>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</si>
  <si>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</si>
  <si>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</si>
  <si>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</si>
  <si>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</si>
  <si>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</si>
  <si>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</si>
  <si>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</si>
  <si>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</si>
  <si>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</si>
  <si>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</si>
  <si>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</si>
  <si>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</si>
  <si>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</si>
  <si>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</si>
  <si>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</si>
  <si>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</si>
  <si>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</si>
  <si>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</si>
  <si>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</si>
  <si>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</si>
  <si>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</si>
  <si>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</si>
  <si>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</si>
  <si>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</si>
  <si>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</si>
  <si>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</si>
  <si>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</si>
  <si>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</si>
  <si>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</si>
  <si>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</si>
  <si>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</si>
  <si>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</si>
  <si>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</si>
  <si>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</si>
  <si>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</si>
  <si>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</si>
  <si>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</si>
  <si>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</si>
  <si>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</si>
  <si>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</si>
  <si>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</si>
  <si>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</si>
  <si>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</si>
  <si>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</si>
  <si>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</si>
  <si>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</si>
  <si>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</si>
  <si>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</si>
  <si>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</si>
  <si>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</si>
  <si>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</si>
  <si>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</si>
  <si>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</si>
  <si>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</si>
  <si>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</si>
  <si>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</si>
  <si>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</si>
  <si>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</si>
  <si>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</si>
  <si>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</si>
  <si>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</si>
  <si>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</si>
  <si>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</si>
  <si>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</si>
  <si>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</si>
  <si>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</si>
  <si>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</si>
  <si>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</si>
  <si>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</si>
  <si>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</si>
  <si>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</si>
  <si>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</si>
  <si>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</si>
  <si>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</si>
  <si>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</si>
  <si>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</si>
  <si>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</si>
  <si>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</si>
  <si>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</si>
  <si>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</si>
  <si>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</si>
  <si>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</si>
  <si>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</si>
  <si>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</si>
  <si>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</si>
  <si>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</si>
  <si>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</si>
  <si>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</si>
  <si>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</si>
  <si>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</si>
  <si>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</si>
  <si>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</si>
  <si>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</si>
  <si>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</si>
  <si>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</si>
  <si>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</si>
  <si>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</si>
  <si>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</si>
  <si>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</si>
  <si>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</si>
  <si>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</si>
  <si>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</si>
  <si>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</si>
  <si>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</si>
  <si>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</si>
  <si>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</si>
  <si>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</si>
  <si>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</si>
  <si>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</si>
  <si>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</si>
  <si>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</si>
  <si>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</si>
  <si>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</si>
  <si>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</si>
  <si>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</si>
  <si>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</si>
  <si>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</si>
  <si>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</si>
  <si>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</si>
  <si>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</si>
  <si>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</si>
  <si>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</si>
  <si>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</si>
  <si>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</si>
  <si>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</si>
  <si>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</si>
  <si>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</si>
  <si>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</si>
  <si>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</si>
  <si>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</si>
  <si>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</si>
  <si>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</si>
  <si>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</si>
  <si>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</si>
  <si>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</si>
  <si>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</si>
  <si>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</si>
  <si>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</si>
  <si>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</si>
  <si>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</si>
  <si>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</si>
  <si>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</si>
  <si>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</si>
  <si>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</si>
  <si>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</si>
  <si>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</si>
  <si>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</si>
  <si>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</si>
  <si>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</si>
  <si>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</si>
  <si>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</si>
  <si>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</si>
  <si>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</si>
  <si>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</si>
  <si>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</si>
  <si>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</si>
  <si>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</si>
  <si>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</si>
  <si>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</si>
  <si>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</si>
  <si>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</si>
  <si>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</si>
  <si>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</si>
  <si>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</si>
  <si>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</si>
  <si>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</si>
  <si>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</si>
  <si>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</si>
  <si>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</si>
  <si>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</si>
  <si>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</si>
  <si>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</si>
  <si>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</si>
  <si>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</si>
  <si>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</si>
  <si>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</si>
  <si>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</si>
  <si>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</si>
  <si>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</si>
  <si>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</si>
  <si>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</si>
  <si>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</si>
  <si>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</si>
  <si>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</si>
  <si>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</si>
  <si>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</si>
  <si>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</si>
  <si>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</si>
  <si>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</si>
  <si>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</si>
  <si>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</si>
  <si>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</si>
  <si>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</si>
  <si>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</si>
  <si>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</si>
  <si>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</si>
  <si>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</si>
  <si>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</si>
  <si>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</si>
  <si>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</si>
  <si>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</si>
  <si>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</si>
  <si>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</si>
  <si>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</si>
  <si>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</si>
  <si>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</si>
  <si>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</si>
  <si>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</si>
  <si>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</si>
  <si>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</si>
  <si>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</si>
  <si>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</si>
  <si>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</si>
  <si>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</si>
  <si>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</si>
  <si>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</si>
  <si>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</si>
  <si>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</si>
  <si>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</si>
  <si>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</si>
  <si>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</si>
  <si>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</si>
  <si>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</si>
  <si>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</si>
  <si>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</si>
  <si>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</si>
  <si>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</si>
  <si>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</si>
  <si>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</si>
  <si>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</si>
  <si>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</si>
  <si>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</si>
  <si>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</si>
  <si>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</si>
  <si>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</si>
  <si>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</si>
  <si>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</si>
  <si>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</si>
  <si>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</si>
  <si>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</si>
  <si>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</si>
  <si>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</si>
  <si>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</si>
  <si>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</si>
  <si>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</si>
  <si>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</si>
  <si>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</si>
  <si>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</si>
  <si>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</si>
  <si>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</si>
  <si>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</si>
  <si>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</si>
  <si>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</si>
  <si>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</si>
  <si>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</si>
  <si>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</si>
  <si>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</si>
  <si>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</si>
  <si>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</si>
  <si>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</si>
  <si>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</si>
  <si>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</si>
  <si>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</si>
  <si>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</si>
  <si>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</si>
  <si>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</si>
  <si>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</si>
  <si>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</si>
  <si>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</si>
  <si>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</si>
  <si>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</si>
  <si>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</si>
  <si>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</si>
  <si>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</si>
  <si>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</si>
  <si>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</si>
  <si>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</si>
  <si>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</si>
  <si>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</si>
  <si>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</si>
  <si>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</si>
  <si>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</si>
  <si>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</si>
  <si>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</si>
  <si>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</si>
  <si>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</si>
  <si>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</si>
  <si>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</si>
  <si>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</si>
  <si>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</si>
  <si>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</si>
  <si>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</si>
  <si>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</si>
  <si>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</si>
  <si>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</si>
  <si>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</si>
  <si>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</si>
  <si>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</si>
  <si>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</si>
  <si>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</si>
  <si>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</si>
  <si>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</si>
  <si>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</si>
  <si>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</si>
  <si>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</si>
  <si>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</si>
  <si>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</si>
  <si>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</si>
  <si>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</si>
  <si>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</si>
  <si>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</si>
  <si>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</si>
  <si>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</si>
  <si>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</si>
  <si>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</si>
  <si>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</si>
  <si>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</si>
  <si>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</si>
  <si>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</si>
  <si>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</si>
  <si>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</si>
  <si>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</si>
  <si>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</si>
  <si>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</si>
  <si>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</si>
  <si>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</si>
  <si>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</si>
  <si>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</si>
  <si>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</si>
  <si>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</si>
  <si>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</si>
  <si>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</si>
  <si>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</si>
  <si>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</si>
  <si>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</si>
  <si>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</si>
  <si>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</si>
  <si>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</si>
  <si>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</si>
  <si>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</si>
  <si>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</si>
  <si>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</si>
  <si>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</si>
  <si>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</si>
  <si>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</si>
  <si>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</si>
  <si>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</si>
  <si>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</si>
  <si>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</si>
  <si>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</si>
  <si>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</si>
  <si>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</si>
  <si>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</si>
  <si>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</si>
  <si>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</si>
  <si>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</si>
  <si>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</si>
  <si>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</si>
  <si>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</si>
  <si>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</si>
  <si>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</si>
  <si>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</si>
  <si>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</si>
  <si>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</si>
  <si>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</si>
  <si>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</si>
  <si>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</si>
  <si>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</si>
  <si>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</si>
  <si>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</si>
  <si>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</si>
  <si>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</si>
  <si>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</si>
  <si>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</si>
  <si>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</si>
  <si>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</si>
  <si>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</si>
  <si>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</si>
  <si>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</si>
  <si>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</si>
  <si>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</si>
  <si>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</si>
  <si>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</si>
  <si>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</si>
  <si>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</si>
  <si>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</si>
  <si>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</si>
  <si>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</si>
  <si>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</si>
  <si>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</si>
  <si>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</si>
  <si>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</si>
  <si>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</si>
  <si>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</si>
  <si>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</si>
  <si>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</si>
  <si>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</si>
  <si>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</si>
  <si>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</si>
  <si>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</si>
  <si>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</si>
  <si>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</si>
  <si>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</si>
  <si>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</si>
  <si>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</si>
  <si>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</si>
  <si>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</si>
  <si>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</si>
  <si>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</si>
  <si>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</si>
  <si>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</si>
  <si>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</si>
  <si>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</si>
  <si>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</si>
  <si>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</si>
  <si>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</si>
  <si>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</si>
  <si>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</si>
  <si>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</si>
  <si>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</si>
  <si>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</si>
  <si>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</si>
  <si>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</si>
  <si>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</si>
  <si>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</si>
  <si>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</si>
  <si>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</si>
  <si>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</si>
  <si>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</si>
  <si>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</si>
  <si>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</si>
  <si>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</si>
  <si>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</si>
  <si>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</si>
  <si>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</si>
  <si>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</si>
  <si>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</si>
  <si>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</si>
  <si>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</si>
  <si>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</si>
  <si>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</si>
  <si>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</si>
  <si>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</si>
  <si>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</si>
  <si>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</si>
  <si>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</si>
  <si>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</si>
  <si>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</si>
  <si>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</si>
  <si>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</si>
  <si>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</si>
  <si>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</si>
  <si>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</si>
  <si>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</si>
  <si>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</si>
  <si>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</si>
  <si>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</si>
  <si>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</si>
  <si>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</si>
  <si>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</si>
  <si>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</si>
  <si>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</si>
  <si>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</si>
  <si>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</si>
  <si>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</si>
  <si>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</si>
  <si>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</si>
  <si>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</si>
  <si>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</si>
  <si>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</si>
  <si>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</si>
  <si>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</si>
  <si>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</si>
  <si>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</si>
  <si>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</si>
  <si>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</si>
  <si>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</si>
  <si>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</si>
  <si>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</si>
  <si>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</si>
  <si>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</si>
  <si>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</si>
  <si>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</si>
  <si>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</si>
  <si>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</si>
  <si>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</si>
  <si>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</si>
  <si>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</si>
  <si>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</si>
  <si>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</si>
  <si>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</si>
  <si>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</si>
  <si>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</si>
  <si>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</si>
  <si>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</si>
  <si>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</si>
  <si>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</si>
  <si>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</si>
  <si>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</si>
  <si>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</si>
  <si>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</si>
  <si>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</si>
  <si>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</si>
  <si>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</si>
  <si>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</si>
  <si>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</si>
  <si>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</si>
  <si>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</si>
  <si>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</si>
  <si>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</si>
  <si>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</si>
  <si>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</si>
  <si>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</si>
  <si>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</si>
  <si>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</si>
  <si>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</si>
  <si>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</si>
  <si>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</si>
  <si>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</si>
  <si>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</si>
  <si>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</si>
  <si>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</si>
  <si>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</si>
  <si>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</si>
  <si>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</si>
  <si>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</si>
  <si>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</si>
  <si>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</si>
  <si>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</si>
  <si>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</si>
  <si>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</si>
  <si>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</si>
  <si>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</si>
  <si>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</si>
  <si>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</si>
  <si>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</si>
  <si>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</si>
  <si>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</si>
  <si>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</si>
  <si>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</si>
  <si>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</si>
  <si>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</si>
  <si>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</si>
  <si>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</si>
  <si>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</si>
  <si>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</si>
  <si>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</si>
  <si>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</si>
  <si>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</si>
  <si>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</si>
  <si>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</si>
  <si>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</si>
  <si>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</si>
  <si>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</si>
  <si>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</si>
  <si>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</si>
  <si>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</si>
  <si>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</si>
  <si>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</si>
  <si>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</si>
  <si>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</si>
  <si>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</si>
  <si>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</si>
  <si>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</si>
  <si>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</si>
  <si>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</si>
  <si>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</si>
  <si>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</si>
  <si>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</si>
  <si>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</si>
  <si>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</si>
  <si>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</si>
  <si>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</si>
  <si>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</si>
  <si>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</si>
  <si>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</si>
  <si>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</si>
  <si>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</si>
  <si>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</si>
  <si>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</si>
  <si>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</si>
  <si>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</si>
  <si>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</si>
  <si>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</si>
  <si>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</si>
  <si>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</si>
  <si>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</si>
  <si>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</si>
  <si>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</si>
  <si>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</si>
  <si>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</si>
  <si>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</si>
  <si>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</si>
  <si>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</si>
  <si>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</si>
  <si>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</si>
  <si>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</si>
  <si>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</si>
  <si>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</si>
  <si>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</si>
  <si>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</si>
  <si>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</si>
  <si>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</si>
  <si>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</si>
  <si>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</si>
  <si>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</si>
  <si>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</si>
  <si>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</si>
  <si>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</si>
  <si>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</si>
  <si>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</si>
  <si>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</si>
  <si>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</si>
  <si>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</si>
  <si>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</si>
  <si>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</si>
  <si>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</si>
  <si>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</si>
  <si>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</si>
  <si>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</si>
  <si>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</si>
  <si>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</si>
  <si>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</si>
  <si>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</si>
  <si>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</si>
  <si>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</si>
  <si>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</si>
  <si>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</si>
  <si>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</si>
  <si>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</si>
  <si>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</si>
  <si>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</si>
  <si>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</si>
  <si>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</si>
  <si>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</si>
  <si>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</si>
  <si>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</si>
  <si>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</si>
  <si>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</si>
  <si>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</si>
  <si>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</si>
  <si>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</si>
  <si>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</si>
  <si>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</si>
  <si>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</si>
  <si>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</si>
  <si>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</si>
  <si>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</si>
  <si>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</si>
  <si>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</si>
  <si>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</si>
  <si>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</si>
  <si>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</si>
  <si>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</si>
  <si>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</si>
  <si>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</si>
  <si>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</si>
  <si>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</si>
  <si>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</si>
  <si>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</si>
  <si>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</si>
  <si>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</si>
  <si>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</si>
  <si>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</si>
  <si>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</si>
  <si>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</si>
  <si>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</si>
  <si>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</si>
  <si>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</si>
  <si>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</si>
  <si>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</si>
  <si>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</si>
  <si>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</si>
  <si>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</si>
  <si>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</si>
  <si>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</si>
  <si>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</si>
  <si>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</si>
  <si>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</si>
  <si>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</si>
  <si>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</si>
  <si>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</si>
  <si>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</si>
  <si>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</si>
  <si>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</si>
  <si>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</si>
  <si>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</si>
  <si>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</si>
  <si>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</si>
  <si>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</si>
  <si>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</si>
  <si>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</si>
  <si>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</si>
  <si>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</si>
  <si>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</si>
  <si>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</si>
  <si>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</si>
  <si>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</si>
  <si>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</si>
  <si>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</si>
  <si>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</si>
  <si>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</si>
  <si>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</si>
  <si>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</si>
  <si>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</si>
  <si>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</si>
  <si>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</si>
  <si>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</si>
  <si>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</si>
  <si>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</si>
  <si>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</si>
  <si>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</si>
  <si>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</si>
  <si>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</si>
  <si>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</si>
  <si>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</si>
  <si>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</si>
  <si>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</si>
  <si>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</si>
  <si>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</si>
  <si>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</si>
  <si>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</si>
  <si>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</si>
  <si>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</si>
  <si>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</si>
  <si>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</si>
  <si>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</si>
  <si>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</si>
  <si>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</si>
  <si>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</si>
  <si>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</si>
  <si>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</si>
  <si>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</si>
  <si>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</si>
  <si>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</si>
  <si>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</si>
  <si>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</si>
  <si>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</si>
  <si>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</si>
  <si>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</si>
  <si>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</si>
  <si>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</si>
  <si>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</si>
  <si>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</si>
  <si>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</si>
  <si>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</si>
  <si>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</si>
  <si>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</si>
  <si>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</si>
  <si>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</si>
  <si>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</si>
  <si>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</si>
  <si>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</si>
  <si>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</si>
  <si>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</si>
  <si>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</si>
  <si>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</si>
  <si>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</si>
  <si>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</si>
  <si>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</si>
  <si>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</si>
  <si>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</si>
  <si>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</si>
  <si>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</si>
  <si>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</si>
  <si>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</si>
  <si>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</si>
  <si>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</si>
  <si>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</si>
  <si>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</si>
  <si>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</si>
  <si>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</si>
  <si>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</si>
  <si>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</si>
  <si>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</si>
  <si>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</si>
  <si>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</si>
  <si>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</si>
  <si>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</si>
  <si>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</si>
  <si>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</si>
  <si>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</si>
  <si>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</si>
  <si>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</si>
  <si>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</si>
  <si>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</si>
  <si>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</si>
  <si>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</si>
  <si>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</si>
  <si>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</si>
  <si>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</si>
  <si>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</si>
  <si>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</si>
  <si>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</si>
  <si>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</si>
  <si>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</si>
  <si>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</si>
  <si>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</si>
  <si>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</si>
  <si>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</si>
  <si>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</si>
  <si>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</si>
  <si>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</si>
  <si>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</si>
  <si>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</si>
  <si>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</si>
  <si>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</si>
  <si>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</si>
  <si>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</si>
  <si>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</si>
  <si>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</si>
  <si>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</si>
  <si>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</si>
  <si>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</si>
  <si>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</si>
  <si>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</si>
  <si>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</si>
  <si>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</si>
  <si>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</si>
  <si>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</si>
  <si>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</si>
  <si>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</si>
  <si>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</si>
  <si>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</si>
  <si>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</si>
  <si>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</si>
  <si>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</si>
  <si>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</si>
  <si>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</si>
  <si>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</si>
  <si>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</si>
  <si>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</si>
  <si>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</si>
  <si>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</si>
  <si>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</si>
  <si>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</si>
  <si>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</si>
  <si>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</si>
  <si>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</si>
  <si>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</si>
  <si>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</si>
  <si>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</si>
  <si>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</si>
  <si>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</si>
  <si>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</si>
  <si>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</si>
  <si>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</si>
  <si>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</si>
  <si>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</si>
  <si>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</si>
  <si>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</si>
  <si>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</si>
  <si>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</si>
  <si>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</si>
  <si>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</si>
  <si>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</si>
  <si>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</si>
  <si>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</si>
  <si>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</si>
  <si>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</si>
  <si>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</si>
  <si>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</si>
  <si>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</si>
  <si>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</si>
  <si>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</si>
  <si>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</si>
  <si>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</si>
  <si>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</si>
  <si>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</si>
  <si>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</si>
  <si>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</si>
  <si>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</si>
  <si>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</si>
  <si>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</si>
  <si>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</si>
  <si>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</si>
  <si>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</si>
  <si>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</si>
  <si>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</si>
  <si>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</si>
  <si>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</si>
  <si>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</si>
  <si>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</si>
  <si>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</si>
  <si>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</si>
  <si>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</si>
  <si>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</si>
  <si>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</si>
  <si>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</si>
  <si>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</si>
  <si>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</si>
  <si>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</si>
  <si>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</si>
  <si>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</si>
  <si>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</si>
  <si>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</si>
  <si>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</si>
  <si>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</si>
  <si>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</si>
  <si>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</si>
  <si>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</si>
  <si>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</si>
  <si>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</si>
  <si>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</si>
  <si>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</si>
  <si>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</si>
  <si>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</si>
  <si>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</si>
  <si>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</si>
  <si>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</si>
  <si>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</si>
  <si>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</si>
  <si>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</si>
  <si>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</si>
  <si>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</si>
  <si>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</si>
  <si>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</si>
  <si>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</si>
  <si>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</si>
  <si>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</si>
  <si>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</si>
  <si>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</si>
  <si>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</si>
  <si>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</si>
  <si>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</si>
  <si>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</si>
  <si>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</si>
  <si>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</si>
  <si>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</si>
  <si>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</si>
  <si>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</si>
  <si>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</si>
  <si>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</si>
  <si>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</si>
  <si>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</si>
  <si>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</si>
  <si>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</si>
  <si>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</si>
  <si>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</si>
  <si>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</si>
  <si>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</si>
  <si>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</si>
  <si>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</si>
  <si>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</si>
  <si>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</si>
  <si>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</si>
  <si>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</si>
  <si>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</si>
  <si>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</si>
  <si>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</si>
  <si>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</si>
  <si>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</si>
  <si>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</si>
  <si>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</si>
  <si>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</si>
  <si>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</si>
  <si>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</si>
  <si>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</si>
  <si>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</si>
  <si>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</si>
  <si>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</si>
  <si>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</si>
  <si>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</si>
  <si>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</si>
  <si>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</si>
  <si>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</si>
  <si>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</si>
  <si>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</si>
  <si>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</si>
  <si>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</si>
  <si>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</si>
  <si>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</si>
  <si>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</si>
  <si>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</si>
  <si>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</si>
  <si>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</si>
  <si>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</si>
  <si>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</si>
  <si>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</si>
  <si>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</si>
  <si>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</si>
  <si>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</si>
  <si>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</si>
  <si>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</si>
  <si>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</si>
  <si>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</si>
  <si>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</si>
  <si>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</si>
  <si>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</si>
  <si>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</si>
  <si>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</si>
  <si>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</si>
  <si>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</si>
  <si>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</si>
  <si>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</si>
  <si>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</si>
  <si>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</si>
  <si>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</si>
  <si>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</si>
  <si>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</si>
  <si>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</si>
  <si>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</si>
  <si>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</si>
  <si>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</si>
  <si>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</si>
  <si>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</si>
  <si>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</si>
  <si>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</si>
  <si>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</si>
  <si>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</si>
  <si>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</si>
  <si>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</si>
  <si>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</si>
  <si>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</si>
  <si>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</si>
  <si>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</si>
  <si>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</si>
  <si>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</si>
  <si>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</si>
  <si>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</si>
  <si>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</si>
  <si>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</si>
  <si>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</si>
  <si>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</si>
  <si>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</si>
  <si>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</si>
  <si>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</si>
  <si>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</si>
  <si>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</si>
  <si>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</si>
  <si>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</si>
  <si>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</si>
  <si>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</si>
  <si>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</si>
  <si>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</si>
  <si>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</si>
  <si>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</si>
  <si>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</si>
  <si>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</si>
  <si>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</si>
  <si>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</si>
  <si>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</si>
  <si>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</si>
  <si>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</si>
  <si>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</si>
  <si>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</si>
  <si>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</si>
  <si>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</si>
  <si>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</si>
  <si>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</si>
  <si>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</si>
  <si>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</si>
  <si>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</si>
  <si>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</si>
  <si>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</si>
  <si>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</si>
  <si>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</si>
  <si>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</si>
  <si>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</si>
  <si>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</si>
  <si>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</si>
  <si>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</si>
  <si>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</si>
  <si>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</si>
  <si>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</si>
  <si>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</si>
  <si>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</si>
  <si>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</si>
  <si>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</si>
  <si>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</si>
  <si>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</si>
  <si>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</si>
  <si>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</si>
  <si>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</si>
  <si>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</si>
  <si>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</si>
  <si>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</si>
  <si>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</si>
  <si>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</si>
  <si>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</si>
  <si>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</si>
  <si>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</si>
  <si>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</si>
  <si>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</si>
  <si>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</si>
  <si>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</si>
  <si>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</si>
  <si>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</si>
  <si>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</si>
  <si>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</si>
  <si>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</si>
  <si>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</si>
  <si>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</si>
  <si>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</si>
  <si>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</si>
  <si>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</si>
  <si>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</si>
  <si>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</si>
  <si>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</si>
  <si>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</si>
  <si>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</si>
  <si>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</si>
  <si>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</si>
  <si>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</si>
  <si>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</si>
  <si>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</si>
  <si>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</si>
  <si>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</si>
  <si>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</si>
  <si>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</si>
  <si>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</si>
  <si>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</si>
  <si>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</si>
  <si>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</si>
  <si>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</si>
  <si>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</si>
  <si>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</si>
  <si>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</si>
  <si>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</si>
  <si>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</si>
  <si>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</si>
  <si>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</si>
  <si>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</si>
  <si>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</si>
  <si>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</si>
  <si>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</si>
  <si>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</si>
  <si>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</si>
  <si>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</si>
  <si>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</si>
  <si>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</si>
  <si>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</si>
  <si>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</si>
  <si>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</si>
  <si>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</si>
  <si>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</si>
  <si>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</si>
  <si>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</si>
  <si>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</si>
  <si>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</si>
  <si>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</si>
  <si>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</si>
  <si>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</si>
  <si>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</si>
  <si>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</si>
  <si>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</si>
  <si>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</si>
  <si>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</si>
  <si>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</si>
  <si>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</si>
  <si>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</si>
  <si>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</si>
  <si>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</si>
  <si>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</si>
  <si>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</si>
  <si>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</si>
  <si>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</si>
  <si>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</si>
  <si>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</si>
  <si>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</si>
  <si>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</si>
  <si>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</si>
  <si>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</si>
  <si>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</si>
  <si>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</si>
  <si>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</si>
  <si>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</si>
  <si>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</si>
  <si>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</si>
  <si>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</si>
  <si>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</si>
  <si>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</si>
  <si>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</si>
  <si>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</si>
  <si>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</si>
  <si>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</si>
  <si>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</si>
  <si>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</si>
  <si>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</si>
  <si>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</si>
  <si>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</si>
  <si>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</si>
  <si>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</si>
  <si>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</si>
  <si>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</si>
  <si>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</si>
  <si>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</si>
  <si>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</si>
  <si>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</si>
  <si>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</si>
  <si>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</si>
  <si>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</si>
  <si>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</si>
  <si>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</si>
  <si>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</si>
  <si>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</si>
  <si>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</si>
  <si>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</si>
  <si>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</si>
  <si>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</si>
  <si>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</si>
  <si>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</si>
  <si>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</si>
  <si>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</si>
  <si>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</si>
  <si>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</si>
  <si>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</si>
  <si>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</si>
  <si>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</si>
  <si>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</si>
  <si>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</si>
  <si>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</si>
  <si>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</si>
  <si>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</si>
  <si>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</si>
  <si>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</si>
  <si>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</si>
  <si>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</si>
  <si>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</si>
  <si>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</si>
  <si>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</si>
  <si>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</si>
  <si>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</si>
  <si>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</si>
  <si>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</si>
  <si>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</si>
  <si>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</si>
  <si>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</si>
  <si>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</si>
  <si>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</si>
  <si>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</si>
  <si>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</si>
  <si>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</si>
  <si>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</si>
  <si>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</si>
  <si>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</si>
  <si>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</si>
  <si>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</si>
  <si>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</si>
  <si>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</si>
  <si>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</si>
  <si>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</si>
  <si>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</si>
  <si>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</si>
  <si>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</si>
  <si>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</si>
  <si>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</si>
  <si>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</si>
  <si>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</si>
  <si>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</si>
  <si>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</si>
  <si>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</si>
  <si>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</si>
  <si>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</si>
  <si>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</si>
  <si>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</si>
  <si>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</si>
  <si>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</si>
  <si>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</si>
  <si>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</si>
  <si>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</si>
  <si>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</si>
  <si>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</si>
  <si>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</si>
  <si>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</si>
  <si>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</si>
  <si>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</si>
  <si>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</si>
  <si>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</si>
  <si>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</si>
  <si>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</si>
  <si>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</si>
  <si>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</si>
  <si>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</si>
  <si>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</si>
  <si>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</si>
  <si>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</si>
  <si>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</si>
  <si>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</si>
  <si>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</si>
  <si>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</si>
  <si>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</si>
  <si>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</si>
  <si>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</si>
  <si>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</si>
  <si>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</si>
  <si>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</si>
  <si>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</si>
  <si>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</si>
  <si>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</si>
  <si>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</si>
  <si>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</si>
  <si>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</si>
  <si>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</si>
  <si>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</si>
  <si>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</si>
  <si>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</si>
  <si>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</si>
  <si>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</si>
  <si>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</si>
  <si>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</si>
  <si>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</si>
  <si>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</si>
  <si>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</si>
  <si>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</si>
  <si>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</si>
  <si>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</si>
  <si>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</si>
  <si>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</si>
  <si>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</si>
  <si>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</si>
  <si>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</si>
  <si>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</si>
  <si>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</si>
  <si>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</si>
  <si>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</si>
  <si>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</si>
  <si>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</si>
  <si>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</si>
  <si>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</si>
  <si>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</si>
  <si>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</si>
  <si>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</si>
  <si>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</si>
  <si>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</si>
  <si>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</si>
  <si>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</si>
  <si>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</si>
  <si>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</si>
  <si>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</si>
  <si>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</si>
  <si>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</si>
  <si>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</si>
  <si>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</si>
  <si>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</si>
  <si>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</si>
  <si>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</si>
  <si>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</si>
  <si>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</si>
  <si>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</si>
  <si>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</si>
  <si>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</si>
  <si>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</si>
  <si>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</si>
  <si>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</si>
  <si>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</si>
  <si>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</si>
  <si>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</si>
  <si>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</si>
  <si>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</si>
  <si>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</si>
  <si>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</si>
  <si>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</si>
  <si>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</si>
  <si>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</si>
  <si>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</si>
  <si>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</si>
  <si>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</si>
  <si>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</si>
  <si>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</si>
  <si>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</si>
  <si>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</si>
  <si>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</si>
  <si>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</si>
  <si>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</si>
  <si>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</si>
  <si>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</si>
  <si>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</si>
  <si>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</si>
  <si>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</si>
  <si>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</si>
  <si>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</si>
  <si>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</si>
  <si>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</si>
  <si>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</si>
  <si>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</si>
  <si>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</si>
  <si>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</si>
  <si>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</si>
  <si>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</si>
  <si>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</si>
  <si>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</si>
  <si>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</si>
  <si>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</si>
  <si>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</si>
  <si>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</si>
  <si>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</si>
  <si>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</si>
  <si>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</si>
  <si>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</si>
  <si>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</si>
  <si>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</si>
  <si>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</si>
  <si>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</si>
  <si>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</si>
  <si>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</si>
  <si>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</si>
  <si>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</si>
  <si>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</si>
  <si>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</si>
  <si>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</si>
  <si>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</si>
  <si>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</si>
  <si>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</si>
  <si>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</si>
  <si>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</si>
  <si>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</si>
  <si>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</si>
  <si>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</si>
  <si>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</si>
  <si>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</si>
  <si>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</si>
  <si>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</si>
  <si>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</si>
  <si>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</si>
  <si>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</si>
  <si>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</si>
  <si>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</si>
  <si>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</si>
  <si>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</si>
  <si>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</si>
  <si>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</si>
  <si>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</si>
  <si>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</si>
  <si>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</si>
  <si>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</si>
  <si>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</si>
  <si>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</si>
  <si>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</si>
  <si>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</si>
  <si>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</si>
  <si>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</si>
  <si>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</si>
  <si>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</si>
  <si>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</si>
  <si>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</si>
  <si>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</si>
  <si>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</si>
  <si>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</si>
  <si>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</si>
  <si>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</si>
  <si>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</si>
  <si>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</si>
  <si>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</si>
  <si>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</si>
  <si>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</si>
  <si>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</si>
  <si>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</si>
  <si>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</si>
  <si>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</si>
  <si>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</si>
  <si>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</si>
  <si>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</si>
  <si>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</si>
  <si>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</si>
  <si>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</si>
  <si>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</si>
  <si>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</si>
  <si>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</si>
  <si>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</si>
  <si>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</si>
  <si>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</si>
  <si>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</si>
  <si>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</si>
  <si>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</si>
  <si>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</si>
  <si>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</si>
  <si>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</si>
  <si>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</si>
  <si>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</si>
  <si>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</si>
  <si>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</si>
  <si>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</si>
  <si>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</si>
  <si>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</si>
  <si>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</si>
  <si>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</si>
  <si>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</si>
  <si>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</si>
  <si>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</si>
  <si>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</si>
  <si>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</si>
  <si>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</si>
  <si>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</si>
  <si>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</si>
  <si>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</si>
  <si>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</si>
  <si>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</si>
  <si>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</si>
  <si>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</si>
  <si>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</si>
  <si>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</si>
  <si>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</si>
  <si>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</si>
  <si>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</si>
  <si>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</si>
  <si>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</si>
  <si>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</si>
  <si>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</si>
  <si>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</si>
  <si>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</si>
  <si>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</si>
  <si>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</si>
  <si>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</si>
  <si>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</si>
  <si>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</si>
  <si>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</si>
  <si>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</si>
  <si>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</si>
  <si>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</si>
  <si>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</si>
  <si>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</si>
  <si>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</si>
  <si>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</si>
  <si>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</si>
  <si>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</si>
  <si>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</si>
  <si>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</si>
  <si>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</si>
  <si>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</si>
  <si>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</si>
  <si>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</si>
  <si>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</si>
  <si>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</si>
  <si>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</si>
  <si>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</si>
  <si>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</si>
  <si>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</si>
  <si>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</si>
  <si>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</si>
  <si>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</si>
  <si>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</si>
  <si>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</si>
  <si>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</si>
  <si>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</si>
  <si>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</si>
  <si>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</si>
  <si>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</si>
  <si>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</si>
  <si>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</si>
  <si>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</si>
  <si>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</si>
  <si>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</si>
  <si>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</si>
  <si>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</si>
  <si>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</si>
  <si>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</si>
  <si>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</si>
  <si>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</si>
  <si>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</si>
  <si>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</si>
  <si>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</si>
  <si>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</si>
  <si>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</si>
  <si>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</si>
  <si>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</si>
  <si>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</si>
  <si>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</si>
  <si>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</si>
  <si>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</si>
  <si>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</si>
  <si>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</si>
  <si>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</si>
  <si>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</si>
  <si>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</si>
  <si>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</si>
  <si>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</si>
  <si>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</si>
  <si>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</si>
  <si>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</si>
  <si>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</si>
  <si>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</si>
  <si>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</si>
  <si>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</si>
  <si>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</si>
  <si>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</si>
  <si>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</si>
  <si>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</si>
  <si>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</si>
  <si>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</si>
  <si>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</si>
  <si>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</si>
  <si>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</si>
  <si>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</si>
  <si>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</si>
  <si>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</si>
  <si>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</si>
  <si>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</si>
  <si>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</si>
  <si>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</si>
  <si>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</si>
  <si>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</si>
  <si>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</si>
  <si>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</si>
  <si>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</si>
  <si>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</si>
  <si>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</si>
  <si>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</si>
  <si>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</si>
  <si>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</si>
  <si>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</si>
  <si>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</si>
  <si>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</si>
  <si>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</si>
  <si>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</si>
  <si>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</si>
  <si>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</si>
  <si>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</si>
  <si>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</si>
  <si>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</si>
  <si>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</si>
  <si>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</si>
  <si>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</si>
  <si>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</si>
  <si>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</si>
  <si>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</si>
  <si>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</si>
  <si>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</si>
  <si>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</si>
  <si>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</si>
  <si>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</si>
  <si>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</si>
  <si>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</si>
  <si>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</si>
  <si>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</si>
  <si>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</si>
  <si>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</si>
  <si>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</si>
  <si>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</si>
  <si>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</si>
  <si>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</si>
  <si>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</si>
  <si>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</si>
  <si>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</si>
  <si>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</si>
  <si>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</si>
  <si>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</si>
  <si>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</si>
  <si>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</si>
  <si>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</si>
  <si>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</si>
  <si>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</si>
  <si>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</si>
  <si>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</si>
  <si>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</si>
  <si>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</si>
  <si>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</si>
  <si>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</si>
  <si>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</si>
  <si>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</si>
  <si>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</si>
  <si>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</si>
  <si>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</si>
  <si>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</si>
  <si>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</si>
  <si>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</si>
  <si>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</si>
  <si>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</si>
  <si>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</si>
  <si>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</si>
  <si>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</si>
  <si>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</si>
  <si>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</si>
  <si>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</si>
  <si>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</si>
  <si>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</si>
  <si>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</si>
  <si>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</si>
  <si>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</si>
  <si>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</si>
  <si>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</si>
  <si>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</si>
  <si>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</si>
  <si>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</si>
  <si>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</si>
  <si>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</si>
  <si>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</si>
  <si>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</si>
  <si>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</si>
  <si>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</si>
  <si>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</si>
  <si>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</si>
  <si>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</si>
  <si>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</si>
  <si>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</si>
  <si>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</si>
  <si>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</si>
  <si>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</si>
  <si>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</si>
  <si>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</si>
  <si>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</si>
  <si>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</si>
  <si>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</si>
  <si>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</si>
  <si>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</si>
  <si>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</si>
  <si>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</si>
  <si>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</si>
  <si>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</si>
  <si>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</si>
  <si>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</si>
  <si>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</si>
  <si>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</si>
  <si>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</si>
  <si>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</si>
  <si>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</si>
  <si>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</si>
  <si>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</si>
  <si>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</si>
  <si>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</si>
  <si>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</si>
  <si>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</si>
  <si>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</si>
  <si>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</si>
  <si>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</si>
  <si>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</si>
  <si>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</si>
  <si>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</si>
  <si>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</si>
  <si>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</si>
  <si>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</si>
  <si>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</si>
  <si>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</si>
  <si>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</si>
  <si>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</si>
  <si>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</si>
  <si>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</si>
  <si>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</si>
  <si>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</si>
  <si>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</si>
  <si>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</si>
  <si>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</si>
  <si>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</si>
  <si>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</si>
  <si>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</si>
  <si>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</si>
  <si>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</si>
  <si>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</si>
  <si>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</si>
  <si>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</si>
  <si>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</si>
  <si>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</si>
  <si>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</si>
  <si>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</si>
  <si>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</si>
  <si>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</si>
  <si>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</si>
  <si>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</si>
  <si>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</si>
  <si>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</si>
  <si>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</si>
  <si>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</si>
  <si>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</si>
  <si>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</si>
  <si>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</si>
  <si>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</si>
  <si>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</si>
  <si>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</si>
  <si>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</si>
  <si>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</si>
  <si>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</si>
  <si>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</si>
  <si>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</si>
  <si>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</si>
  <si>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</si>
  <si>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</si>
  <si>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</si>
  <si>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</si>
  <si>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</si>
  <si>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</si>
  <si>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</si>
  <si>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</si>
  <si>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</si>
  <si>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</si>
  <si>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</si>
  <si>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</si>
  <si>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</si>
  <si>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</si>
  <si>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</si>
  <si>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</si>
  <si>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</si>
  <si>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</si>
  <si>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</si>
  <si>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</si>
  <si>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</si>
  <si>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</si>
  <si>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</si>
  <si>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</si>
  <si>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</si>
  <si>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</si>
  <si>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</si>
  <si>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</si>
  <si>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</si>
  <si>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</si>
  <si>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</si>
  <si>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</si>
  <si>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</si>
  <si>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</si>
  <si>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</si>
  <si>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</si>
  <si>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</si>
  <si>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</si>
  <si>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</si>
  <si>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</si>
  <si>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</si>
  <si>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</si>
  <si>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</si>
  <si>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</si>
  <si>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</si>
  <si>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</si>
  <si>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</si>
  <si>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</si>
  <si>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</si>
  <si>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</si>
  <si>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</si>
  <si>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</si>
  <si>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</si>
  <si>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</si>
  <si>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</si>
  <si>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</si>
  <si>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</si>
  <si>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</si>
  <si>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</si>
  <si>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</si>
  <si>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</si>
  <si>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</si>
  <si>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</si>
  <si>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</si>
  <si>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</si>
  <si>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</si>
  <si>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</si>
  <si>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</si>
  <si>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</si>
  <si>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</si>
  <si>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</si>
  <si>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</si>
  <si>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</si>
  <si>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</si>
  <si>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</si>
  <si>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</si>
  <si>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</si>
  <si>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</si>
  <si>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</si>
  <si>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</si>
  <si>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</si>
  <si>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</si>
  <si>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</si>
  <si>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</si>
  <si>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</si>
  <si>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</si>
  <si>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</si>
  <si>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</si>
  <si>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</si>
  <si>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</si>
  <si>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</si>
  <si>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</si>
  <si>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</si>
  <si>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</si>
  <si>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</si>
  <si>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</si>
  <si>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</si>
  <si>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</si>
  <si>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</si>
  <si>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</si>
  <si>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</si>
  <si>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</si>
  <si>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</si>
  <si>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</si>
  <si>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</si>
  <si>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</si>
  <si>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</si>
  <si>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</si>
  <si>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</si>
  <si>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</si>
  <si>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</si>
  <si>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</si>
  <si>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</si>
  <si>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</si>
  <si>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</si>
  <si>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</si>
  <si>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</si>
  <si>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</si>
  <si>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</si>
  <si>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</si>
  <si>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</si>
  <si>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</si>
  <si>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</si>
  <si>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</si>
  <si>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</si>
  <si>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</si>
  <si>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</si>
  <si>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</si>
  <si>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</si>
  <si>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</si>
  <si>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</si>
  <si>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</si>
  <si>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</si>
  <si>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</si>
  <si>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</si>
  <si>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</si>
  <si>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</si>
  <si>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</si>
  <si>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</si>
  <si>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</si>
  <si>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</si>
  <si>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</si>
  <si>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</si>
  <si>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</si>
  <si>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</si>
  <si>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</si>
  <si>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</si>
  <si>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</si>
  <si>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</si>
  <si>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</si>
  <si>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</si>
  <si>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</si>
  <si>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</si>
  <si>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</si>
  <si>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</si>
  <si>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</si>
  <si>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</si>
  <si>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</si>
  <si>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</si>
  <si>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</si>
  <si>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</si>
  <si>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</si>
  <si>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</si>
  <si>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</si>
  <si>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</si>
  <si>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</si>
  <si>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</si>
  <si>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</si>
  <si>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</si>
  <si>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</si>
  <si>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</si>
  <si>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</si>
  <si>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</si>
  <si>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</si>
  <si>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</si>
  <si>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</si>
  <si>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</si>
  <si>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</si>
  <si>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</si>
  <si>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</si>
  <si>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</si>
  <si>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</si>
  <si>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</si>
  <si>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</si>
  <si>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</si>
  <si>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</si>
  <si>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</si>
  <si>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</si>
  <si>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</si>
  <si>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</si>
  <si>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</si>
  <si>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</si>
  <si>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</si>
  <si>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</si>
  <si>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</si>
  <si>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</si>
  <si>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</si>
  <si>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</si>
  <si>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</si>
  <si>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</si>
  <si>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</si>
  <si>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</si>
  <si>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</si>
  <si>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</si>
  <si>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</si>
  <si>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</si>
  <si>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</si>
  <si>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</si>
  <si>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</si>
  <si>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</si>
  <si>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</si>
  <si>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</si>
  <si>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</si>
  <si>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</si>
  <si>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</si>
  <si>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</si>
  <si>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</si>
  <si>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</si>
  <si>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</si>
  <si>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</si>
  <si>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</si>
  <si>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</si>
  <si>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</si>
  <si>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</si>
  <si>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</si>
  <si>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</si>
  <si>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</si>
  <si>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</si>
  <si>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</si>
  <si>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</si>
  <si>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</si>
  <si>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</si>
  <si>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</si>
  <si>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</si>
  <si>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</si>
  <si>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</si>
  <si>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</si>
  <si>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</si>
  <si>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</si>
  <si>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</si>
  <si>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</si>
  <si>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</si>
  <si>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</si>
  <si>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</si>
  <si>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</si>
  <si>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</si>
  <si>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</si>
  <si>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</si>
  <si>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</si>
  <si>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</si>
  <si>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</si>
  <si>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</si>
  <si>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</si>
  <si>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</si>
  <si>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</si>
  <si>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</si>
  <si>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</si>
  <si>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</si>
  <si>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</si>
  <si>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</si>
  <si>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</si>
  <si>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</si>
  <si>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</si>
  <si>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</si>
  <si>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</si>
  <si>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</si>
  <si>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</si>
  <si>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</si>
  <si>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</si>
  <si>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</si>
  <si>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</si>
  <si>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</si>
  <si>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</si>
  <si>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</si>
  <si>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</si>
  <si>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</si>
  <si>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</si>
  <si>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</si>
  <si>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</si>
  <si>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</si>
  <si>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</si>
  <si>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</si>
  <si>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</si>
  <si>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</si>
  <si>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</si>
  <si>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</si>
  <si>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</si>
  <si>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</si>
  <si>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</si>
  <si>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</si>
  <si>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</si>
  <si>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</si>
  <si>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</si>
  <si>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</si>
  <si>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</si>
  <si>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</si>
  <si>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</si>
  <si>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</si>
  <si>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</si>
  <si>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</si>
  <si>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</si>
  <si>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</si>
  <si>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</si>
  <si>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</si>
  <si>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</si>
  <si>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</si>
  <si>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</si>
  <si>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</si>
  <si>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</si>
  <si>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</si>
  <si>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</si>
  <si>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</si>
  <si>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</si>
  <si>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</si>
  <si>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</si>
  <si>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</si>
  <si>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</si>
  <si>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</si>
  <si>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</si>
  <si>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</si>
  <si>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</si>
  <si>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</si>
  <si>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</si>
  <si>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</si>
  <si>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</si>
  <si>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</si>
  <si>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</si>
  <si>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</si>
  <si>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</si>
  <si>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</si>
  <si>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</si>
  <si>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</si>
  <si>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</si>
  <si>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</si>
  <si>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</si>
  <si>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</si>
  <si>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</si>
  <si>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</si>
  <si>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</si>
  <si>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</si>
  <si>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</si>
  <si>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</si>
  <si>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</si>
  <si>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</si>
  <si>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</si>
  <si>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</si>
  <si>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</si>
  <si>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</si>
  <si>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</si>
  <si>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</si>
  <si>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</si>
  <si>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</si>
  <si>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</si>
  <si>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</si>
  <si>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</si>
  <si>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</si>
  <si>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</si>
  <si>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</si>
  <si>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</si>
  <si>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</si>
  <si>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</si>
  <si>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</si>
  <si>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</si>
  <si>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</si>
  <si>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</si>
  <si>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</si>
  <si>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</si>
  <si>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</si>
  <si>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</si>
  <si>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</si>
  <si>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</si>
  <si>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</si>
  <si>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</si>
  <si>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</si>
  <si>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</si>
  <si>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</si>
  <si>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</si>
  <si>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</si>
  <si>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</si>
  <si>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</si>
  <si>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</si>
  <si>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</si>
  <si>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</si>
  <si>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</si>
  <si>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</si>
  <si>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</si>
  <si>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</si>
  <si>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</si>
  <si>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</si>
  <si>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</si>
  <si>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</si>
  <si>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</si>
  <si>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</si>
  <si>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</si>
  <si>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</si>
  <si>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</si>
  <si>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</si>
  <si>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</si>
  <si>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</si>
  <si>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</si>
  <si>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</si>
  <si>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</si>
  <si>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</si>
  <si>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</si>
  <si>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</si>
  <si>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</si>
  <si>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</si>
  <si>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</si>
  <si>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</si>
  <si>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</si>
  <si>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</si>
  <si>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</si>
  <si>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</si>
  <si>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</si>
  <si>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</si>
  <si>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</si>
  <si>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</si>
  <si>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</si>
  <si>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</si>
  <si>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</si>
  <si>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</si>
  <si>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</si>
  <si>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</si>
  <si>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</si>
  <si>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</si>
  <si>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</si>
  <si>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</si>
  <si>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</si>
  <si>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</si>
  <si>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</si>
  <si>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</si>
  <si>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</si>
  <si>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</si>
  <si>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</si>
  <si>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</si>
  <si>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</si>
  <si>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</si>
  <si>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</si>
  <si>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</si>
  <si>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</si>
  <si>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</si>
  <si>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</si>
  <si>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</si>
  <si>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</si>
  <si>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</si>
  <si>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</si>
  <si>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</si>
  <si>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</si>
  <si>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</si>
  <si>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</si>
  <si>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</si>
  <si>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</si>
  <si>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</si>
  <si>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</si>
  <si>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</si>
  <si>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</si>
  <si>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</si>
  <si>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</si>
  <si>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</si>
  <si>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</si>
  <si>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</si>
  <si>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</si>
  <si>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</si>
  <si>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</si>
  <si>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</si>
  <si>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</si>
  <si>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</si>
  <si>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</si>
  <si>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</si>
  <si>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</si>
  <si>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</si>
  <si>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</si>
  <si>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</si>
  <si>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</si>
  <si>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</si>
  <si>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</si>
  <si>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</si>
  <si>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</si>
  <si>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</si>
  <si>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</si>
  <si>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</si>
  <si>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</si>
  <si>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</si>
  <si>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</si>
  <si>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</si>
  <si>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</si>
  <si>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</si>
  <si>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</si>
  <si>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</si>
  <si>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</si>
  <si>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</si>
  <si>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</si>
  <si>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</si>
  <si>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</si>
  <si>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</si>
  <si>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</si>
  <si>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</si>
  <si>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</si>
  <si>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</si>
  <si>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</si>
  <si>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</si>
  <si>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</si>
  <si>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</si>
  <si>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</si>
  <si>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</si>
  <si>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</si>
  <si>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</si>
  <si>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</si>
  <si>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</si>
  <si>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</si>
  <si>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</si>
  <si>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</si>
  <si>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</si>
  <si>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</si>
  <si>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</si>
  <si>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</si>
  <si>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</si>
  <si>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</si>
  <si>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</si>
  <si>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</si>
  <si>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</si>
  <si>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</si>
  <si>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</si>
  <si>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</si>
  <si>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</si>
  <si>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</si>
  <si>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</si>
  <si>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</si>
  <si>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</si>
  <si>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</si>
  <si>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</si>
  <si>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</si>
  <si>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</si>
  <si>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</si>
  <si>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</si>
  <si>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</si>
  <si>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</si>
  <si>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</si>
  <si>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</si>
  <si>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</si>
  <si>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</si>
  <si>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</si>
  <si>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</si>
  <si>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</si>
  <si>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</si>
  <si>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</si>
  <si>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</si>
  <si>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</si>
  <si>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</si>
  <si>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</si>
  <si>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</si>
  <si>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</si>
  <si>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</si>
  <si>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</si>
  <si>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</si>
  <si>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</si>
  <si>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</si>
  <si>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</si>
  <si>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</si>
  <si>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</si>
  <si>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</si>
  <si>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</si>
  <si>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</si>
  <si>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</si>
  <si>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</si>
  <si>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</si>
  <si>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</si>
  <si>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</si>
  <si>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</si>
  <si>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</si>
  <si>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</si>
  <si>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</si>
  <si>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</si>
  <si>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</si>
  <si>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</si>
  <si>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</si>
  <si>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</si>
  <si>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</si>
  <si>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</si>
  <si>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</si>
  <si>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</si>
  <si>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</si>
  <si>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</si>
  <si>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</si>
  <si>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</si>
  <si>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</si>
  <si>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</si>
  <si>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</si>
  <si>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</si>
  <si>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</si>
  <si>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</si>
  <si>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</si>
  <si>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</si>
  <si>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</si>
  <si>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</si>
  <si>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</si>
  <si>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</si>
  <si>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</si>
  <si>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</si>
  <si>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</si>
  <si>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</si>
  <si>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</si>
  <si>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</si>
  <si>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</si>
  <si>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</si>
  <si>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</si>
  <si>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</si>
  <si>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</si>
  <si>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</si>
  <si>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</si>
  <si>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</si>
  <si>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</si>
  <si>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</si>
  <si>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</si>
  <si>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</si>
  <si>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</si>
  <si>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</si>
  <si>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</si>
  <si>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</si>
  <si>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</si>
  <si>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</si>
  <si>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</si>
  <si>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</si>
  <si>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</si>
  <si>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</si>
  <si>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</si>
  <si>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</si>
  <si>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</si>
  <si>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</si>
  <si>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</si>
  <si>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</si>
  <si>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</si>
  <si>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</si>
  <si>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</si>
  <si>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</si>
  <si>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</si>
  <si>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</si>
  <si>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</si>
  <si>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</si>
  <si>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</si>
  <si>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</si>
  <si>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</si>
  <si>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</si>
  <si>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</si>
  <si>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</si>
  <si>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</si>
  <si>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</si>
  <si>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</si>
  <si>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</si>
  <si>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</si>
  <si>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</si>
  <si>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</si>
  <si>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</si>
  <si>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</si>
  <si>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</si>
  <si>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</si>
  <si>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</si>
  <si>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</si>
  <si>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</si>
  <si>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</si>
  <si>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</si>
  <si>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</si>
  <si>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</si>
  <si>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</si>
  <si>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</si>
  <si>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</si>
  <si>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</si>
  <si>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</si>
  <si>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</si>
  <si>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</si>
  <si>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</si>
  <si>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</si>
  <si>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</si>
  <si>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</si>
  <si>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</si>
  <si>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</si>
  <si>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</si>
  <si>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</si>
  <si>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</si>
  <si>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</si>
  <si>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</si>
  <si>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</si>
  <si>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</si>
  <si>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</si>
  <si>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</si>
  <si>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</si>
  <si>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</si>
  <si>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</si>
  <si>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</si>
  <si>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</si>
  <si>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</si>
  <si>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</si>
  <si>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</si>
  <si>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</si>
  <si>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</si>
  <si>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</si>
  <si>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</si>
  <si>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</si>
  <si>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</si>
  <si>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</si>
  <si>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</si>
  <si>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</si>
  <si>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</si>
  <si>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</si>
  <si>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</si>
  <si>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</si>
  <si>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</si>
  <si>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</si>
  <si>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</si>
  <si>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</si>
  <si>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</si>
  <si>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</si>
  <si>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</si>
  <si>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</si>
  <si>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</si>
  <si>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</si>
  <si>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</si>
  <si>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</si>
  <si>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</si>
  <si>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</si>
  <si>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</si>
  <si>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</si>
  <si>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</si>
  <si>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</si>
  <si>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</si>
  <si>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</si>
  <si>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</si>
  <si>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</si>
  <si>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</si>
  <si>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</si>
  <si>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</si>
  <si>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</si>
  <si>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</si>
  <si>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</si>
  <si>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</si>
  <si>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</si>
  <si>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</si>
  <si>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</si>
  <si>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</si>
  <si>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</si>
  <si>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</si>
  <si>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</si>
  <si>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</si>
  <si>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</si>
  <si>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</si>
  <si>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</si>
  <si>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</si>
  <si>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</si>
  <si>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</si>
  <si>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</si>
  <si>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</si>
  <si>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</si>
  <si>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</si>
  <si>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</si>
  <si>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</si>
  <si>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</si>
  <si>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</si>
  <si>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</si>
  <si>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</si>
  <si>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</si>
  <si>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</si>
  <si>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</si>
  <si>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</si>
  <si>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</si>
  <si>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</si>
  <si>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</si>
  <si>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</si>
  <si>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4" type="noConversion"/>
  </si>
  <si>
    <r>
      <rPr>
        <sz val="10"/>
        <color indexed="8"/>
        <rFont val="宋体"/>
        <family val="3"/>
        <charset val="134"/>
      </rPr>
      <t>交通便捷度</t>
    </r>
    <phoneticPr fontId="24"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</si>
  <si>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</si>
  <si>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</si>
  <si>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</si>
  <si>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</si>
  <si>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indexed="8"/>
        <rFont val="宋体"/>
        <family val="3"/>
        <charset val="134"/>
      </rPr>
      <t>环境状况</t>
    </r>
    <phoneticPr fontId="2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</si>
  <si>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</si>
  <si>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</si>
  <si>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</si>
  <si>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</si>
  <si>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</si>
  <si>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</si>
  <si>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</si>
  <si>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</si>
  <si>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</si>
  <si>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</si>
  <si>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</si>
  <si>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</si>
  <si>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</si>
  <si>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</si>
  <si>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</si>
  <si>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</si>
  <si>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</si>
  <si>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</si>
  <si>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</si>
  <si>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</si>
  <si>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</si>
  <si>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</si>
  <si>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</si>
  <si>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</si>
  <si>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</si>
  <si>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</si>
  <si>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</si>
  <si>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</si>
  <si>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</si>
  <si>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</si>
  <si>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</si>
  <si>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</si>
  <si>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</si>
  <si>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</si>
  <si>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</si>
  <si>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</si>
  <si>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</si>
  <si>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</si>
  <si>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</si>
  <si>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</si>
  <si>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</si>
  <si>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</si>
  <si>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</si>
  <si>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</si>
  <si>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</si>
  <si>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</si>
  <si>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</si>
  <si>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</si>
  <si>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</si>
  <si>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</si>
  <si>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</si>
  <si>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</si>
  <si>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</si>
  <si>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</si>
  <si>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</si>
  <si>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</si>
  <si>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</si>
  <si>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</si>
  <si>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</si>
  <si>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</si>
  <si>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</si>
  <si>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</si>
  <si>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</si>
  <si>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</si>
  <si>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</si>
  <si>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</si>
  <si>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</si>
  <si>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</si>
  <si>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</si>
  <si>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</si>
  <si>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</si>
  <si>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</si>
  <si>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</si>
  <si>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</si>
  <si>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</si>
  <si>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</si>
  <si>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</si>
  <si>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</si>
  <si>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</si>
  <si>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</si>
  <si>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</si>
  <si>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</si>
  <si>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</si>
  <si>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</si>
  <si>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</si>
  <si>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</si>
  <si>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</si>
  <si>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</si>
  <si>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</si>
  <si>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</si>
  <si>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</si>
  <si>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</si>
  <si>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</si>
  <si>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</si>
  <si>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</si>
  <si>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</si>
  <si>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</si>
  <si>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</si>
  <si>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</si>
  <si>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</si>
  <si>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</si>
  <si>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</si>
  <si>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</si>
  <si>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</si>
  <si>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</si>
  <si>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</si>
  <si>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</si>
  <si>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</si>
  <si>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</si>
  <si>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</si>
  <si>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</si>
  <si>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</si>
  <si>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</si>
  <si>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</si>
  <si>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</si>
  <si>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</si>
  <si>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</si>
  <si>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</si>
  <si>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</si>
  <si>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</si>
  <si>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</si>
  <si>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</si>
  <si>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</si>
  <si>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</si>
  <si>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</si>
  <si>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</si>
  <si>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</si>
  <si>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</si>
  <si>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</si>
  <si>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</si>
  <si>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</si>
  <si>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</si>
  <si>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</si>
  <si>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</si>
  <si>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</si>
  <si>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</si>
  <si>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</si>
  <si>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</si>
  <si>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</si>
  <si>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</si>
  <si>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</si>
  <si>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</si>
  <si>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</si>
  <si>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</si>
  <si>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</si>
  <si>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</si>
  <si>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</si>
  <si>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</si>
  <si>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</si>
  <si>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</si>
  <si>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</si>
  <si>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</si>
  <si>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</si>
  <si>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</si>
  <si>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</si>
  <si>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</si>
  <si>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</si>
  <si>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</si>
  <si>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</si>
  <si>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</si>
  <si>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</si>
  <si>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</si>
  <si>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</si>
  <si>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</si>
  <si>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</si>
  <si>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</si>
  <si>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</si>
  <si>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</si>
  <si>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</si>
  <si>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</si>
  <si>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</si>
  <si>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北京市</t>
  </si>
  <si>
    <t>自然人</t>
  </si>
  <si>
    <t>与房产证证载一致</t>
  </si>
  <si>
    <t>万元</t>
  </si>
  <si>
    <t>总价</t>
  </si>
  <si>
    <t>办公</t>
  </si>
  <si>
    <t>无租约</t>
  </si>
  <si>
    <t>否</t>
  </si>
  <si>
    <t>利息：取LPR加浮动点数</t>
  </si>
  <si>
    <t>比较法-办公</t>
  </si>
  <si>
    <t>收益法</t>
  </si>
  <si>
    <t>估价对象1（结果表）</t>
  </si>
  <si>
    <t>30-40（含）</t>
  </si>
  <si>
    <t>高区</t>
  </si>
  <si>
    <t>高区</t>
    <phoneticPr fontId="26" type="noConversion"/>
  </si>
  <si>
    <t>中区</t>
  </si>
  <si>
    <t>中区</t>
    <phoneticPr fontId="26" type="noConversion"/>
  </si>
  <si>
    <t>低区</t>
    <phoneticPr fontId="26" type="noConversion"/>
  </si>
  <si>
    <t>标准写字楼</t>
    <phoneticPr fontId="26" type="noConversion"/>
  </si>
  <si>
    <t>精装修</t>
  </si>
  <si>
    <t>精装修</t>
    <phoneticPr fontId="26" type="noConversion"/>
  </si>
  <si>
    <t>普通装修</t>
  </si>
  <si>
    <t>普通装修</t>
    <phoneticPr fontId="26" type="noConversion"/>
  </si>
  <si>
    <t>简单装修</t>
    <phoneticPr fontId="26" type="noConversion"/>
  </si>
  <si>
    <t>毛坯</t>
    <phoneticPr fontId="26" type="noConversion"/>
  </si>
  <si>
    <t>设定收益年期(n)</t>
  </si>
  <si>
    <t>钢混</t>
  </si>
  <si>
    <t>非生产用房</t>
  </si>
  <si>
    <t>是</t>
  </si>
  <si>
    <t>诚盈中心</t>
    <phoneticPr fontId="4" type="noConversion"/>
  </si>
  <si>
    <t>已包含在土地取得成本中</t>
  </si>
  <si>
    <t>未包含在土地购买价格中</t>
  </si>
  <si>
    <t>成本法成本比率</t>
  </si>
  <si>
    <t>电话市调</t>
    <phoneticPr fontId="26" type="noConversion"/>
  </si>
  <si>
    <t>办公</t>
    <phoneticPr fontId="26" type="noConversion"/>
  </si>
  <si>
    <t>项目位置</t>
    <phoneticPr fontId="4" type="noConversion"/>
  </si>
  <si>
    <t>较好</t>
    <phoneticPr fontId="20" type="noConversion"/>
  </si>
  <si>
    <t>七通</t>
  </si>
  <si>
    <t>七通</t>
    <phoneticPr fontId="20" type="noConversion"/>
  </si>
  <si>
    <t>较一致</t>
    <phoneticPr fontId="20" type="noConversion"/>
  </si>
  <si>
    <t>标准写字楼</t>
  </si>
  <si>
    <t>钢混</t>
    <phoneticPr fontId="26" type="noConversion"/>
  </si>
  <si>
    <t>甲级</t>
  </si>
  <si>
    <t>甲级</t>
    <phoneticPr fontId="26" type="noConversion"/>
  </si>
  <si>
    <t>专业</t>
  </si>
  <si>
    <t>专业</t>
    <phoneticPr fontId="26" type="noConversion"/>
  </si>
  <si>
    <t>普通</t>
    <phoneticPr fontId="26" type="noConversion"/>
  </si>
  <si>
    <t>七通</t>
    <phoneticPr fontId="26" type="noConversion"/>
  </si>
  <si>
    <t>六通</t>
  </si>
  <si>
    <t>六通</t>
    <phoneticPr fontId="26" type="noConversion"/>
  </si>
  <si>
    <t>超高</t>
    <phoneticPr fontId="26" type="noConversion"/>
  </si>
  <si>
    <t>标准</t>
  </si>
  <si>
    <t>标准</t>
    <phoneticPr fontId="26" type="noConversion"/>
  </si>
  <si>
    <t>简单装修</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</si>
</sst>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2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92" fillId="0" borderId="0" xfId="0" applyFont="1" applyFill="1" applyAlignment="1" applyProtection="1">
      <alignment horizontal="left" vertical="center"/>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21"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176" fillId="0" borderId="3"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135" fillId="0" borderId="46" xfId="0" applyNumberFormat="1" applyFont="1" applyFill="1" applyBorder="1" applyAlignment="1" applyProtection="1">
      <alignment horizontal="left" vertical="center" wrapText="1"/>
      <protection locked="0"/>
    </xf>
    <xf numFmtId="0" fontId="221" fillId="0" borderId="27" xfId="0"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0" fontId="240" fillId="0" borderId="6" xfId="0" applyFont="1" applyBorder="1" applyAlignment="1" applyProtection="1">
      <alignment horizontal="left" vertical="center" wrapText="1"/>
      <protection locked="0"/>
    </xf>
    <xf numFmtId="0" fontId="240" fillId="0" borderId="6" xfId="0" applyNumberFormat="1" applyFont="1" applyFill="1" applyBorder="1" applyAlignment="1" applyProtection="1">
      <alignment horizontal="left" vertical="center" wrapText="1"/>
      <protection locked="0"/>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 Id="rId4" Type="http://schemas.openxmlformats.org/officeDocument/2006/relationships/image" Target="../media/image7.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11</xdr:col>
      <xdr:colOff>228600</xdr:colOff>
      <xdr:row>35</xdr:row>
      <xdr:rowOff>66747</xdr:rowOff>
    </xdr:to>
    <xdr:pic>
      <xdr:nvPicPr>
        <xdr:cNvPr id="3" name="图片 2">
          <a:extLst>
            <a:ext uri="{FF2B5EF4-FFF2-40B4-BE49-F238E27FC236}">
              <a16:creationId xmlns:a16="http://schemas.microsoft.com/office/drawing/2014/main" id="{9EE49DDF-31DE-4AE6-9117-EAB394CC25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71450"/>
          <a:ext cx="7772400" cy="5896047"/>
        </a:xfrm>
        <a:prstGeom prst="rect">
          <a:avLst/>
        </a:prstGeom>
      </xdr:spPr>
    </xdr:pic>
    <xdr:clientData/>
  </xdr:twoCellAnchor>
  <xdr:twoCellAnchor editAs="oneCell">
    <xdr:from>
      <xdr:col>0</xdr:col>
      <xdr:colOff>0</xdr:colOff>
      <xdr:row>37</xdr:row>
      <xdr:rowOff>0</xdr:rowOff>
    </xdr:from>
    <xdr:to>
      <xdr:col>11</xdr:col>
      <xdr:colOff>228600</xdr:colOff>
      <xdr:row>63</xdr:row>
      <xdr:rowOff>56732</xdr:rowOff>
    </xdr:to>
    <xdr:pic>
      <xdr:nvPicPr>
        <xdr:cNvPr id="5" name="图片 4">
          <a:extLst>
            <a:ext uri="{FF2B5EF4-FFF2-40B4-BE49-F238E27FC236}">
              <a16:creationId xmlns:a16="http://schemas.microsoft.com/office/drawing/2014/main" id="{AFE7A708-FC45-4F34-A533-CDEC78CD828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6343650"/>
          <a:ext cx="7772400" cy="4514432"/>
        </a:xfrm>
        <a:prstGeom prst="rect">
          <a:avLst/>
        </a:prstGeom>
      </xdr:spPr>
    </xdr:pic>
    <xdr:clientData/>
  </xdr:twoCellAnchor>
  <xdr:twoCellAnchor editAs="oneCell">
    <xdr:from>
      <xdr:col>0</xdr:col>
      <xdr:colOff>0</xdr:colOff>
      <xdr:row>65</xdr:row>
      <xdr:rowOff>0</xdr:rowOff>
    </xdr:from>
    <xdr:to>
      <xdr:col>11</xdr:col>
      <xdr:colOff>228600</xdr:colOff>
      <xdr:row>90</xdr:row>
      <xdr:rowOff>17684</xdr:rowOff>
    </xdr:to>
    <xdr:pic>
      <xdr:nvPicPr>
        <xdr:cNvPr id="7" name="图片 6">
          <a:extLst>
            <a:ext uri="{FF2B5EF4-FFF2-40B4-BE49-F238E27FC236}">
              <a16:creationId xmlns:a16="http://schemas.microsoft.com/office/drawing/2014/main" id="{777A5830-DE6B-44A5-8B21-C74DDC7AD91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1144250"/>
          <a:ext cx="7772400" cy="4303934"/>
        </a:xfrm>
        <a:prstGeom prst="rect">
          <a:avLst/>
        </a:prstGeom>
      </xdr:spPr>
    </xdr:pic>
    <xdr:clientData/>
  </xdr:twoCellAnchor>
  <xdr:twoCellAnchor editAs="oneCell">
    <xdr:from>
      <xdr:col>0</xdr:col>
      <xdr:colOff>0</xdr:colOff>
      <xdr:row>91</xdr:row>
      <xdr:rowOff>0</xdr:rowOff>
    </xdr:from>
    <xdr:to>
      <xdr:col>11</xdr:col>
      <xdr:colOff>228600</xdr:colOff>
      <xdr:row>116</xdr:row>
      <xdr:rowOff>66294</xdr:rowOff>
    </xdr:to>
    <xdr:pic>
      <xdr:nvPicPr>
        <xdr:cNvPr id="9" name="图片 8">
          <a:extLst>
            <a:ext uri="{FF2B5EF4-FFF2-40B4-BE49-F238E27FC236}">
              <a16:creationId xmlns:a16="http://schemas.microsoft.com/office/drawing/2014/main" id="{BD222743-2468-49D3-8E00-61D273C2592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5601950"/>
          <a:ext cx="7772400" cy="43525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北京市预评估</v>
      </c>
    </row>
    <row r="3" spans="1:2" s="1180" customFormat="1">
      <c r="A3" s="1181" t="s">
        <v>1040</v>
      </c>
      <c r="B3" s="1166" t="str">
        <f>'预评函-封皮'!B12</f>
        <v>xx</v>
      </c>
    </row>
    <row r="4" spans="1:2" s="1180" customFormat="1">
      <c r="A4" s="1181" t="s">
        <v>1041</v>
      </c>
      <c r="B4" s="1166" t="str">
        <f>'预评函-封皮'!B18</f>
        <v>（注册号:0）、（注册号:0)</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估价对象为北京市房地产，为XX所有。根据《》[]，估价对象建筑面积为240.88平方米。根据《》[]，估价对象（分摊）出让国有建设用地使用权面积为平方米。估价对象用途为。</v>
      </c>
    </row>
    <row r="8" spans="1:2">
      <c r="A8" s="1181" t="s">
        <v>1045</v>
      </c>
      <c r="B8" s="1168" t="str">
        <f>'预评函-1'!A8</f>
        <v>为估价委托人了解估价对象房地产市场价值提供参考依据。</v>
      </c>
    </row>
    <row r="9" spans="1:2">
      <c r="A9" s="1181" t="s">
        <v>1046</v>
      </c>
      <c r="B9" s="1168" t="str">
        <f>'预评函-1'!A10</f>
        <v>2022年3月25日（评估专业人员实地查勘之日）</v>
      </c>
    </row>
    <row r="10" spans="1:2">
      <c r="A10" s="1181" t="s">
        <v>1047</v>
      </c>
      <c r="B10" s="1168" t="str">
        <f>'预评函-1'!A13</f>
        <v>本次估价的“房地产价值”是指在正常市场情况下，在价值时点2022年3月25日，估价对象规划用途为，假定未设立法定优先受偿款下的房地产市场价值。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本次评估采用的主估价方法为比较法和收益法。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240.88</v>
      </c>
    </row>
    <row r="19" spans="1:2">
      <c r="A19" s="1181" t="s">
        <v>1056</v>
      </c>
      <c r="B19" s="1168">
        <f ca="1">'预评函-2（1）'!D7</f>
        <v>1067</v>
      </c>
    </row>
    <row r="20" spans="1:2">
      <c r="A20" s="1181" t="s">
        <v>1094</v>
      </c>
      <c r="B20" s="1168" t="str">
        <f>'预评函-2（1）'!C7</f>
        <v>总价（万元）</v>
      </c>
    </row>
    <row r="21" spans="1:2">
      <c r="A21" s="1181" t="s">
        <v>1057</v>
      </c>
      <c r="B21" s="1168">
        <f ca="1">'预评函-2（1）'!D9</f>
        <v>44296</v>
      </c>
    </row>
    <row r="22" spans="1:2">
      <c r="A22" s="1181" t="s">
        <v>1058</v>
      </c>
      <c r="B22" s="1168" t="str">
        <f ca="1">'预评函-2（1）'!D8</f>
        <v>壹仟零陆拾柒万元整</v>
      </c>
    </row>
    <row r="23" spans="1:2">
      <c r="A23" s="1181" t="s">
        <v>1095</v>
      </c>
      <c r="B23" s="1168">
        <f>'预评函-2（1）'!D10</f>
        <v>0</v>
      </c>
    </row>
    <row r="24" spans="1:2">
      <c r="A24" s="1181" t="s">
        <v>1096</v>
      </c>
      <c r="B24" s="1168" t="str">
        <f>'预评函-2（1）'!C10</f>
        <v>总额（万元）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 ca="1">'预评函-2（1）'!D15</f>
        <v>1067</v>
      </c>
    </row>
    <row r="30" spans="1:2">
      <c r="A30" s="1181" t="s">
        <v>1064</v>
      </c>
      <c r="B30" s="1168" t="str">
        <f ca="1">'预评函-2（1）'!D16</f>
        <v>壹仟零陆拾柒万元整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 ca="1">'预评函-2（1）'!D23</f>
        <v>——</v>
      </c>
    </row>
    <row r="35" spans="1:2">
      <c r="A35" s="1181" t="s">
        <v>1069</v>
      </c>
      <c r="B35" s="1168" t="e">
        <f>'预评函-2（1）'!D22</f>
        <v>#VALUE!</v>
      </c>
    </row>
    <row r="36" spans="1:2">
      <c r="A36" s="1181" t="s">
        <v>1070</v>
      </c>
      <c r="B36" s="1168">
        <f>'预评函-2（2）'!C4</f>
        <v>0</v>
      </c>
    </row>
    <row r="37" spans="1:2">
      <c r="A37" s="1181" t="s">
        <v>1071</v>
      </c>
      <c r="B37" s="1168">
        <f ca="1">'预评函-2（2）'!D4</f>
        <v>845</v>
      </c>
    </row>
    <row r="38" spans="1:2">
      <c r="A38" s="1181" t="s">
        <v>1072</v>
      </c>
      <c r="B38" s="1168">
        <f ca="1">'预评函-2（2）'!E4</f>
        <v>35080</v>
      </c>
    </row>
    <row r="39" spans="1:2">
      <c r="A39" s="1181" t="s">
        <v>1073</v>
      </c>
      <c r="B39" s="1168" t="str">
        <f ca="1">'预评函-2（2）'!D5</f>
        <v>捌佰肆拾伍万元整</v>
      </c>
    </row>
    <row r="40" spans="1:2">
      <c r="A40" s="1181" t="s">
        <v>1074</v>
      </c>
      <c r="B40" s="1168">
        <f ca="1">'预评函-2（2）'!F4</f>
        <v>222</v>
      </c>
    </row>
    <row r="41" spans="1:2">
      <c r="A41" s="1181" t="s">
        <v>1075</v>
      </c>
      <c r="B41" s="1168">
        <f ca="1">'预评函-2（2）'!G4</f>
        <v>9216</v>
      </c>
    </row>
    <row r="42" spans="1:2" s="1178" customFormat="1" ht="15.75" thickBot="1">
      <c r="A42" s="1182" t="s">
        <v>1076</v>
      </c>
      <c r="B42" s="1170" t="str">
        <f ca="1">'预评函-2（2）'!F5</f>
        <v>贰佰贰拾贰万元整</v>
      </c>
    </row>
    <row r="43" spans="1:2" ht="15.75" thickTop="1">
      <c r="A43" s="1179" t="s">
        <v>1077</v>
      </c>
      <c r="B43" s="1171" t="str">
        <f>'预评函-3'!A13</f>
        <v>2.本次评估设定估价对象房地产权属无争议，未被查封或者以其他形式限制其房地产权利，未设定抵押权等他项权利，不涉及第三方权利义务。</v>
      </c>
    </row>
    <row r="44" spans="1:2">
      <c r="A44" s="1181" t="s">
        <v>1078</v>
      </c>
      <c r="B44" s="1168" t="str">
        <f>'预评函-3'!A14</f>
        <v>——</v>
      </c>
    </row>
    <row r="45" spans="1:2">
      <c r="A45" s="1181" t="s">
        <v>1079</v>
      </c>
      <c r="B45" s="1168" t="str">
        <f>'预评函-3'!A15</f>
        <v>——</v>
      </c>
    </row>
    <row r="46" spans="1:2">
      <c r="A46" s="1181" t="s">
        <v>1080</v>
      </c>
      <c r="B46" s="1168" t="str">
        <f>'预评函-3'!A16</f>
        <v>——</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v>
      </c>
    </row>
    <row r="49" spans="1:2">
      <c r="A49" s="1181" t="s">
        <v>1082</v>
      </c>
      <c r="B49" s="116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f>'预评函-3'!A4</f>
        <v>0</v>
      </c>
    </row>
    <row r="53" spans="1:2">
      <c r="A53" s="1181" t="s">
        <v>1086</v>
      </c>
      <c r="B53" s="1168">
        <f>'预评函-3'!B4</f>
        <v>0</v>
      </c>
    </row>
    <row r="54" spans="1:2">
      <c r="A54" s="1181" t="s">
        <v>1087</v>
      </c>
      <c r="B54" s="1172">
        <f>'预评函-3'!A5</f>
        <v>0</v>
      </c>
    </row>
    <row r="55" spans="1:2" s="1178" customFormat="1" ht="15.75" thickBot="1">
      <c r="A55" s="1182" t="s">
        <v>1088</v>
      </c>
      <c r="B55" s="1170">
        <f>'预评函-3'!B5</f>
        <v>0</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单位：万元、元/平方米（单位：人民币）</v>
      </c>
    </row>
    <row r="60" spans="1:2">
      <c r="A60" s="1184" t="s">
        <v>1102</v>
      </c>
      <c r="B60" s="1168" t="str">
        <f>'预评函-2（2）'!D2</f>
        <v>出让国有建设用地使用权价值</v>
      </c>
    </row>
    <row r="61" spans="1:2" s="1180" customFormat="1">
      <c r="A61" s="1184" t="s">
        <v>1103</v>
      </c>
      <c r="B61" s="1168" t="str">
        <f>'预评函-2（2）'!A14</f>
        <v>单位：平方米、万元、元/平方米（币种：人民币）</v>
      </c>
    </row>
    <row r="62" spans="1:2" ht="28.5">
      <c r="A62" s="1184" t="s">
        <v>1186</v>
      </c>
      <c r="B62" s="1168">
        <f ca="1">'预评函-2（1）'!D38</f>
        <v>44296</v>
      </c>
    </row>
    <row r="63" spans="1:2" s="1180" customFormat="1" ht="28.5">
      <c r="A63" s="1184" t="s">
        <v>1187</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1185</v>
      </c>
    </row>
    <row r="70" spans="1:2">
      <c r="A70" s="1181"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zoomScaleSheetLayoutView="100" workbookViewId="0">
      <selection activeCell="C16" sqref="C16"/>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4" customWidth="1"/>
    <col min="9" max="10" width="10" style="2874" customWidth="1"/>
    <col min="11" max="13" width="10" style="2875" customWidth="1"/>
    <col min="14" max="15" width="10" style="2874" customWidth="1"/>
    <col min="16" max="17" width="10" style="2874"/>
    <col min="18" max="18" width="10" style="2874" customWidth="1"/>
    <col min="19" max="66" width="10" style="2874"/>
    <col min="67" max="16384" width="10" style="827"/>
  </cols>
  <sheetData>
    <row r="1" spans="1:17" ht="13.5" thickBot="1">
      <c r="A1" s="2560" t="s">
        <v>1470</v>
      </c>
      <c r="B1" s="2561" t="str">
        <f>IF(B6="北京市","北京市",C6)&amp;IF(E12="房屋所有权证",B29,E29)&amp;D5&amp;"预评估"</f>
        <v>北京市预评估</v>
      </c>
      <c r="C1" s="823"/>
      <c r="D1" s="823"/>
      <c r="E1" s="823"/>
      <c r="F1" s="1396" t="s">
        <v>1471</v>
      </c>
      <c r="G1" s="1162"/>
      <c r="I1" s="2889" t="str">
        <f>IF(B6="北京市","北京市",C6)&amp;IF(E12="房屋所有权证",B29,E29)&amp;"房地产"</f>
        <v>北京市房地产</v>
      </c>
      <c r="J1" s="800"/>
      <c r="K1" s="2891"/>
      <c r="L1" s="2891"/>
      <c r="M1" s="2891"/>
      <c r="N1" s="800"/>
      <c r="O1" s="800"/>
      <c r="P1" s="800"/>
      <c r="Q1" s="800"/>
    </row>
    <row r="2" spans="1:17" ht="13.5" thickTop="1">
      <c r="A2" s="1397" t="s">
        <v>1472</v>
      </c>
      <c r="B2" s="2562">
        <v>44645</v>
      </c>
      <c r="C2" s="2861" t="s">
        <v>1473</v>
      </c>
      <c r="D2" s="2562">
        <f>B2</f>
        <v>44645</v>
      </c>
      <c r="E2" s="824"/>
      <c r="F2" s="824"/>
      <c r="G2" s="1163"/>
      <c r="H2" s="2873"/>
    </row>
    <row r="3" spans="1:17" ht="13.5" thickBot="1">
      <c r="A3" s="2563" t="s">
        <v>1474</v>
      </c>
      <c r="B3" s="2564"/>
      <c r="C3" s="2565">
        <f>SUMIF(注册房地产估价师,B3,估价师及机构信息!B3:B16)</f>
        <v>0</v>
      </c>
      <c r="D3" s="2564"/>
      <c r="E3" s="2566">
        <f>SUMIF(注册房地产估价师,D3,估价师及机构信息!B3:B16)</f>
        <v>0</v>
      </c>
      <c r="F3" s="825"/>
      <c r="G3" s="1164"/>
      <c r="H3" s="2873"/>
    </row>
    <row r="4" spans="1:17" ht="13.5" customHeight="1" thickTop="1">
      <c r="A4" s="1397" t="s">
        <v>1475</v>
      </c>
      <c r="B4" s="1398" t="s">
        <v>2662</v>
      </c>
      <c r="C4" s="2862" t="s">
        <v>1476</v>
      </c>
      <c r="D4" s="1399"/>
      <c r="E4" s="824"/>
      <c r="F4" s="824"/>
      <c r="G4" s="1163"/>
    </row>
    <row r="5" spans="1:17">
      <c r="A5" s="1400" t="s">
        <v>1477</v>
      </c>
      <c r="B5" s="1401" t="s">
        <v>2663</v>
      </c>
      <c r="C5" s="2863" t="s">
        <v>1478</v>
      </c>
      <c r="D5" s="1403"/>
      <c r="E5" s="2864" t="s">
        <v>1479</v>
      </c>
      <c r="F5" s="1403"/>
      <c r="G5" s="1404"/>
      <c r="I5" s="2889" t="str">
        <f>IF(C16="否","截至估价时点，估价对象抵押权未见登记。","截至价值时点，估价对象已设定抵押。")</f>
        <v>截至价值时点，估价对象已设定抵押。</v>
      </c>
      <c r="J5" s="800"/>
      <c r="K5" s="2891"/>
      <c r="L5" s="2891"/>
      <c r="M5" s="2891"/>
      <c r="N5" s="800"/>
      <c r="O5" s="800"/>
      <c r="P5" s="800"/>
      <c r="Q5" s="800"/>
    </row>
    <row r="6" spans="1:17">
      <c r="A6" s="2865" t="s">
        <v>1480</v>
      </c>
      <c r="B6" s="2567" t="s">
        <v>2975</v>
      </c>
      <c r="C6" s="2568" t="s">
        <v>2664</v>
      </c>
      <c r="D6" s="2569" t="s">
        <v>1481</v>
      </c>
      <c r="E6" s="811"/>
      <c r="F6" s="811"/>
      <c r="G6" s="830"/>
      <c r="I6" s="800" t="str">
        <f>IF(COUNTIF(B5,"*上海银行*"),"上海银行","")</f>
        <v/>
      </c>
      <c r="J6" s="800"/>
      <c r="K6" s="2891"/>
      <c r="L6" s="2891"/>
      <c r="M6" s="2891"/>
      <c r="N6" s="800"/>
      <c r="O6" s="800"/>
      <c r="P6" s="800"/>
      <c r="Q6" s="800"/>
    </row>
    <row r="7" spans="1:17" ht="13.5" thickBot="1">
      <c r="A7" s="2866" t="s">
        <v>1482</v>
      </c>
      <c r="B7" s="2570" t="s">
        <v>2976</v>
      </c>
      <c r="C7" s="1495" t="str">
        <f>IF(B7="自然人","姓名","名称")</f>
        <v>姓名</v>
      </c>
      <c r="D7" s="1408" t="s">
        <v>2663</v>
      </c>
      <c r="E7" s="825"/>
      <c r="F7" s="825"/>
      <c r="G7" s="1164"/>
    </row>
    <row r="8" spans="1:17" ht="13.5" thickTop="1">
      <c r="A8" s="3383" t="s">
        <v>1483</v>
      </c>
      <c r="B8" s="1409" t="s">
        <v>1484</v>
      </c>
      <c r="C8" s="3395"/>
      <c r="D8" s="3396"/>
      <c r="E8" s="2571" t="s">
        <v>1485</v>
      </c>
      <c r="F8" s="2572" t="s">
        <v>1486</v>
      </c>
      <c r="G8" s="2573" t="str">
        <f>C6</f>
        <v>XX</v>
      </c>
    </row>
    <row r="9" spans="1:17" ht="25.5">
      <c r="A9" s="3383"/>
      <c r="B9" s="259" t="s">
        <v>1487</v>
      </c>
      <c r="C9" s="1401"/>
      <c r="D9" s="1410" t="s">
        <v>2977</v>
      </c>
      <c r="E9" s="2867" t="s">
        <v>1488</v>
      </c>
      <c r="F9" s="2574"/>
      <c r="G9" s="2575"/>
    </row>
    <row r="10" spans="1:17" ht="13.5" thickBot="1">
      <c r="A10" s="3383"/>
      <c r="B10" s="259" t="s">
        <v>1489</v>
      </c>
      <c r="C10" s="3397"/>
      <c r="D10" s="3398"/>
      <c r="E10" s="2868" t="s">
        <v>1490</v>
      </c>
      <c r="F10" s="2576"/>
      <c r="G10" s="2577"/>
    </row>
    <row r="11" spans="1:17" ht="13.5" thickBot="1">
      <c r="A11" s="3383"/>
      <c r="B11" s="1412" t="s">
        <v>1491</v>
      </c>
      <c r="C11" s="3399"/>
      <c r="D11" s="3400"/>
      <c r="E11" s="811"/>
      <c r="F11" s="811"/>
      <c r="G11" s="830"/>
    </row>
    <row r="12" spans="1:17" ht="13.5" thickBot="1">
      <c r="A12" s="3386" t="s">
        <v>2771</v>
      </c>
      <c r="B12" s="2869" t="s">
        <v>1492</v>
      </c>
      <c r="C12" s="808">
        <v>240.88</v>
      </c>
      <c r="D12" s="1413" t="s">
        <v>1493</v>
      </c>
      <c r="E12" s="1414"/>
      <c r="F12" s="1415"/>
      <c r="G12" s="830"/>
    </row>
    <row r="13" spans="1:17" ht="21" customHeight="1" thickBot="1">
      <c r="A13" s="3387"/>
      <c r="B13" s="2870" t="s">
        <v>1494</v>
      </c>
      <c r="C13" s="809"/>
      <c r="D13" s="1416" t="s">
        <v>1495</v>
      </c>
      <c r="E13" s="1417"/>
      <c r="F13" s="811"/>
      <c r="G13" s="830"/>
      <c r="I13" s="3372" t="s">
        <v>1496</v>
      </c>
      <c r="J13" s="2890" t="str">
        <f>"根据估价对象"&amp;IF(B19="——",B18&amp;C18,B18&amp;C18&amp;"、"&amp;B19&amp;C19)&amp;"，"&amp;IF(C16="是","截至价值时点，估价对象已设定抵押。","截至价值时点，估价对象抵押权未见登记。")</f>
        <v>根据估价对象、，截至价值时点，估价对象抵押权未见登记。</v>
      </c>
      <c r="K13" s="2891"/>
      <c r="L13" s="2891"/>
      <c r="M13" s="2891"/>
      <c r="N13" s="800"/>
      <c r="O13" s="800"/>
      <c r="P13" s="800"/>
      <c r="Q13" s="800"/>
    </row>
    <row r="14" spans="1:17" ht="13.5" thickBot="1">
      <c r="A14" s="2578"/>
      <c r="B14" s="2884" t="s">
        <v>2772</v>
      </c>
      <c r="C14" s="2579"/>
      <c r="D14" s="811"/>
      <c r="E14" s="811"/>
      <c r="F14" s="811"/>
      <c r="G14" s="830"/>
      <c r="I14" s="3372"/>
      <c r="J14" s="289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91"/>
      <c r="L14" s="2891"/>
      <c r="M14" s="2891"/>
      <c r="N14" s="800"/>
      <c r="O14" s="800"/>
      <c r="P14" s="800"/>
      <c r="Q14" s="800"/>
    </row>
    <row r="15" spans="1:17" ht="13.5" thickBot="1">
      <c r="A15" s="2580"/>
      <c r="B15" s="2871" t="s">
        <v>1497</v>
      </c>
      <c r="C15" s="826">
        <v>3.37</v>
      </c>
      <c r="D15" s="825"/>
      <c r="E15" s="825"/>
      <c r="F15" s="825"/>
      <c r="G15" s="1164"/>
      <c r="I15" s="3372"/>
      <c r="J15" s="289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91"/>
      <c r="L15" s="2891"/>
      <c r="M15" s="2891"/>
      <c r="N15" s="800"/>
      <c r="O15" s="800"/>
      <c r="P15" s="800"/>
      <c r="Q15" s="800"/>
    </row>
    <row r="16" spans="1:17" ht="25.5" thickTop="1" thickBot="1">
      <c r="A16" s="2578" t="s">
        <v>1498</v>
      </c>
      <c r="B16" s="1418" t="s">
        <v>1499</v>
      </c>
      <c r="C16" s="2581"/>
      <c r="D16" s="1411" t="s">
        <v>1500</v>
      </c>
      <c r="E16" s="2582"/>
      <c r="F16" s="1419" t="str">
        <f>IF(AND(C16="是",E16="否"),"是否提供他项权证或相关说明","")</f>
        <v/>
      </c>
      <c r="G16" s="2582"/>
      <c r="J16" s="2873"/>
    </row>
    <row r="17" spans="1:66" ht="13.5" customHeight="1">
      <c r="A17" s="1425" t="s">
        <v>1501</v>
      </c>
      <c r="B17" s="3401" t="s">
        <v>1502</v>
      </c>
      <c r="C17" s="3402"/>
      <c r="D17" s="3403" t="s">
        <v>1503</v>
      </c>
      <c r="E17" s="3404"/>
      <c r="F17" s="1420" t="s">
        <v>1504</v>
      </c>
      <c r="G17" s="1421"/>
      <c r="J17" s="2873"/>
    </row>
    <row r="18" spans="1:66" ht="24">
      <c r="A18" s="1425"/>
      <c r="B18" s="2583"/>
      <c r="C18" s="1404"/>
      <c r="D18" s="1422" t="s">
        <v>1505</v>
      </c>
      <c r="E18" s="1423"/>
      <c r="F18" s="1424"/>
      <c r="G18" s="1287"/>
      <c r="H18" s="2873"/>
      <c r="J18" s="2873"/>
    </row>
    <row r="19" spans="1:66" ht="21.75" customHeight="1" thickBot="1">
      <c r="A19" s="1425"/>
      <c r="B19" s="2584"/>
      <c r="C19" s="1417"/>
      <c r="D19" s="1425"/>
      <c r="E19" s="811"/>
      <c r="F19" s="811"/>
      <c r="G19" s="1287"/>
    </row>
    <row r="20" spans="1:66">
      <c r="A20" s="1421" t="s">
        <v>1506</v>
      </c>
      <c r="B20" s="2585" t="s">
        <v>1507</v>
      </c>
      <c r="C20" s="2586"/>
      <c r="D20" s="2587" t="s">
        <v>1507</v>
      </c>
      <c r="E20" s="2586"/>
      <c r="F20" s="811"/>
      <c r="G20" s="1287"/>
    </row>
    <row r="21" spans="1:66">
      <c r="A21" s="1287"/>
      <c r="B21" s="2588" t="s">
        <v>1508</v>
      </c>
      <c r="C21" s="2856"/>
      <c r="D21" s="1425" t="s">
        <v>1508</v>
      </c>
      <c r="E21" s="2589"/>
      <c r="F21" s="811"/>
      <c r="G21" s="1287"/>
    </row>
    <row r="22" spans="1:66">
      <c r="A22" s="1287"/>
      <c r="B22" s="811" t="s">
        <v>1509</v>
      </c>
      <c r="C22" s="2590"/>
      <c r="D22" s="811" t="s">
        <v>1509</v>
      </c>
      <c r="E22" s="2589"/>
      <c r="F22" s="811"/>
      <c r="G22" s="1287"/>
    </row>
    <row r="23" spans="1:66" s="2855" customFormat="1" ht="16.5" thickBot="1">
      <c r="A23" s="1288"/>
      <c r="B23" s="829" t="s">
        <v>1510</v>
      </c>
      <c r="C23" s="809"/>
      <c r="D23" s="829" t="s">
        <v>1511</v>
      </c>
      <c r="E23" s="2591"/>
      <c r="F23" s="829"/>
      <c r="G23" s="1288"/>
      <c r="H23" s="2876"/>
      <c r="I23" s="2876"/>
      <c r="J23" s="2876"/>
      <c r="K23" s="2877"/>
      <c r="L23" s="2877"/>
      <c r="M23" s="2877"/>
      <c r="N23" s="2877"/>
      <c r="O23" s="2877"/>
      <c r="P23" s="2877"/>
      <c r="Q23" s="2876"/>
      <c r="R23" s="2876"/>
      <c r="S23" s="2876"/>
      <c r="T23" s="2876"/>
      <c r="U23" s="2876"/>
      <c r="V23" s="2876"/>
      <c r="W23" s="2876"/>
      <c r="X23" s="2876"/>
      <c r="Y23" s="2876"/>
      <c r="Z23" s="2876"/>
      <c r="AA23" s="2876"/>
      <c r="AB23" s="2876"/>
      <c r="AC23" s="2876"/>
      <c r="AD23" s="2876"/>
      <c r="AE23" s="2876"/>
      <c r="AF23" s="2876"/>
      <c r="AG23" s="2876"/>
      <c r="AH23" s="2876"/>
      <c r="AI23" s="2876"/>
      <c r="AJ23" s="2876"/>
      <c r="AK23" s="2876"/>
      <c r="AL23" s="2876"/>
      <c r="AM23" s="2876"/>
      <c r="AN23" s="2876"/>
      <c r="AO23" s="2876"/>
      <c r="AP23" s="2876"/>
      <c r="AQ23" s="2876"/>
      <c r="AR23" s="2876"/>
      <c r="AS23" s="2876"/>
      <c r="AT23" s="2876"/>
      <c r="AU23" s="2876"/>
      <c r="AV23" s="2876"/>
      <c r="AW23" s="2876"/>
      <c r="AX23" s="2876"/>
      <c r="AY23" s="2876"/>
      <c r="AZ23" s="2876"/>
      <c r="BA23" s="2876"/>
      <c r="BB23" s="2876"/>
      <c r="BC23" s="2876"/>
      <c r="BD23" s="2876"/>
      <c r="BE23" s="2876"/>
      <c r="BF23" s="2876"/>
      <c r="BG23" s="2876"/>
      <c r="BH23" s="2876"/>
      <c r="BI23" s="2876"/>
      <c r="BJ23" s="2876"/>
      <c r="BK23" s="2876"/>
      <c r="BL23" s="2876"/>
      <c r="BM23" s="2876"/>
      <c r="BN23" s="2876"/>
    </row>
    <row r="24" spans="1:66" s="2872" customFormat="1" ht="18" customHeight="1" thickBot="1">
      <c r="A24" s="3382" t="s">
        <v>2770</v>
      </c>
      <c r="B24" s="3382"/>
      <c r="C24" s="3382"/>
      <c r="D24" s="3382"/>
      <c r="E24" s="3382"/>
      <c r="F24" s="3382"/>
      <c r="G24" s="3382"/>
      <c r="H24" s="2878"/>
      <c r="I24" s="2878"/>
      <c r="J24" s="2878"/>
      <c r="K24" s="2879"/>
      <c r="L24" s="2879"/>
      <c r="M24" s="2879"/>
      <c r="N24" s="2879"/>
      <c r="O24" s="2879"/>
      <c r="P24" s="2879"/>
      <c r="Q24" s="2880"/>
      <c r="R24" s="2880"/>
      <c r="S24" s="2880"/>
      <c r="T24" s="2880"/>
      <c r="U24" s="2880"/>
      <c r="V24" s="2880"/>
      <c r="W24" s="2880"/>
      <c r="X24" s="2880"/>
      <c r="Y24" s="2880"/>
      <c r="Z24" s="2880"/>
      <c r="AA24" s="2880"/>
      <c r="AB24" s="2880"/>
      <c r="AC24" s="2880"/>
      <c r="AD24" s="2880"/>
      <c r="AE24" s="2880"/>
      <c r="AF24" s="2880"/>
      <c r="AG24" s="2880"/>
      <c r="AH24" s="2880"/>
      <c r="AI24" s="2880"/>
      <c r="AJ24" s="2880"/>
      <c r="AK24" s="2880"/>
      <c r="AL24" s="2880"/>
      <c r="AM24" s="2880"/>
      <c r="AN24" s="2880"/>
      <c r="AO24" s="2880"/>
      <c r="AP24" s="2880"/>
      <c r="AQ24" s="2880"/>
      <c r="AR24" s="2880"/>
      <c r="AS24" s="2880"/>
      <c r="AT24" s="2880"/>
      <c r="AU24" s="2880"/>
      <c r="AV24" s="2880"/>
      <c r="AW24" s="2880"/>
      <c r="AX24" s="2880"/>
      <c r="AY24" s="2880"/>
      <c r="AZ24" s="2880"/>
      <c r="BA24" s="2880"/>
      <c r="BB24" s="2880"/>
      <c r="BC24" s="2880"/>
      <c r="BD24" s="2880"/>
      <c r="BE24" s="2880"/>
      <c r="BF24" s="2880"/>
      <c r="BG24" s="2880"/>
      <c r="BH24" s="2880"/>
      <c r="BI24" s="2880"/>
      <c r="BJ24" s="2880"/>
      <c r="BK24" s="2880"/>
      <c r="BL24" s="2880"/>
      <c r="BM24" s="2880"/>
      <c r="BN24" s="2880"/>
    </row>
    <row r="25" spans="1:66" ht="14.25" thickTop="1" thickBot="1">
      <c r="A25" s="828" t="s">
        <v>1512</v>
      </c>
      <c r="B25" s="811"/>
      <c r="C25" s="811"/>
      <c r="D25" s="811"/>
      <c r="E25" s="811"/>
      <c r="F25" s="811"/>
      <c r="G25" s="1288"/>
      <c r="K25" s="2874"/>
    </row>
    <row r="26" spans="1:66" s="836" customFormat="1" ht="13.5" thickBot="1">
      <c r="A26" s="2592"/>
      <c r="B26" s="807" t="s">
        <v>1513</v>
      </c>
      <c r="C26" s="2592"/>
      <c r="D26" s="807"/>
      <c r="E26" s="2593" t="s">
        <v>1514</v>
      </c>
      <c r="F26" s="2592"/>
      <c r="G26" s="2594" t="s">
        <v>1515</v>
      </c>
      <c r="H26" s="2881"/>
      <c r="I26" s="2881"/>
      <c r="J26" s="2881"/>
      <c r="K26" s="2881"/>
      <c r="L26" s="2882"/>
      <c r="M26" s="2882"/>
      <c r="N26" s="2881"/>
      <c r="O26" s="2881"/>
      <c r="P26" s="2881"/>
      <c r="Q26" s="2881"/>
      <c r="R26" s="2881"/>
      <c r="S26" s="2881"/>
      <c r="T26" s="2881"/>
      <c r="U26" s="2881"/>
      <c r="V26" s="2881"/>
      <c r="W26" s="2881"/>
      <c r="X26" s="2881"/>
      <c r="Y26" s="2881"/>
      <c r="Z26" s="2881"/>
      <c r="AA26" s="2881"/>
      <c r="AB26" s="2881"/>
      <c r="AC26" s="2881"/>
      <c r="AD26" s="2881"/>
      <c r="AE26" s="2881"/>
      <c r="AF26" s="2881"/>
      <c r="AG26" s="2881"/>
      <c r="AH26" s="2881"/>
      <c r="AI26" s="2881"/>
      <c r="AJ26" s="2881"/>
      <c r="AK26" s="2881"/>
      <c r="AL26" s="2881"/>
      <c r="AM26" s="2881"/>
      <c r="AN26" s="2881"/>
      <c r="AO26" s="2881"/>
      <c r="AP26" s="2881"/>
      <c r="AQ26" s="2881"/>
      <c r="AR26" s="2881"/>
      <c r="AS26" s="2881"/>
      <c r="AT26" s="2881"/>
      <c r="AU26" s="2881"/>
      <c r="AV26" s="2881"/>
      <c r="AW26" s="2881"/>
      <c r="AX26" s="2881"/>
      <c r="AY26" s="2881"/>
      <c r="AZ26" s="2881"/>
      <c r="BA26" s="2881"/>
      <c r="BB26" s="2881"/>
      <c r="BC26" s="2881"/>
      <c r="BD26" s="2881"/>
      <c r="BE26" s="2881"/>
      <c r="BF26" s="2881"/>
      <c r="BG26" s="2881"/>
      <c r="BH26" s="2881"/>
      <c r="BI26" s="2881"/>
      <c r="BJ26" s="2881"/>
      <c r="BK26" s="2881"/>
      <c r="BL26" s="2881"/>
      <c r="BM26" s="2881"/>
      <c r="BN26" s="2881"/>
    </row>
    <row r="27" spans="1:66" s="836" customFormat="1" ht="13.5" thickBot="1">
      <c r="A27" s="2592"/>
      <c r="B27" s="2595"/>
      <c r="C27" s="2592"/>
      <c r="D27" s="807"/>
      <c r="E27" s="2595"/>
      <c r="F27" s="2592"/>
      <c r="G27" s="2596"/>
      <c r="H27" s="2881"/>
      <c r="I27" s="2881"/>
      <c r="J27" s="2881"/>
      <c r="K27" s="2881"/>
      <c r="L27" s="2882"/>
      <c r="M27" s="2882"/>
      <c r="N27" s="2881"/>
      <c r="O27" s="2881"/>
      <c r="P27" s="2881"/>
      <c r="Q27" s="2881"/>
      <c r="R27" s="2881"/>
      <c r="S27" s="2881"/>
      <c r="T27" s="2881"/>
      <c r="U27" s="2881"/>
      <c r="V27" s="2881"/>
      <c r="W27" s="2881"/>
      <c r="X27" s="2881"/>
      <c r="Y27" s="2881"/>
      <c r="Z27" s="2881"/>
      <c r="AA27" s="2881"/>
      <c r="AB27" s="2881"/>
      <c r="AC27" s="2881"/>
      <c r="AD27" s="2881"/>
      <c r="AE27" s="2881"/>
      <c r="AF27" s="2881"/>
      <c r="AG27" s="2881"/>
      <c r="AH27" s="2881"/>
      <c r="AI27" s="2881"/>
      <c r="AJ27" s="2881"/>
      <c r="AK27" s="2881"/>
      <c r="AL27" s="2881"/>
      <c r="AM27" s="2881"/>
      <c r="AN27" s="2881"/>
      <c r="AO27" s="2881"/>
      <c r="AP27" s="2881"/>
      <c r="AQ27" s="2881"/>
      <c r="AR27" s="2881"/>
      <c r="AS27" s="2881"/>
      <c r="AT27" s="2881"/>
      <c r="AU27" s="2881"/>
      <c r="AV27" s="2881"/>
      <c r="AW27" s="2881"/>
      <c r="AX27" s="2881"/>
      <c r="AY27" s="2881"/>
      <c r="AZ27" s="2881"/>
      <c r="BA27" s="2881"/>
      <c r="BB27" s="2881"/>
      <c r="BC27" s="2881"/>
      <c r="BD27" s="2881"/>
      <c r="BE27" s="2881"/>
      <c r="BF27" s="2881"/>
      <c r="BG27" s="2881"/>
      <c r="BH27" s="2881"/>
      <c r="BI27" s="2881"/>
      <c r="BJ27" s="2881"/>
      <c r="BK27" s="2881"/>
      <c r="BL27" s="2881"/>
      <c r="BM27" s="2881"/>
      <c r="BN27" s="2881"/>
    </row>
    <row r="28" spans="1:66">
      <c r="A28" s="803" t="s">
        <v>1516</v>
      </c>
      <c r="B28" s="801"/>
      <c r="C28" s="3389" t="s">
        <v>1516</v>
      </c>
      <c r="D28" s="3390"/>
      <c r="E28" s="801"/>
      <c r="F28" s="803" t="s">
        <v>1516</v>
      </c>
      <c r="G28" s="801"/>
      <c r="K28" s="2874"/>
    </row>
    <row r="29" spans="1:66">
      <c r="A29" s="804" t="s">
        <v>1517</v>
      </c>
      <c r="B29" s="798"/>
      <c r="C29" s="3391" t="s">
        <v>1518</v>
      </c>
      <c r="D29" s="3392"/>
      <c r="E29" s="798"/>
      <c r="F29" s="804" t="s">
        <v>1518</v>
      </c>
      <c r="G29" s="798"/>
      <c r="K29" s="2874"/>
    </row>
    <row r="30" spans="1:66">
      <c r="A30" s="804" t="s">
        <v>1519</v>
      </c>
      <c r="B30" s="798"/>
      <c r="C30" s="3391" t="s">
        <v>1519</v>
      </c>
      <c r="D30" s="3392"/>
      <c r="E30" s="798"/>
      <c r="F30" s="804" t="s">
        <v>1520</v>
      </c>
      <c r="G30" s="798"/>
      <c r="K30" s="2874"/>
    </row>
    <row r="31" spans="1:66">
      <c r="A31" s="804" t="s">
        <v>1521</v>
      </c>
      <c r="B31" s="798"/>
      <c r="C31" s="3379" t="s">
        <v>1522</v>
      </c>
      <c r="D31" s="811"/>
      <c r="E31" s="2597" t="str">
        <f>E32&amp;" "&amp;E33&amp;" "&amp;E34&amp;" "&amp;E35</f>
        <v xml:space="preserve">   </v>
      </c>
      <c r="F31" s="804" t="s">
        <v>1523</v>
      </c>
      <c r="G31" s="798"/>
    </row>
    <row r="32" spans="1:66">
      <c r="A32" s="804" t="s">
        <v>1524</v>
      </c>
      <c r="B32" s="798"/>
      <c r="C32" s="3380"/>
      <c r="D32" s="259" t="s">
        <v>1525</v>
      </c>
      <c r="E32" s="798"/>
      <c r="F32" s="804" t="s">
        <v>1526</v>
      </c>
      <c r="G32" s="798"/>
    </row>
    <row r="33" spans="1:7" ht="24.75" thickBot="1">
      <c r="A33" s="805" t="s">
        <v>1527</v>
      </c>
      <c r="B33" s="802"/>
      <c r="C33" s="3380"/>
      <c r="D33" s="259" t="s">
        <v>1528</v>
      </c>
      <c r="E33" s="798"/>
      <c r="F33" s="804" t="s">
        <v>1529</v>
      </c>
      <c r="G33" s="798"/>
    </row>
    <row r="34" spans="1:7">
      <c r="A34" s="803" t="s">
        <v>1530</v>
      </c>
      <c r="B34" s="801"/>
      <c r="C34" s="3380"/>
      <c r="D34" s="259" t="s">
        <v>1531</v>
      </c>
      <c r="E34" s="798"/>
      <c r="F34" s="804" t="s">
        <v>1532</v>
      </c>
      <c r="G34" s="798"/>
    </row>
    <row r="35" spans="1:7" ht="13.5" thickBot="1">
      <c r="A35" s="804" t="s">
        <v>1533</v>
      </c>
      <c r="B35" s="798"/>
      <c r="C35" s="3381"/>
      <c r="D35" s="259" t="s">
        <v>1534</v>
      </c>
      <c r="E35" s="798"/>
      <c r="F35" s="805" t="s">
        <v>1535</v>
      </c>
      <c r="G35" s="2598"/>
    </row>
    <row r="36" spans="1:7">
      <c r="A36" s="804" t="s">
        <v>1492</v>
      </c>
      <c r="B36" s="798"/>
      <c r="C36" s="3391" t="s">
        <v>1536</v>
      </c>
      <c r="D36" s="3392"/>
      <c r="E36" s="798"/>
      <c r="F36" s="2599" t="s">
        <v>1537</v>
      </c>
      <c r="G36" s="801"/>
    </row>
    <row r="37" spans="1:7" ht="13.5" thickBot="1">
      <c r="A37" s="804" t="s">
        <v>1538</v>
      </c>
      <c r="B37" s="798"/>
      <c r="C37" s="3393" t="s">
        <v>1539</v>
      </c>
      <c r="D37" s="3394"/>
      <c r="E37" s="802"/>
      <c r="F37" s="1433" t="s">
        <v>1540</v>
      </c>
      <c r="G37" s="798"/>
    </row>
    <row r="38" spans="1:7" ht="13.5" thickBot="1">
      <c r="A38" s="804" t="s">
        <v>1541</v>
      </c>
      <c r="B38" s="798"/>
      <c r="C38" s="3377" t="s">
        <v>1542</v>
      </c>
      <c r="D38" s="1413" t="s">
        <v>1526</v>
      </c>
      <c r="E38" s="801"/>
      <c r="F38" s="805" t="s">
        <v>1543</v>
      </c>
      <c r="G38" s="802"/>
    </row>
    <row r="39" spans="1:7">
      <c r="A39" s="804" t="s">
        <v>1544</v>
      </c>
      <c r="B39" s="798"/>
      <c r="C39" s="3384"/>
      <c r="D39" s="259" t="s">
        <v>1533</v>
      </c>
      <c r="E39" s="798"/>
      <c r="F39" s="803" t="s">
        <v>1545</v>
      </c>
      <c r="G39" s="801"/>
    </row>
    <row r="40" spans="1:7">
      <c r="A40" s="804" t="s">
        <v>1546</v>
      </c>
      <c r="B40" s="798"/>
      <c r="C40" s="3384" t="s">
        <v>1547</v>
      </c>
      <c r="D40" s="259" t="s">
        <v>1492</v>
      </c>
      <c r="E40" s="798"/>
      <c r="F40" s="804" t="s">
        <v>1548</v>
      </c>
      <c r="G40" s="798"/>
    </row>
    <row r="41" spans="1:7" ht="24.75" customHeight="1" thickBot="1">
      <c r="A41" s="805" t="s">
        <v>1549</v>
      </c>
      <c r="B41" s="802"/>
      <c r="C41" s="3385"/>
      <c r="D41" s="1416" t="s">
        <v>1494</v>
      </c>
      <c r="E41" s="802"/>
      <c r="F41" s="805" t="s">
        <v>1550</v>
      </c>
      <c r="G41" s="802"/>
    </row>
    <row r="42" spans="1:7">
      <c r="A42" s="806" t="s">
        <v>1551</v>
      </c>
      <c r="B42" s="2600"/>
      <c r="C42" s="3373" t="s">
        <v>1551</v>
      </c>
      <c r="D42" s="3374"/>
      <c r="E42" s="2600"/>
      <c r="F42" s="803" t="s">
        <v>1552</v>
      </c>
      <c r="G42" s="2600"/>
    </row>
    <row r="43" spans="1:7">
      <c r="A43" s="821" t="s">
        <v>1553</v>
      </c>
      <c r="B43" s="2601"/>
      <c r="C43" s="1425"/>
      <c r="D43" s="2588"/>
      <c r="E43" s="2601"/>
      <c r="F43" s="821"/>
      <c r="G43" s="2601"/>
    </row>
    <row r="44" spans="1:7">
      <c r="A44" s="821" t="s">
        <v>1507</v>
      </c>
      <c r="B44" s="822"/>
      <c r="C44" s="1425"/>
      <c r="D44" s="1491" t="s">
        <v>1507</v>
      </c>
      <c r="E44" s="822"/>
      <c r="F44" s="821" t="s">
        <v>1507</v>
      </c>
      <c r="G44" s="822"/>
    </row>
    <row r="45" spans="1:7">
      <c r="A45" s="821" t="s">
        <v>1508</v>
      </c>
      <c r="B45" s="822"/>
      <c r="C45" s="1425"/>
      <c r="D45" s="2588" t="s">
        <v>1508</v>
      </c>
      <c r="E45" s="822"/>
      <c r="F45" s="821" t="s">
        <v>1508</v>
      </c>
      <c r="G45" s="822"/>
    </row>
    <row r="46" spans="1:7">
      <c r="A46" s="821" t="s">
        <v>1509</v>
      </c>
      <c r="B46" s="822"/>
      <c r="C46" s="1425"/>
      <c r="D46" s="2588" t="s">
        <v>1509</v>
      </c>
      <c r="E46" s="822"/>
      <c r="F46" s="821" t="s">
        <v>1509</v>
      </c>
      <c r="G46" s="822"/>
    </row>
    <row r="47" spans="1:7">
      <c r="A47" s="821" t="s">
        <v>1510</v>
      </c>
      <c r="B47" s="822"/>
      <c r="C47" s="1425"/>
      <c r="D47" s="2588" t="s">
        <v>1510</v>
      </c>
      <c r="E47" s="822"/>
      <c r="F47" s="821" t="s">
        <v>1510</v>
      </c>
      <c r="G47" s="822"/>
    </row>
    <row r="48" spans="1:7">
      <c r="A48" s="821"/>
      <c r="B48" s="822"/>
      <c r="C48" s="1425"/>
      <c r="D48" s="2588"/>
      <c r="E48" s="822"/>
      <c r="F48" s="821"/>
      <c r="G48" s="822"/>
    </row>
    <row r="49" spans="1:66" ht="13.5" thickBot="1">
      <c r="A49" s="805" t="s">
        <v>1554</v>
      </c>
      <c r="B49" s="802"/>
      <c r="C49" s="3375" t="s">
        <v>1554</v>
      </c>
      <c r="D49" s="3376"/>
      <c r="E49" s="820"/>
      <c r="F49" s="805" t="s">
        <v>1555</v>
      </c>
      <c r="G49" s="802"/>
    </row>
    <row r="50" spans="1:66">
      <c r="A50" s="804" t="s">
        <v>1556</v>
      </c>
      <c r="B50" s="819"/>
      <c r="C50" s="3377" t="s">
        <v>1557</v>
      </c>
      <c r="D50" s="3378"/>
      <c r="E50" s="2602"/>
      <c r="F50" s="837"/>
      <c r="G50" s="838"/>
    </row>
    <row r="51" spans="1:66" ht="13.5" thickBot="1">
      <c r="A51" s="804" t="s">
        <v>1558</v>
      </c>
      <c r="B51" s="819"/>
      <c r="C51" s="3385" t="s">
        <v>1559</v>
      </c>
      <c r="D51" s="3388"/>
      <c r="E51" s="802"/>
      <c r="F51" s="811"/>
      <c r="G51" s="830"/>
    </row>
    <row r="52" spans="1:66">
      <c r="A52" s="804" t="s">
        <v>1537</v>
      </c>
      <c r="B52" s="798"/>
      <c r="C52" s="811"/>
      <c r="D52" s="811"/>
      <c r="E52" s="811"/>
      <c r="F52" s="811"/>
      <c r="G52" s="830"/>
    </row>
    <row r="53" spans="1:66" ht="24.75" thickBot="1">
      <c r="A53" s="805" t="s">
        <v>1560</v>
      </c>
      <c r="B53" s="2598"/>
      <c r="C53" s="829"/>
      <c r="D53" s="829"/>
      <c r="E53" s="829"/>
      <c r="F53" s="829"/>
      <c r="G53" s="831"/>
    </row>
    <row r="57" spans="1:66" s="810" customFormat="1">
      <c r="H57" s="2873"/>
      <c r="I57" s="2873"/>
      <c r="J57" s="2873"/>
      <c r="K57" s="2883"/>
      <c r="L57" s="2883"/>
      <c r="M57" s="2883"/>
      <c r="N57" s="2873"/>
      <c r="O57" s="2873"/>
      <c r="P57" s="2873"/>
      <c r="Q57" s="2873"/>
      <c r="R57" s="2873"/>
      <c r="S57" s="2873"/>
      <c r="T57" s="2873"/>
      <c r="U57" s="2873"/>
      <c r="V57" s="2873"/>
      <c r="W57" s="2873"/>
      <c r="X57" s="2873"/>
      <c r="Y57" s="2873"/>
      <c r="Z57" s="2873"/>
      <c r="AA57" s="2873"/>
      <c r="AB57" s="2873"/>
      <c r="AC57" s="2873"/>
      <c r="AD57" s="2873"/>
      <c r="AE57" s="2873"/>
      <c r="AF57" s="2873"/>
      <c r="AG57" s="2873"/>
      <c r="AH57" s="2873"/>
      <c r="AI57" s="2873"/>
      <c r="AJ57" s="2873"/>
      <c r="AK57" s="2873"/>
      <c r="AL57" s="2873"/>
      <c r="AM57" s="2873"/>
      <c r="AN57" s="2873"/>
      <c r="AO57" s="2873"/>
      <c r="AP57" s="2873"/>
      <c r="AQ57" s="2873"/>
      <c r="AR57" s="2873"/>
      <c r="AS57" s="2873"/>
      <c r="AT57" s="2873"/>
      <c r="AU57" s="2873"/>
      <c r="AV57" s="2873"/>
      <c r="AW57" s="2873"/>
      <c r="AX57" s="2873"/>
      <c r="AY57" s="2873"/>
      <c r="AZ57" s="2873"/>
      <c r="BA57" s="2873"/>
      <c r="BB57" s="2873"/>
      <c r="BC57" s="2873"/>
      <c r="BD57" s="2873"/>
      <c r="BE57" s="2873"/>
      <c r="BF57" s="2873"/>
      <c r="BG57" s="2873"/>
      <c r="BH57" s="2873"/>
      <c r="BI57" s="2873"/>
      <c r="BJ57" s="2873"/>
      <c r="BK57" s="2873"/>
      <c r="BL57" s="2873"/>
      <c r="BM57" s="2873"/>
      <c r="BN57" s="2873"/>
    </row>
    <row r="58" spans="1:66" s="810" customFormat="1">
      <c r="H58" s="2873"/>
      <c r="I58" s="2873"/>
      <c r="J58" s="2873"/>
      <c r="K58" s="2883"/>
      <c r="L58" s="2883"/>
      <c r="M58" s="2883"/>
      <c r="N58" s="2873"/>
      <c r="O58" s="2873"/>
      <c r="P58" s="2873"/>
      <c r="Q58" s="2873"/>
      <c r="R58" s="2873"/>
      <c r="S58" s="2873"/>
      <c r="T58" s="2873"/>
      <c r="U58" s="2873"/>
      <c r="V58" s="2873"/>
      <c r="W58" s="2873"/>
      <c r="X58" s="2873"/>
      <c r="Y58" s="2873"/>
      <c r="Z58" s="2873"/>
      <c r="AA58" s="2873"/>
      <c r="AB58" s="2873"/>
      <c r="AC58" s="2873"/>
      <c r="AD58" s="2873"/>
      <c r="AE58" s="2873"/>
      <c r="AF58" s="2873"/>
      <c r="AG58" s="2873"/>
      <c r="AH58" s="2873"/>
      <c r="AI58" s="2873"/>
      <c r="AJ58" s="2873"/>
      <c r="AK58" s="2873"/>
      <c r="AL58" s="2873"/>
      <c r="AM58" s="2873"/>
      <c r="AN58" s="2873"/>
      <c r="AO58" s="2873"/>
      <c r="AP58" s="2873"/>
      <c r="AQ58" s="2873"/>
      <c r="AR58" s="2873"/>
      <c r="AS58" s="2873"/>
      <c r="AT58" s="2873"/>
      <c r="AU58" s="2873"/>
      <c r="AV58" s="2873"/>
      <c r="AW58" s="2873"/>
      <c r="AX58" s="2873"/>
      <c r="AY58" s="2873"/>
      <c r="AZ58" s="2873"/>
      <c r="BA58" s="2873"/>
      <c r="BB58" s="2873"/>
      <c r="BC58" s="2873"/>
      <c r="BD58" s="2873"/>
      <c r="BE58" s="2873"/>
      <c r="BF58" s="2873"/>
      <c r="BG58" s="2873"/>
      <c r="BH58" s="2873"/>
      <c r="BI58" s="2873"/>
      <c r="BJ58" s="2873"/>
      <c r="BK58" s="2873"/>
      <c r="BL58" s="2873"/>
      <c r="BM58" s="2873"/>
      <c r="BN58" s="2873"/>
    </row>
    <row r="59" spans="1:66" s="810" customFormat="1">
      <c r="H59" s="2873"/>
      <c r="I59" s="2873"/>
      <c r="J59" s="2873"/>
      <c r="K59" s="2883"/>
      <c r="L59" s="2883"/>
      <c r="M59" s="2883"/>
      <c r="N59" s="2873"/>
      <c r="O59" s="2873"/>
      <c r="P59" s="2873"/>
      <c r="Q59" s="2873"/>
      <c r="R59" s="2873"/>
      <c r="S59" s="2873"/>
      <c r="T59" s="2873"/>
      <c r="U59" s="2873"/>
      <c r="V59" s="2873"/>
      <c r="W59" s="2873"/>
      <c r="X59" s="2873"/>
      <c r="Y59" s="2873"/>
      <c r="Z59" s="2873"/>
      <c r="AA59" s="2873"/>
      <c r="AB59" s="2873"/>
      <c r="AC59" s="2873"/>
      <c r="AD59" s="2873"/>
      <c r="AE59" s="2873"/>
      <c r="AF59" s="2873"/>
      <c r="AG59" s="2873"/>
      <c r="AH59" s="2873"/>
      <c r="AI59" s="2873"/>
      <c r="AJ59" s="2873"/>
      <c r="AK59" s="2873"/>
      <c r="AL59" s="2873"/>
      <c r="AM59" s="2873"/>
      <c r="AN59" s="2873"/>
      <c r="AO59" s="2873"/>
      <c r="AP59" s="2873"/>
      <c r="AQ59" s="2873"/>
      <c r="AR59" s="2873"/>
      <c r="AS59" s="2873"/>
      <c r="AT59" s="2873"/>
      <c r="AU59" s="2873"/>
      <c r="AV59" s="2873"/>
      <c r="AW59" s="2873"/>
      <c r="AX59" s="2873"/>
      <c r="AY59" s="2873"/>
      <c r="AZ59" s="2873"/>
      <c r="BA59" s="2873"/>
      <c r="BB59" s="2873"/>
      <c r="BC59" s="2873"/>
      <c r="BD59" s="2873"/>
      <c r="BE59" s="2873"/>
      <c r="BF59" s="2873"/>
      <c r="BG59" s="2873"/>
      <c r="BH59" s="2873"/>
      <c r="BI59" s="2873"/>
      <c r="BJ59" s="2873"/>
      <c r="BK59" s="2873"/>
      <c r="BL59" s="2873"/>
      <c r="BM59" s="2873"/>
      <c r="BN59" s="2873"/>
    </row>
    <row r="60" spans="1:66" s="810" customFormat="1">
      <c r="H60" s="2873"/>
      <c r="I60" s="2873"/>
      <c r="J60" s="2873"/>
      <c r="K60" s="2883"/>
      <c r="L60" s="2883"/>
      <c r="M60" s="2883"/>
      <c r="N60" s="2873"/>
      <c r="O60" s="2873"/>
      <c r="P60" s="2873"/>
      <c r="Q60" s="2873"/>
      <c r="R60" s="2873"/>
      <c r="S60" s="2873"/>
      <c r="T60" s="2873"/>
      <c r="U60" s="2873"/>
      <c r="V60" s="2873"/>
      <c r="W60" s="2873"/>
      <c r="X60" s="2873"/>
      <c r="Y60" s="2873"/>
      <c r="Z60" s="2873"/>
      <c r="AA60" s="2873"/>
      <c r="AB60" s="2873"/>
      <c r="AC60" s="2873"/>
      <c r="AD60" s="2873"/>
      <c r="AE60" s="2873"/>
      <c r="AF60" s="2873"/>
      <c r="AG60" s="2873"/>
      <c r="AH60" s="2873"/>
      <c r="AI60" s="2873"/>
      <c r="AJ60" s="2873"/>
      <c r="AK60" s="2873"/>
      <c r="AL60" s="2873"/>
      <c r="AM60" s="2873"/>
      <c r="AN60" s="2873"/>
      <c r="AO60" s="2873"/>
      <c r="AP60" s="2873"/>
      <c r="AQ60" s="2873"/>
      <c r="AR60" s="2873"/>
      <c r="AS60" s="2873"/>
      <c r="AT60" s="2873"/>
      <c r="AU60" s="2873"/>
      <c r="AV60" s="2873"/>
      <c r="AW60" s="2873"/>
      <c r="AX60" s="2873"/>
      <c r="AY60" s="2873"/>
      <c r="AZ60" s="2873"/>
      <c r="BA60" s="2873"/>
      <c r="BB60" s="2873"/>
      <c r="BC60" s="2873"/>
      <c r="BD60" s="2873"/>
      <c r="BE60" s="2873"/>
      <c r="BF60" s="2873"/>
      <c r="BG60" s="2873"/>
      <c r="BH60" s="2873"/>
      <c r="BI60" s="2873"/>
      <c r="BJ60" s="2873"/>
      <c r="BK60" s="2873"/>
      <c r="BL60" s="2873"/>
      <c r="BM60" s="2873"/>
      <c r="BN60" s="2873"/>
    </row>
    <row r="61" spans="1:66" s="810" customFormat="1">
      <c r="H61" s="2873"/>
      <c r="I61" s="2873"/>
      <c r="J61" s="2873"/>
      <c r="K61" s="2883"/>
      <c r="L61" s="2883"/>
      <c r="M61" s="2883"/>
      <c r="N61" s="2873"/>
      <c r="O61" s="2873"/>
      <c r="P61" s="2873"/>
      <c r="Q61" s="2873"/>
      <c r="R61" s="2873"/>
      <c r="S61" s="2873"/>
      <c r="T61" s="2873"/>
      <c r="U61" s="2873"/>
      <c r="V61" s="2873"/>
      <c r="W61" s="2873"/>
      <c r="X61" s="2873"/>
      <c r="Y61" s="2873"/>
      <c r="Z61" s="2873"/>
      <c r="AA61" s="2873"/>
      <c r="AB61" s="2873"/>
      <c r="AC61" s="2873"/>
      <c r="AD61" s="2873"/>
      <c r="AE61" s="2873"/>
      <c r="AF61" s="2873"/>
      <c r="AG61" s="2873"/>
      <c r="AH61" s="2873"/>
      <c r="AI61" s="2873"/>
      <c r="AJ61" s="2873"/>
      <c r="AK61" s="2873"/>
      <c r="AL61" s="2873"/>
      <c r="AM61" s="2873"/>
      <c r="AN61" s="2873"/>
      <c r="AO61" s="2873"/>
      <c r="AP61" s="2873"/>
      <c r="AQ61" s="2873"/>
      <c r="AR61" s="2873"/>
      <c r="AS61" s="2873"/>
      <c r="AT61" s="2873"/>
      <c r="AU61" s="2873"/>
      <c r="AV61" s="2873"/>
      <c r="AW61" s="2873"/>
      <c r="AX61" s="2873"/>
      <c r="AY61" s="2873"/>
      <c r="AZ61" s="2873"/>
      <c r="BA61" s="2873"/>
      <c r="BB61" s="2873"/>
      <c r="BC61" s="2873"/>
      <c r="BD61" s="2873"/>
      <c r="BE61" s="2873"/>
      <c r="BF61" s="2873"/>
      <c r="BG61" s="2873"/>
      <c r="BH61" s="2873"/>
      <c r="BI61" s="2873"/>
      <c r="BJ61" s="2873"/>
      <c r="BK61" s="2873"/>
      <c r="BL61" s="2873"/>
      <c r="BM61" s="2873"/>
      <c r="BN61" s="2873"/>
    </row>
    <row r="62" spans="1:66" s="810" customFormat="1">
      <c r="H62" s="2873"/>
      <c r="I62" s="2873"/>
      <c r="J62" s="2873"/>
      <c r="K62" s="2883"/>
      <c r="L62" s="2883"/>
      <c r="M62" s="2883"/>
      <c r="N62" s="2873"/>
      <c r="O62" s="2873"/>
      <c r="P62" s="2873"/>
      <c r="Q62" s="2873"/>
      <c r="R62" s="2873"/>
      <c r="S62" s="2873"/>
      <c r="T62" s="2873"/>
      <c r="U62" s="2873"/>
      <c r="V62" s="2873"/>
      <c r="W62" s="2873"/>
      <c r="X62" s="2873"/>
      <c r="Y62" s="2873"/>
      <c r="Z62" s="2873"/>
      <c r="AA62" s="2873"/>
      <c r="AB62" s="2873"/>
      <c r="AC62" s="2873"/>
      <c r="AD62" s="2873"/>
      <c r="AE62" s="2873"/>
      <c r="AF62" s="2873"/>
      <c r="AG62" s="2873"/>
      <c r="AH62" s="2873"/>
      <c r="AI62" s="2873"/>
      <c r="AJ62" s="2873"/>
      <c r="AK62" s="2873"/>
      <c r="AL62" s="2873"/>
      <c r="AM62" s="2873"/>
      <c r="AN62" s="2873"/>
      <c r="AO62" s="2873"/>
      <c r="AP62" s="2873"/>
      <c r="AQ62" s="2873"/>
      <c r="AR62" s="2873"/>
      <c r="AS62" s="2873"/>
      <c r="AT62" s="2873"/>
      <c r="AU62" s="2873"/>
      <c r="AV62" s="2873"/>
      <c r="AW62" s="2873"/>
      <c r="AX62" s="2873"/>
      <c r="AY62" s="2873"/>
      <c r="AZ62" s="2873"/>
      <c r="BA62" s="2873"/>
      <c r="BB62" s="2873"/>
      <c r="BC62" s="2873"/>
      <c r="BD62" s="2873"/>
      <c r="BE62" s="2873"/>
      <c r="BF62" s="2873"/>
      <c r="BG62" s="2873"/>
      <c r="BH62" s="2873"/>
      <c r="BI62" s="2873"/>
      <c r="BJ62" s="2873"/>
      <c r="BK62" s="2873"/>
      <c r="BL62" s="2873"/>
      <c r="BM62" s="2873"/>
      <c r="BN62" s="2873"/>
    </row>
    <row r="63" spans="1:66" s="810" customFormat="1">
      <c r="H63" s="2873"/>
      <c r="I63" s="2873"/>
      <c r="J63" s="2873"/>
      <c r="K63" s="2883"/>
      <c r="L63" s="2883"/>
      <c r="M63" s="2883"/>
      <c r="N63" s="2873"/>
      <c r="O63" s="2873"/>
      <c r="P63" s="2873"/>
      <c r="Q63" s="2873"/>
      <c r="R63" s="2873"/>
      <c r="S63" s="2873"/>
      <c r="T63" s="2873"/>
      <c r="U63" s="2873"/>
      <c r="V63" s="2873"/>
      <c r="W63" s="2873"/>
      <c r="X63" s="2873"/>
      <c r="Y63" s="2873"/>
      <c r="Z63" s="2873"/>
      <c r="AA63" s="2873"/>
      <c r="AB63" s="2873"/>
      <c r="AC63" s="2873"/>
      <c r="AD63" s="2873"/>
      <c r="AE63" s="2873"/>
      <c r="AF63" s="2873"/>
      <c r="AG63" s="2873"/>
      <c r="AH63" s="2873"/>
      <c r="AI63" s="2873"/>
      <c r="AJ63" s="2873"/>
      <c r="AK63" s="2873"/>
      <c r="AL63" s="2873"/>
      <c r="AM63" s="2873"/>
      <c r="AN63" s="2873"/>
      <c r="AO63" s="2873"/>
      <c r="AP63" s="2873"/>
      <c r="AQ63" s="2873"/>
      <c r="AR63" s="2873"/>
      <c r="AS63" s="2873"/>
      <c r="AT63" s="2873"/>
      <c r="AU63" s="2873"/>
      <c r="AV63" s="2873"/>
      <c r="AW63" s="2873"/>
      <c r="AX63" s="2873"/>
      <c r="AY63" s="2873"/>
      <c r="AZ63" s="2873"/>
      <c r="BA63" s="2873"/>
      <c r="BB63" s="2873"/>
      <c r="BC63" s="2873"/>
      <c r="BD63" s="2873"/>
      <c r="BE63" s="2873"/>
      <c r="BF63" s="2873"/>
      <c r="BG63" s="2873"/>
      <c r="BH63" s="2873"/>
      <c r="BI63" s="2873"/>
      <c r="BJ63" s="2873"/>
      <c r="BK63" s="2873"/>
      <c r="BL63" s="2873"/>
      <c r="BM63" s="2873"/>
      <c r="BN63" s="2873"/>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5" t="s">
        <v>0</v>
      </c>
      <c r="B1" s="3405" t="s">
        <v>2</v>
      </c>
      <c r="C1" s="3405" t="s">
        <v>3</v>
      </c>
      <c r="D1" s="3406" t="s">
        <v>67</v>
      </c>
      <c r="E1" s="3406" t="s">
        <v>68</v>
      </c>
      <c r="F1" s="3406"/>
      <c r="G1" s="3406"/>
      <c r="H1" s="3406"/>
      <c r="I1" s="3406"/>
      <c r="J1" s="3406"/>
      <c r="K1" s="3406"/>
      <c r="L1" s="3406"/>
      <c r="M1" s="3406"/>
    </row>
    <row r="2" spans="1:13" ht="27" customHeight="1">
      <c r="A2" s="3405"/>
      <c r="B2" s="3405"/>
      <c r="C2" s="3405"/>
      <c r="D2" s="3406"/>
      <c r="E2" s="3406" t="s">
        <v>51</v>
      </c>
      <c r="F2" s="3406" t="s">
        <v>52</v>
      </c>
      <c r="G2" s="3406"/>
      <c r="H2" s="3406"/>
      <c r="I2" s="3406"/>
      <c r="J2" s="3406" t="s">
        <v>53</v>
      </c>
      <c r="K2" s="3406"/>
      <c r="L2" s="3406"/>
      <c r="M2" s="3406"/>
    </row>
    <row r="3" spans="1:13" ht="28.5">
      <c r="A3" s="3405"/>
      <c r="B3" s="3405"/>
      <c r="C3" s="3405"/>
      <c r="D3" s="3406"/>
      <c r="E3" s="340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6" t="s">
        <v>69</v>
      </c>
      <c r="B9" s="3406"/>
      <c r="C9" s="340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C15" sqref="C15"/>
    </sheetView>
  </sheetViews>
  <sheetFormatPr defaultColWidth="13.75" defaultRowHeight="12.75"/>
  <cols>
    <col min="1" max="1" width="20.875" style="2659" customWidth="1"/>
    <col min="2" max="2" width="16.75" style="2604" customWidth="1"/>
    <col min="3" max="3" width="18.25" style="2645" customWidth="1"/>
    <col min="4" max="4" width="34.125" style="2660" customWidth="1"/>
    <col min="5" max="5" width="17.625" style="2660" customWidth="1"/>
    <col min="6" max="6" width="15.5" style="2603" customWidth="1"/>
    <col min="7" max="8" width="9.125" style="2938" customWidth="1"/>
    <col min="9" max="9" width="15" style="2645" bestFit="1" customWidth="1"/>
    <col min="10" max="14" width="8.875" style="2645" customWidth="1"/>
    <col min="15" max="16" width="12.375" style="2645" customWidth="1"/>
    <col min="17" max="17" width="8.625" style="2645" customWidth="1"/>
    <col min="18" max="18" width="12.5" style="2645" customWidth="1"/>
    <col min="19" max="19" width="8.5" style="2645" customWidth="1"/>
    <col min="20" max="21" width="10.875" style="2645" customWidth="1"/>
    <col min="22" max="23" width="12.5" style="2645" customWidth="1"/>
    <col min="24" max="24" width="12.125" style="2645" customWidth="1"/>
    <col min="25" max="25" width="7.5" style="2645" customWidth="1"/>
    <col min="26" max="26" width="6.375" style="2645" customWidth="1"/>
    <col min="27" max="32" width="6.75" style="2645" customWidth="1"/>
    <col min="33" max="33" width="6.5" style="2645" customWidth="1"/>
    <col min="34" max="36" width="7.25" style="2645" customWidth="1"/>
    <col min="37" max="41" width="8" style="2645" customWidth="1"/>
    <col min="42" max="16384" width="13.75" style="2604"/>
  </cols>
  <sheetData>
    <row r="1" spans="1:41" ht="19.5" thickBot="1">
      <c r="A1" s="2892" t="s">
        <v>1561</v>
      </c>
      <c r="B1" s="947"/>
      <c r="D1" s="2603"/>
      <c r="E1" s="2603"/>
    </row>
    <row r="2" spans="1:41" s="2607" customFormat="1" ht="15.75" thickBot="1">
      <c r="A2" s="2893" t="s">
        <v>1562</v>
      </c>
      <c r="B2" s="2894">
        <f>项目基本情况!D2</f>
        <v>44645</v>
      </c>
      <c r="C2" s="1655"/>
      <c r="D2" s="3407" t="s">
        <v>1563</v>
      </c>
      <c r="E2" s="2605"/>
      <c r="F2" s="2606"/>
      <c r="G2" s="2939"/>
      <c r="H2" s="2939"/>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7" customFormat="1" ht="15" customHeight="1" thickBot="1">
      <c r="A3" s="2610" t="s">
        <v>1564</v>
      </c>
      <c r="B3" s="2608" t="s">
        <v>2978</v>
      </c>
      <c r="C3" s="1655"/>
      <c r="D3" s="3408"/>
      <c r="E3" s="2609" t="s">
        <v>2982</v>
      </c>
      <c r="F3" s="2606"/>
      <c r="G3" s="2939"/>
      <c r="H3" s="2939"/>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7" customFormat="1" ht="15" thickBot="1">
      <c r="A4" s="2613" t="s">
        <v>1565</v>
      </c>
      <c r="B4" s="2608" t="s">
        <v>2979</v>
      </c>
      <c r="C4" s="1655"/>
      <c r="D4" s="3408"/>
      <c r="E4" s="2609"/>
      <c r="F4" s="2606"/>
      <c r="G4" s="2939"/>
      <c r="H4" s="2939"/>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7" customFormat="1" ht="15.75" thickBot="1">
      <c r="A5" s="2610" t="s">
        <v>1566</v>
      </c>
      <c r="B5" s="2611">
        <f>项目基本情况!C12</f>
        <v>240.88</v>
      </c>
      <c r="C5" s="1655"/>
      <c r="D5" s="2895" t="s">
        <v>1567</v>
      </c>
      <c r="E5" s="2612"/>
      <c r="F5" s="2606"/>
      <c r="G5" s="2939"/>
      <c r="H5" s="2939"/>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7" customFormat="1" ht="15.75" thickBot="1">
      <c r="A6" s="2613" t="s">
        <v>1568</v>
      </c>
      <c r="B6" s="2614">
        <f>项目基本情况!C13</f>
        <v>0</v>
      </c>
      <c r="C6" s="1655"/>
      <c r="D6" s="2895" t="s">
        <v>1569</v>
      </c>
      <c r="E6" s="2612"/>
      <c r="F6" s="2606"/>
      <c r="G6" s="2939"/>
      <c r="H6" s="2939"/>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41"/>
      <c r="D7" s="2942"/>
      <c r="E7" s="2942"/>
      <c r="F7" s="2939"/>
      <c r="G7" s="2939"/>
      <c r="H7" s="2939"/>
    </row>
    <row r="8" spans="1:41" s="1655" customFormat="1" ht="15" hidden="1">
      <c r="A8" s="2941"/>
      <c r="D8" s="2942"/>
      <c r="E8" s="2942"/>
      <c r="F8" s="2939"/>
      <c r="G8" s="2939"/>
      <c r="H8" s="2939"/>
    </row>
    <row r="9" spans="1:41" s="1655" customFormat="1" ht="15" hidden="1" thickBot="1">
      <c r="C9" s="3061"/>
      <c r="D9" s="2939"/>
      <c r="E9" s="2939"/>
      <c r="F9" s="2939"/>
      <c r="G9" s="2939"/>
      <c r="H9" s="2939"/>
    </row>
    <row r="10" spans="1:41" s="2607" customFormat="1" ht="15" thickBot="1">
      <c r="A10" s="2896" t="s">
        <v>1570</v>
      </c>
      <c r="B10" s="2616" t="s">
        <v>2980</v>
      </c>
      <c r="C10" s="1655"/>
      <c r="D10" s="2893" t="s">
        <v>1571</v>
      </c>
      <c r="E10" s="2897" t="s">
        <v>1572</v>
      </c>
      <c r="F10" s="3062" t="s">
        <v>2781</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20" customFormat="1" ht="14.25">
      <c r="A11" s="2898" t="s">
        <v>1573</v>
      </c>
      <c r="B11" s="2618">
        <v>50</v>
      </c>
      <c r="C11" s="1655"/>
      <c r="D11" s="2899" t="s">
        <v>1574</v>
      </c>
      <c r="E11" s="2619">
        <v>160</v>
      </c>
      <c r="F11" s="1282" t="s">
        <v>1575</v>
      </c>
      <c r="G11" s="1655"/>
      <c r="H11" s="1655"/>
      <c r="I11" s="1655"/>
      <c r="J11" s="1655"/>
      <c r="K11" s="1655"/>
      <c r="L11" s="2681"/>
      <c r="M11" s="2681"/>
      <c r="N11" s="2681"/>
      <c r="O11" s="2681"/>
      <c r="P11" s="2681"/>
      <c r="Q11" s="2681"/>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7" customFormat="1" ht="15">
      <c r="A12" s="2900" t="s">
        <v>1576</v>
      </c>
      <c r="B12" s="2621">
        <v>56491</v>
      </c>
      <c r="C12" s="1655"/>
      <c r="D12" s="2900" t="s">
        <v>1577</v>
      </c>
      <c r="E12" s="2622">
        <v>200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7" customFormat="1" ht="15" thickBot="1">
      <c r="A13" s="2901" t="s">
        <v>1578</v>
      </c>
      <c r="B13" s="2902">
        <f>IF(B12="",B11-(YEAR($B$2)-B27+B24),ROUNDDOWN(MIN((B12-$B$2)/365,B11),2))</f>
        <v>32.450000000000003</v>
      </c>
      <c r="C13" s="2937"/>
      <c r="D13" s="2903" t="s">
        <v>1579</v>
      </c>
      <c r="E13" s="2623">
        <f>成本法!C10</f>
        <v>48176</v>
      </c>
      <c r="F13" s="1280" t="s">
        <v>1580</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7" customFormat="1" ht="14.25">
      <c r="A14" s="2900" t="s">
        <v>1581</v>
      </c>
      <c r="B14" s="2904">
        <f>IF(ISERROR(ROUND(POWER(1+B15,B11-B13)*(POWER(1+B15,B13)-1)/(POWER(1+B15,B11)-1),3)),0,ROUND(POWER(1+B15,B11-B13)*(POWER(1+B15,B13)-1)/(POWER(1+B15,B11)-1),3))</f>
        <v>0.871</v>
      </c>
      <c r="C14" s="1655"/>
      <c r="D14" s="2905" t="s">
        <v>1582</v>
      </c>
      <c r="E14" s="2624">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7" customFormat="1" ht="14.25">
      <c r="A15" s="2900" t="s">
        <v>1583</v>
      </c>
      <c r="B15" s="2625">
        <v>0.05</v>
      </c>
      <c r="C15" s="2533" t="s">
        <v>2782</v>
      </c>
      <c r="D15" s="2900" t="s">
        <v>1584</v>
      </c>
      <c r="E15" s="2906">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7" customFormat="1" ht="15" thickBot="1">
      <c r="A16" s="2900" t="s">
        <v>1585</v>
      </c>
      <c r="B16" s="2625">
        <v>5.5E-2</v>
      </c>
      <c r="C16" s="2533" t="s">
        <v>2783</v>
      </c>
      <c r="D16" s="2907" t="s">
        <v>1586</v>
      </c>
      <c r="E16" s="2626">
        <v>0</v>
      </c>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7" customFormat="1" ht="15" thickBot="1">
      <c r="A17" s="2907" t="s">
        <v>2780</v>
      </c>
      <c r="B17" s="3060">
        <v>7.4999999999999997E-2</v>
      </c>
      <c r="C17" s="2533" t="s">
        <v>2784</v>
      </c>
      <c r="D17" s="2896" t="s">
        <v>1588</v>
      </c>
      <c r="E17" s="2627">
        <v>3600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7" customFormat="1" ht="15" thickBot="1">
      <c r="A18" s="2908" t="s">
        <v>1587</v>
      </c>
      <c r="B18" s="3068"/>
      <c r="C18" s="1655"/>
      <c r="D18" s="2909" t="str">
        <f>IF(B26=0,"建安总额","在建建安")</f>
        <v>建安总额</v>
      </c>
      <c r="E18" s="2910">
        <f>ROUND(B5*E17*IF(B26=0,1,E20),0)</f>
        <v>867168</v>
      </c>
      <c r="F18" s="2628">
        <f>ROUND(E5*E17*IF(B26=0,1,E20),0)</f>
        <v>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7" customFormat="1" ht="15" thickBot="1">
      <c r="A19" s="1281"/>
      <c r="B19" s="1281"/>
      <c r="C19" s="1655"/>
      <c r="D19" s="2909" t="str">
        <f>IF(B26=0,"——","续建建安")</f>
        <v>——</v>
      </c>
      <c r="E19" s="2910" t="str">
        <f>IF(B26=0,"——",ROUND(B5*E17*(1-E20),0))</f>
        <v>——</v>
      </c>
      <c r="F19" s="2628"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7" customFormat="1" ht="15" thickBot="1">
      <c r="A20" s="2911" t="s">
        <v>1589</v>
      </c>
      <c r="B20" s="1281"/>
      <c r="C20" s="1655"/>
      <c r="D20" s="2913" t="str">
        <f>IF(B26=0,"成新率","工程进度")</f>
        <v>成新率</v>
      </c>
      <c r="E20" s="2630">
        <v>0.9</v>
      </c>
      <c r="F20" s="947"/>
      <c r="G20" s="1655">
        <f>2022-B27</f>
        <v>6</v>
      </c>
      <c r="H20" s="1655">
        <f>54/60</f>
        <v>0.9</v>
      </c>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7" customFormat="1" ht="14.25">
      <c r="A21" s="2912" t="s">
        <v>1590</v>
      </c>
      <c r="B21" s="2629">
        <v>0</v>
      </c>
      <c r="C21" s="1655"/>
      <c r="D21" s="2900" t="s">
        <v>1592</v>
      </c>
      <c r="E21" s="2632">
        <v>0.03</v>
      </c>
      <c r="F21" s="2643" t="s">
        <v>2790</v>
      </c>
      <c r="G21" s="1655"/>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7" customFormat="1" ht="14.25">
      <c r="A22" s="2914" t="s">
        <v>1591</v>
      </c>
      <c r="B22" s="2631">
        <v>2</v>
      </c>
      <c r="C22" s="1655"/>
      <c r="D22" s="2900" t="s">
        <v>1594</v>
      </c>
      <c r="E22" s="2635">
        <v>0</v>
      </c>
      <c r="F22" s="2643" t="s">
        <v>2788</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7" customFormat="1" ht="14.25">
      <c r="A23" s="2915" t="s">
        <v>1593</v>
      </c>
      <c r="B23" s="2634">
        <v>2</v>
      </c>
      <c r="C23" s="1655"/>
      <c r="D23" s="2900" t="s">
        <v>1596</v>
      </c>
      <c r="E23" s="2622">
        <v>200</v>
      </c>
      <c r="F23" s="2643"/>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7" customFormat="1" ht="15" thickBot="1">
      <c r="A24" s="2916" t="s">
        <v>1595</v>
      </c>
      <c r="B24" s="2917">
        <f>B21+B22</f>
        <v>2</v>
      </c>
      <c r="C24" s="1655"/>
      <c r="D24" s="2907" t="s">
        <v>1598</v>
      </c>
      <c r="E24" s="2636">
        <v>1.4999999999999999E-2</v>
      </c>
      <c r="F24" s="2643" t="s">
        <v>2791</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8" t="s">
        <v>1597</v>
      </c>
      <c r="B25" s="2919">
        <f>B21+B23</f>
        <v>2</v>
      </c>
      <c r="C25" s="1655"/>
      <c r="D25" s="2899" t="s">
        <v>1600</v>
      </c>
      <c r="E25" s="2632">
        <v>0.02</v>
      </c>
      <c r="F25" s="2643" t="s">
        <v>2789</v>
      </c>
      <c r="I25" s="2938"/>
    </row>
    <row r="26" spans="1:41" ht="15" thickBot="1">
      <c r="A26" s="2916" t="s">
        <v>1599</v>
      </c>
      <c r="B26" s="2920">
        <f>B22-B23</f>
        <v>0</v>
      </c>
      <c r="D26" s="2900" t="s">
        <v>1602</v>
      </c>
      <c r="E26" s="2635">
        <v>0.02</v>
      </c>
      <c r="F26" s="2643" t="s">
        <v>2789</v>
      </c>
      <c r="G26" s="2939"/>
      <c r="H26" s="2939"/>
      <c r="I26" s="1655"/>
      <c r="J26" s="1655"/>
      <c r="K26" s="1655"/>
      <c r="L26" s="1655"/>
      <c r="M26" s="1655"/>
      <c r="N26" s="1655"/>
    </row>
    <row r="27" spans="1:41" ht="15.75" thickBot="1">
      <c r="A27" s="2921" t="s">
        <v>1601</v>
      </c>
      <c r="B27" s="2637">
        <v>2016</v>
      </c>
      <c r="C27" s="1655"/>
      <c r="D27" s="3127" t="s">
        <v>2983</v>
      </c>
      <c r="E27" s="2922">
        <f ca="1">IF(D27="利息：取LPR",存贷款利率!G1,存贷款利率!G1+F27)</f>
        <v>4.2000000000000003E-2</v>
      </c>
      <c r="F27" s="3128">
        <v>5.0000000000000001E-3</v>
      </c>
      <c r="G27" s="2939"/>
      <c r="H27" s="2939"/>
      <c r="K27" s="1655"/>
      <c r="N27" s="1655"/>
    </row>
    <row r="28" spans="1:41" ht="15" thickBot="1">
      <c r="A28" s="947"/>
      <c r="B28" s="947"/>
      <c r="D28" s="2903" t="s">
        <v>1604</v>
      </c>
      <c r="E28" s="2639">
        <v>0.15</v>
      </c>
      <c r="G28" s="2939"/>
      <c r="H28" s="2939"/>
      <c r="K28" s="1655"/>
      <c r="N28" s="1655"/>
    </row>
    <row r="29" spans="1:41" ht="14.25">
      <c r="A29" s="2923" t="s">
        <v>1603</v>
      </c>
      <c r="B29" s="2638" t="s">
        <v>2981</v>
      </c>
      <c r="D29" s="2905" t="s">
        <v>1605</v>
      </c>
      <c r="E29" s="2924">
        <f>E30+E31</f>
        <v>5.6000000000000001E-2</v>
      </c>
      <c r="F29" s="1280"/>
      <c r="G29" s="2939"/>
      <c r="H29" s="2939"/>
      <c r="K29" s="1655"/>
      <c r="N29" s="1655"/>
    </row>
    <row r="30" spans="1:41" ht="14.25">
      <c r="A30" s="2900" t="str">
        <f>IF(B29="租赁期内按合同租金","合同租金","市场租金")</f>
        <v>市场租金</v>
      </c>
      <c r="B30" s="2640">
        <v>7</v>
      </c>
      <c r="D30" s="2907" t="s">
        <v>1607</v>
      </c>
      <c r="E30" s="2641">
        <v>0.05</v>
      </c>
      <c r="F30" s="2926">
        <f>IF(B2&lt;DATE(2016,5,1),0,E30)</f>
        <v>0.05</v>
      </c>
      <c r="G30" s="2939"/>
      <c r="H30" s="2939"/>
      <c r="K30" s="1655"/>
      <c r="N30" s="1655"/>
    </row>
    <row r="31" spans="1:41" ht="14.25">
      <c r="A31" s="2900" t="s">
        <v>1606</v>
      </c>
      <c r="B31" s="2925">
        <f ca="1">存贷款利率!I1</f>
        <v>1.4999999999999999E-2</v>
      </c>
      <c r="D31" s="2907" t="s">
        <v>1609</v>
      </c>
      <c r="E31" s="2927">
        <f>E30*(E32+E33+E34)+E35</f>
        <v>6.000000000000001E-3</v>
      </c>
      <c r="F31" s="1280"/>
      <c r="G31" s="2939"/>
      <c r="H31" s="2939"/>
      <c r="K31" s="1655"/>
      <c r="N31" s="1655"/>
    </row>
    <row r="32" spans="1:41" ht="14.25">
      <c r="A32" s="2900" t="s">
        <v>1608</v>
      </c>
      <c r="B32" s="2625">
        <v>0.03</v>
      </c>
      <c r="D32" s="2907" t="s">
        <v>1611</v>
      </c>
      <c r="E32" s="2642">
        <v>7.0000000000000007E-2</v>
      </c>
      <c r="F32" s="2643" t="s">
        <v>2675</v>
      </c>
      <c r="G32" s="2939"/>
      <c r="H32" s="2939"/>
      <c r="K32" s="1655"/>
      <c r="L32" s="1655"/>
      <c r="M32" s="1655"/>
      <c r="N32" s="1655"/>
    </row>
    <row r="33" spans="1:14" ht="14.25">
      <c r="A33" s="2900" t="s">
        <v>1610</v>
      </c>
      <c r="B33" s="2625">
        <v>0.1</v>
      </c>
      <c r="D33" s="2907" t="s">
        <v>1613</v>
      </c>
      <c r="E33" s="2641">
        <v>0.03</v>
      </c>
      <c r="F33" s="1279" t="s">
        <v>1614</v>
      </c>
      <c r="G33" s="2939"/>
      <c r="H33" s="2939"/>
      <c r="K33" s="1655"/>
      <c r="L33" s="1655"/>
      <c r="M33" s="1655"/>
      <c r="N33" s="1655"/>
    </row>
    <row r="34" spans="1:14" s="2645" customFormat="1" ht="14.25">
      <c r="A34" s="2900" t="s">
        <v>1612</v>
      </c>
      <c r="B34" s="2928">
        <f>收益法!J54</f>
        <v>32.450000000000003</v>
      </c>
      <c r="D34" s="2907" t="s">
        <v>1615</v>
      </c>
      <c r="E34" s="2641">
        <v>0.02</v>
      </c>
      <c r="F34" s="1279" t="s">
        <v>1616</v>
      </c>
      <c r="G34" s="2939"/>
      <c r="H34" s="2939"/>
      <c r="I34" s="1655"/>
      <c r="J34" s="1655"/>
      <c r="K34" s="1655"/>
      <c r="L34" s="1655"/>
      <c r="M34" s="1655"/>
      <c r="N34" s="1655"/>
    </row>
    <row r="35" spans="1:14" s="2645" customFormat="1" ht="15" thickBot="1">
      <c r="A35" s="2907" t="str">
        <f>IF(B29="租赁期内按合同租金","剩余租赁期","——")</f>
        <v>——</v>
      </c>
      <c r="B35" s="2644"/>
      <c r="D35" s="2903" t="s">
        <v>1618</v>
      </c>
      <c r="E35" s="2647"/>
      <c r="F35" s="1282" t="s">
        <v>1619</v>
      </c>
      <c r="G35" s="2939"/>
      <c r="H35" s="2939"/>
      <c r="I35" s="1655"/>
      <c r="J35" s="1655"/>
      <c r="K35" s="1655"/>
      <c r="L35" s="1655"/>
      <c r="M35" s="1655"/>
      <c r="N35" s="1655"/>
    </row>
    <row r="36" spans="1:14" s="2645" customFormat="1" ht="15">
      <c r="A36" s="2929" t="s">
        <v>1617</v>
      </c>
      <c r="B36" s="2930"/>
      <c r="D36" s="2931" t="s">
        <v>1620</v>
      </c>
      <c r="E36" s="2649">
        <v>0.03</v>
      </c>
      <c r="F36" s="1281" t="s">
        <v>1621</v>
      </c>
      <c r="G36" s="2939"/>
      <c r="H36" s="2939"/>
      <c r="I36" s="1655"/>
      <c r="J36" s="1655"/>
      <c r="K36" s="1655"/>
      <c r="L36" s="1655"/>
      <c r="M36" s="1655"/>
      <c r="N36" s="1655"/>
    </row>
    <row r="37" spans="1:14" s="2645" customFormat="1" ht="15" thickBot="1">
      <c r="A37" s="2905" t="str">
        <f>IF(B29="租赁期内按合同租金","租金","——")</f>
        <v>——</v>
      </c>
      <c r="B37" s="2648"/>
      <c r="D37" s="2907" t="s">
        <v>1622</v>
      </c>
      <c r="E37" s="2641">
        <v>5.0000000000000001E-4</v>
      </c>
      <c r="F37" s="1281" t="s">
        <v>1623</v>
      </c>
      <c r="G37" s="2939"/>
      <c r="H37" s="2939"/>
      <c r="I37" s="1655"/>
      <c r="J37" s="1655"/>
      <c r="K37" s="1655"/>
      <c r="L37" s="1655"/>
      <c r="M37" s="1655"/>
      <c r="N37" s="1655"/>
    </row>
    <row r="38" spans="1:14" s="2645" customFormat="1" ht="14.25">
      <c r="A38" s="2900" t="str">
        <f>IF(B29="租赁期内按合同租金","年租金增长率","——")</f>
        <v>——</v>
      </c>
      <c r="B38" s="2625"/>
      <c r="D38" s="2932" t="s">
        <v>1624</v>
      </c>
      <c r="E38" s="2933">
        <v>1.2E-2</v>
      </c>
      <c r="F38" s="1281"/>
      <c r="G38" s="2938"/>
      <c r="H38" s="2938"/>
      <c r="I38" s="2939"/>
      <c r="J38" s="1655"/>
      <c r="K38" s="1655"/>
      <c r="L38" s="1655"/>
      <c r="M38" s="1655"/>
      <c r="N38" s="1655"/>
    </row>
    <row r="39" spans="1:14" s="2645" customFormat="1" ht="15" thickBot="1">
      <c r="A39" s="2900" t="str">
        <f>IF(B29="租赁期内按合同租金","空置率","——")</f>
        <v>——</v>
      </c>
      <c r="B39" s="2625"/>
      <c r="D39" s="2903" t="s">
        <v>1625</v>
      </c>
      <c r="E39" s="2934">
        <v>0.12</v>
      </c>
      <c r="F39" s="1281"/>
      <c r="G39" s="2939"/>
      <c r="H39" s="2939"/>
      <c r="I39" s="1655"/>
      <c r="J39" s="1655"/>
      <c r="K39" s="1655"/>
      <c r="L39" s="1655"/>
      <c r="M39" s="1655"/>
      <c r="N39" s="1655"/>
    </row>
    <row r="40" spans="1:14" ht="14.25">
      <c r="A40" s="2900" t="str">
        <f>IF(B29="租赁期内按合同租金","成新率","——")</f>
        <v>——</v>
      </c>
      <c r="B40" s="2625"/>
      <c r="D40" s="2932" t="s">
        <v>1626</v>
      </c>
      <c r="E40" s="2936">
        <f>SUMIF(D42:D51,E41,E42:E51)</f>
        <v>3</v>
      </c>
      <c r="F40" s="1281"/>
      <c r="G40" s="2939"/>
      <c r="H40" s="2939"/>
      <c r="I40" s="1655"/>
      <c r="J40" s="1655"/>
      <c r="K40" s="1655"/>
      <c r="L40" s="1655"/>
      <c r="M40" s="1655"/>
      <c r="N40" s="1655"/>
    </row>
    <row r="41" spans="1:14" ht="15" thickBot="1">
      <c r="A41" s="2907" t="str">
        <f>IF(B29="租赁期内按合同租金","租赁期外收益期","——")</f>
        <v>——</v>
      </c>
      <c r="B41" s="2935" t="str">
        <f>IF(B29="租赁期内按合同租金",B34-B35,"——")</f>
        <v>——</v>
      </c>
      <c r="D41" s="2900" t="s">
        <v>1628</v>
      </c>
      <c r="E41" s="2651" t="s">
        <v>480</v>
      </c>
      <c r="F41" s="1281" t="s">
        <v>1629</v>
      </c>
      <c r="G41" s="1742" t="s">
        <v>1630</v>
      </c>
      <c r="H41" s="2939"/>
      <c r="I41" s="1655"/>
      <c r="J41" s="1655"/>
      <c r="K41" s="1655"/>
      <c r="L41" s="1655"/>
      <c r="M41" s="1655"/>
      <c r="N41" s="1655"/>
    </row>
    <row r="42" spans="1:14" ht="14.25">
      <c r="A42" s="2899" t="s">
        <v>1627</v>
      </c>
      <c r="B42" s="2650"/>
      <c r="D42" s="2653" t="s">
        <v>1632</v>
      </c>
      <c r="E42" s="2640"/>
      <c r="F42" s="1281">
        <v>30</v>
      </c>
      <c r="G42" s="2939"/>
      <c r="H42" s="2939"/>
      <c r="I42" s="1655"/>
      <c r="J42" s="1655"/>
      <c r="K42" s="1655"/>
      <c r="L42" s="1655"/>
      <c r="M42" s="1655"/>
      <c r="N42" s="1655"/>
    </row>
    <row r="43" spans="1:14" ht="14.25">
      <c r="A43" s="2900" t="s">
        <v>1631</v>
      </c>
      <c r="B43" s="2652">
        <v>365</v>
      </c>
      <c r="D43" s="2653" t="s">
        <v>1634</v>
      </c>
      <c r="E43" s="2640"/>
      <c r="F43" s="1281">
        <v>24</v>
      </c>
      <c r="G43" s="2939"/>
      <c r="H43" s="2939"/>
      <c r="I43" s="1655"/>
      <c r="J43" s="1655"/>
      <c r="K43" s="1655"/>
      <c r="L43" s="1655"/>
      <c r="M43" s="1655"/>
      <c r="N43" s="1655"/>
    </row>
    <row r="44" spans="1:14" ht="14.25">
      <c r="A44" s="2900" t="s">
        <v>1633</v>
      </c>
      <c r="B44" s="2640"/>
      <c r="D44" s="2653" t="s">
        <v>1636</v>
      </c>
      <c r="E44" s="2640"/>
      <c r="F44" s="1281">
        <v>18</v>
      </c>
      <c r="G44" s="2645"/>
      <c r="H44" s="2645"/>
      <c r="I44" s="2939"/>
      <c r="J44" s="1655"/>
      <c r="K44" s="1655"/>
      <c r="L44" s="1655"/>
      <c r="M44" s="1655"/>
      <c r="N44" s="1655"/>
    </row>
    <row r="45" spans="1:14" ht="14.25">
      <c r="A45" s="2900" t="s">
        <v>1635</v>
      </c>
      <c r="B45" s="2654">
        <v>1.4999999999999999E-2</v>
      </c>
      <c r="C45" s="2533" t="s">
        <v>2787</v>
      </c>
      <c r="D45" s="2653" t="s">
        <v>1638</v>
      </c>
      <c r="E45" s="2640"/>
      <c r="F45" s="1281">
        <v>12</v>
      </c>
      <c r="G45" s="2645"/>
      <c r="H45" s="2645"/>
      <c r="M45" s="1655"/>
      <c r="N45" s="1655"/>
    </row>
    <row r="46" spans="1:14" ht="14.25">
      <c r="A46" s="2900" t="s">
        <v>1637</v>
      </c>
      <c r="B46" s="2655">
        <v>1.5E-3</v>
      </c>
      <c r="C46" s="2533" t="s">
        <v>2785</v>
      </c>
      <c r="D46" s="2653" t="s">
        <v>1400</v>
      </c>
      <c r="E46" s="2640">
        <v>3</v>
      </c>
      <c r="F46" s="1281">
        <v>3</v>
      </c>
      <c r="G46" s="2645"/>
      <c r="H46" s="2645"/>
      <c r="M46" s="1655"/>
      <c r="N46" s="1655"/>
    </row>
    <row r="47" spans="1:14" ht="15" thickBot="1">
      <c r="A47" s="2903" t="s">
        <v>1639</v>
      </c>
      <c r="B47" s="2656">
        <v>0.02</v>
      </c>
      <c r="C47" s="2533" t="s">
        <v>2786</v>
      </c>
      <c r="D47" s="2653" t="s">
        <v>1640</v>
      </c>
      <c r="E47" s="2640"/>
      <c r="F47" s="1281">
        <v>1.5</v>
      </c>
      <c r="G47" s="2645"/>
      <c r="H47" s="2645"/>
      <c r="M47" s="1655"/>
      <c r="N47" s="1655"/>
    </row>
    <row r="48" spans="1:14" ht="14.25">
      <c r="A48" s="2645"/>
      <c r="B48" s="2645"/>
      <c r="D48" s="2653" t="s">
        <v>1641</v>
      </c>
      <c r="E48" s="2640"/>
      <c r="F48" s="1281"/>
      <c r="G48" s="2645"/>
      <c r="H48" s="2645"/>
      <c r="M48" s="1655"/>
      <c r="N48" s="1655"/>
    </row>
    <row r="49" spans="1:41" ht="14.25">
      <c r="A49" s="2645"/>
      <c r="B49" s="2645"/>
      <c r="D49" s="2653" t="s">
        <v>1642</v>
      </c>
      <c r="E49" s="2640"/>
      <c r="F49" s="1281"/>
      <c r="G49" s="2645"/>
      <c r="H49" s="2645"/>
      <c r="M49" s="1655"/>
      <c r="N49" s="1655"/>
    </row>
    <row r="50" spans="1:41" ht="14.25">
      <c r="A50" s="2645"/>
      <c r="B50" s="2645"/>
      <c r="D50" s="2653" t="s">
        <v>1643</v>
      </c>
      <c r="E50" s="2640"/>
      <c r="F50" s="1281"/>
      <c r="G50" s="2645"/>
      <c r="H50" s="2645"/>
      <c r="M50" s="1655"/>
      <c r="N50" s="1655"/>
    </row>
    <row r="51" spans="1:41" s="947" customFormat="1" ht="15" thickBot="1">
      <c r="A51" s="2645"/>
      <c r="B51" s="2645"/>
      <c r="C51" s="2645"/>
      <c r="D51" s="2657" t="s">
        <v>1644</v>
      </c>
      <c r="E51" s="2658"/>
      <c r="F51" s="1281"/>
      <c r="G51" s="2645"/>
      <c r="H51" s="2645"/>
      <c r="I51" s="2645"/>
      <c r="J51" s="2645"/>
      <c r="K51" s="2645"/>
      <c r="L51" s="2645"/>
      <c r="M51" s="1655"/>
      <c r="N51" s="1655"/>
      <c r="O51" s="2645"/>
      <c r="P51" s="2645"/>
      <c r="Q51" s="2645"/>
      <c r="R51" s="2645"/>
      <c r="S51" s="2645"/>
      <c r="T51" s="2645"/>
      <c r="U51" s="2645"/>
      <c r="V51" s="2645"/>
      <c r="W51" s="2645"/>
      <c r="X51" s="2645"/>
      <c r="Y51" s="2645"/>
      <c r="Z51" s="2645"/>
      <c r="AA51" s="2645"/>
      <c r="AB51" s="2645"/>
      <c r="AC51" s="2645"/>
      <c r="AD51" s="2645"/>
      <c r="AE51" s="2645"/>
      <c r="AF51" s="2645"/>
      <c r="AG51" s="2645"/>
      <c r="AH51" s="2645"/>
      <c r="AI51" s="2645"/>
      <c r="AJ51" s="2645"/>
      <c r="AK51" s="2645"/>
      <c r="AL51" s="2645"/>
      <c r="AM51" s="2645"/>
      <c r="AN51" s="2645"/>
      <c r="AO51" s="2645"/>
    </row>
    <row r="52" spans="1:41" s="2645" customFormat="1" ht="14.25">
      <c r="D52" s="2939"/>
      <c r="E52" s="2939"/>
      <c r="F52" s="2939"/>
      <c r="G52" s="2939"/>
      <c r="H52" s="2939"/>
      <c r="I52" s="1655"/>
      <c r="J52" s="1655"/>
      <c r="K52" s="1655"/>
      <c r="L52" s="1655"/>
      <c r="M52" s="1655"/>
      <c r="N52" s="1655"/>
    </row>
    <row r="53" spans="1:41" s="2645" customFormat="1" ht="14.25">
      <c r="D53" s="2939"/>
      <c r="E53" s="2939"/>
      <c r="F53" s="2939"/>
      <c r="G53" s="2939"/>
      <c r="H53" s="2939"/>
      <c r="I53" s="1655"/>
      <c r="J53" s="1655"/>
      <c r="K53" s="1655"/>
      <c r="L53" s="1655"/>
      <c r="M53" s="1655"/>
      <c r="N53" s="1655"/>
    </row>
    <row r="54" spans="1:41" s="2645" customFormat="1" ht="14.25">
      <c r="D54" s="2939"/>
      <c r="E54" s="2939"/>
      <c r="F54" s="2939"/>
      <c r="G54" s="2939"/>
      <c r="H54" s="2939"/>
      <c r="I54" s="1655"/>
      <c r="J54" s="1655"/>
      <c r="K54" s="1655"/>
      <c r="L54" s="1655"/>
      <c r="M54" s="1655"/>
      <c r="N54" s="1655"/>
    </row>
    <row r="55" spans="1:41" s="2645" customFormat="1" ht="14.25">
      <c r="D55" s="2939"/>
      <c r="E55" s="2939"/>
      <c r="F55" s="2939"/>
      <c r="G55" s="2939"/>
      <c r="H55" s="2939"/>
      <c r="I55" s="1655"/>
      <c r="J55" s="1655"/>
      <c r="K55" s="1655"/>
      <c r="L55" s="1655"/>
      <c r="M55" s="1655"/>
      <c r="N55" s="1655"/>
    </row>
    <row r="56" spans="1:41" s="2645" customFormat="1" ht="14.25">
      <c r="D56" s="2939"/>
      <c r="E56" s="2939"/>
      <c r="F56" s="2939"/>
      <c r="G56" s="2939"/>
      <c r="H56" s="2939"/>
      <c r="I56" s="1655"/>
      <c r="J56" s="1655"/>
      <c r="K56" s="1655"/>
      <c r="L56" s="1655"/>
      <c r="M56" s="1655"/>
      <c r="N56" s="1655"/>
    </row>
    <row r="57" spans="1:41" s="2645" customFormat="1" ht="14.25">
      <c r="D57" s="2939"/>
      <c r="E57" s="2939"/>
      <c r="F57" s="2939"/>
      <c r="G57" s="2939"/>
      <c r="H57" s="2939"/>
      <c r="I57" s="1655"/>
      <c r="J57" s="1655"/>
      <c r="K57" s="1655"/>
      <c r="L57" s="1655"/>
      <c r="M57" s="1655"/>
      <c r="N57" s="1655"/>
    </row>
    <row r="58" spans="1:41" s="2645" customFormat="1" ht="14.25">
      <c r="D58" s="2939"/>
      <c r="E58" s="2939"/>
      <c r="F58" s="2939"/>
      <c r="G58" s="2939"/>
      <c r="H58" s="2939"/>
      <c r="I58" s="1655"/>
      <c r="J58" s="1655"/>
      <c r="K58" s="1655"/>
      <c r="L58" s="1655"/>
      <c r="M58" s="1655"/>
      <c r="N58" s="1655"/>
    </row>
    <row r="59" spans="1:41" s="2645" customFormat="1" ht="14.25">
      <c r="D59" s="2939"/>
      <c r="E59" s="2939"/>
      <c r="F59" s="2939"/>
      <c r="G59" s="2939"/>
      <c r="H59" s="2939"/>
      <c r="I59" s="1655"/>
      <c r="J59" s="1655"/>
      <c r="K59" s="1655"/>
      <c r="L59" s="1655"/>
      <c r="M59" s="2940"/>
      <c r="N59" s="1655"/>
    </row>
    <row r="60" spans="1:41" s="2645" customFormat="1" ht="14.25">
      <c r="D60" s="2939"/>
      <c r="E60" s="2939"/>
      <c r="F60" s="2939"/>
      <c r="G60" s="2939"/>
      <c r="H60" s="2939"/>
      <c r="I60" s="1655"/>
      <c r="J60" s="1655"/>
      <c r="K60" s="1655"/>
      <c r="L60" s="1655"/>
      <c r="M60" s="1655"/>
      <c r="N60" s="1655"/>
    </row>
    <row r="61" spans="1:41" s="2645" customFormat="1" ht="14.25">
      <c r="D61" s="2939"/>
      <c r="E61" s="2939"/>
      <c r="F61" s="2939"/>
      <c r="G61" s="2939"/>
      <c r="H61" s="2939"/>
      <c r="I61" s="1655"/>
      <c r="J61" s="1655"/>
      <c r="K61" s="1655"/>
      <c r="L61" s="1655"/>
      <c r="M61" s="1655"/>
      <c r="N61" s="1655"/>
    </row>
    <row r="62" spans="1:41" s="2645" customFormat="1" ht="14.25">
      <c r="D62" s="2939"/>
      <c r="E62" s="2939"/>
      <c r="F62" s="2939"/>
      <c r="G62" s="2939"/>
      <c r="H62" s="2939"/>
      <c r="I62" s="1655"/>
      <c r="J62" s="1655"/>
      <c r="K62" s="1655"/>
      <c r="L62" s="1655"/>
      <c r="M62" s="1655"/>
      <c r="N62" s="1655"/>
    </row>
    <row r="63" spans="1:41" s="2645" customFormat="1" ht="14.25">
      <c r="D63" s="2939"/>
      <c r="E63" s="2939"/>
      <c r="F63" s="2939"/>
      <c r="G63" s="2939"/>
      <c r="H63" s="2939"/>
      <c r="I63" s="1655"/>
      <c r="J63" s="1655"/>
      <c r="K63" s="1655"/>
      <c r="L63" s="1655"/>
      <c r="M63" s="1655"/>
      <c r="N63" s="1655"/>
    </row>
    <row r="64" spans="1:41" s="2645" customFormat="1" ht="14.25">
      <c r="D64" s="2939"/>
      <c r="E64" s="2939"/>
      <c r="F64" s="2939"/>
      <c r="G64" s="2939"/>
      <c r="H64" s="2939"/>
      <c r="I64" s="1655"/>
      <c r="J64" s="1655"/>
      <c r="K64" s="1655"/>
      <c r="L64" s="1655"/>
      <c r="M64" s="1655"/>
      <c r="N64" s="1655"/>
    </row>
    <row r="65" spans="1:14" s="2645" customFormat="1" ht="14.25">
      <c r="D65" s="2939"/>
      <c r="E65" s="2939"/>
      <c r="F65" s="2939"/>
      <c r="G65" s="2939"/>
      <c r="H65" s="2939"/>
      <c r="I65" s="1655"/>
      <c r="J65" s="1655"/>
      <c r="K65" s="1655"/>
      <c r="L65" s="1655"/>
      <c r="M65" s="1655"/>
      <c r="N65" s="1655"/>
    </row>
    <row r="66" spans="1:14" s="2645" customFormat="1" ht="14.25">
      <c r="D66" s="2939"/>
      <c r="E66" s="2939"/>
      <c r="F66" s="2939"/>
      <c r="G66" s="2939"/>
      <c r="H66" s="2939"/>
      <c r="I66" s="1655"/>
      <c r="J66" s="1655"/>
      <c r="K66" s="1655"/>
      <c r="L66" s="1655"/>
      <c r="M66" s="1655"/>
      <c r="N66" s="1655"/>
    </row>
    <row r="67" spans="1:14" s="2645" customFormat="1" ht="14.25">
      <c r="A67" s="2943"/>
      <c r="D67" s="2939"/>
      <c r="E67" s="2939"/>
      <c r="F67" s="2939"/>
      <c r="G67" s="2939"/>
      <c r="H67" s="2939"/>
      <c r="I67" s="1655"/>
      <c r="J67" s="1655"/>
      <c r="K67" s="1655"/>
      <c r="L67" s="1655"/>
      <c r="M67" s="1655"/>
      <c r="N67" s="1655"/>
    </row>
    <row r="68" spans="1:14" s="2645" customFormat="1" ht="14.25">
      <c r="A68" s="2943"/>
      <c r="D68" s="2939"/>
      <c r="E68" s="2939"/>
      <c r="F68" s="2939"/>
      <c r="G68" s="2938"/>
      <c r="H68" s="2938"/>
    </row>
    <row r="69" spans="1:14" s="2645" customFormat="1">
      <c r="A69" s="2943"/>
      <c r="D69" s="2938"/>
      <c r="E69" s="2938"/>
      <c r="F69" s="2938"/>
      <c r="G69" s="2938"/>
      <c r="H69" s="2938"/>
    </row>
    <row r="70" spans="1:14" s="2645" customFormat="1">
      <c r="A70" s="2943"/>
      <c r="D70" s="2938"/>
      <c r="E70" s="2938"/>
      <c r="F70" s="2938"/>
      <c r="G70" s="2938"/>
      <c r="H70" s="2938"/>
    </row>
    <row r="71" spans="1:14" s="2645" customFormat="1">
      <c r="A71" s="2943"/>
      <c r="D71" s="2938"/>
      <c r="E71" s="2938"/>
      <c r="F71" s="2938"/>
      <c r="G71" s="2938"/>
      <c r="H71" s="2938"/>
    </row>
    <row r="72" spans="1:14" s="2645" customFormat="1">
      <c r="A72" s="2943"/>
      <c r="D72" s="2938"/>
      <c r="E72" s="2938"/>
      <c r="F72" s="2938"/>
      <c r="G72" s="2938"/>
      <c r="H72" s="2938"/>
    </row>
    <row r="73" spans="1:14" s="2645" customFormat="1">
      <c r="A73" s="2943"/>
      <c r="D73" s="2938"/>
      <c r="E73" s="2938"/>
      <c r="F73" s="2938"/>
      <c r="G73" s="2938"/>
      <c r="H73" s="2938"/>
    </row>
    <row r="74" spans="1:14" s="2645" customFormat="1">
      <c r="A74" s="2943"/>
      <c r="D74" s="2938"/>
      <c r="E74" s="2938"/>
      <c r="F74" s="2938"/>
      <c r="G74" s="2938"/>
      <c r="H74" s="2938"/>
    </row>
    <row r="75" spans="1:14" s="2645" customFormat="1">
      <c r="A75" s="2943"/>
      <c r="D75" s="2938"/>
      <c r="E75" s="2938"/>
      <c r="F75" s="2938"/>
      <c r="G75" s="2938"/>
      <c r="H75" s="2938"/>
    </row>
    <row r="76" spans="1:14" s="2645" customFormat="1">
      <c r="A76" s="2943"/>
      <c r="D76" s="2938"/>
      <c r="E76" s="2938"/>
      <c r="F76" s="2938"/>
      <c r="G76" s="2938"/>
      <c r="H76" s="2938"/>
    </row>
    <row r="77" spans="1:14" s="2645" customFormat="1">
      <c r="A77" s="2943"/>
      <c r="D77" s="2938"/>
      <c r="E77" s="2938"/>
      <c r="F77" s="2938"/>
      <c r="G77" s="2938"/>
      <c r="H77" s="2938"/>
    </row>
    <row r="78" spans="1:14" s="2645" customFormat="1">
      <c r="A78" s="2943"/>
      <c r="D78" s="2938"/>
      <c r="E78" s="2938"/>
      <c r="F78" s="2938"/>
      <c r="G78" s="2938"/>
      <c r="H78" s="2938"/>
    </row>
    <row r="79" spans="1:14" s="2645" customFormat="1">
      <c r="A79" s="2943"/>
      <c r="D79" s="2938"/>
      <c r="E79" s="2938"/>
      <c r="F79" s="2938"/>
      <c r="G79" s="2938"/>
      <c r="H79" s="2938"/>
    </row>
    <row r="80" spans="1:14" s="2645" customFormat="1">
      <c r="A80" s="2943"/>
      <c r="D80" s="2938"/>
      <c r="E80" s="2938"/>
      <c r="F80" s="2938"/>
      <c r="G80" s="2938"/>
      <c r="H80" s="2938"/>
    </row>
    <row r="81" spans="1:8" s="2645" customFormat="1">
      <c r="A81" s="2943"/>
      <c r="D81" s="2938"/>
      <c r="E81" s="2938"/>
      <c r="F81" s="2938"/>
      <c r="G81" s="2938"/>
      <c r="H81" s="2938"/>
    </row>
    <row r="82" spans="1:8" s="2645" customFormat="1">
      <c r="A82" s="2943"/>
      <c r="D82" s="2938"/>
      <c r="E82" s="2938"/>
      <c r="F82" s="2938"/>
      <c r="G82" s="2938"/>
      <c r="H82" s="2938"/>
    </row>
    <row r="83" spans="1:8" s="2645" customFormat="1">
      <c r="A83" s="2943"/>
      <c r="D83" s="2938"/>
      <c r="E83" s="2938"/>
      <c r="F83" s="2938"/>
      <c r="G83" s="2938"/>
      <c r="H83" s="2938"/>
    </row>
    <row r="84" spans="1:8" s="2645" customFormat="1">
      <c r="A84" s="2943"/>
      <c r="D84" s="2938"/>
      <c r="E84" s="2938"/>
      <c r="F84" s="2938"/>
      <c r="G84" s="2938"/>
      <c r="H84" s="2938"/>
    </row>
    <row r="85" spans="1:8" s="2645" customFormat="1">
      <c r="A85" s="2943"/>
      <c r="D85" s="2938"/>
      <c r="E85" s="2938"/>
      <c r="F85" s="2938"/>
      <c r="G85" s="2938"/>
      <c r="H85" s="2938"/>
    </row>
    <row r="86" spans="1:8" s="2645" customFormat="1">
      <c r="A86" s="2943"/>
      <c r="D86" s="2938"/>
      <c r="E86" s="2938"/>
      <c r="F86" s="2938"/>
      <c r="G86" s="2938"/>
      <c r="H86" s="2938"/>
    </row>
    <row r="87" spans="1:8" s="2645" customFormat="1">
      <c r="A87" s="2943"/>
      <c r="D87" s="2938"/>
      <c r="E87" s="2938"/>
      <c r="F87" s="2938"/>
      <c r="G87" s="2938"/>
      <c r="H87" s="2938"/>
    </row>
    <row r="88" spans="1:8" s="2645" customFormat="1">
      <c r="A88" s="2943"/>
      <c r="D88" s="2938"/>
      <c r="E88" s="2938"/>
      <c r="F88" s="2938"/>
      <c r="G88" s="2938"/>
      <c r="H88" s="2938"/>
    </row>
    <row r="89" spans="1:8" s="2645" customFormat="1">
      <c r="A89" s="2943"/>
      <c r="D89" s="2938"/>
      <c r="E89" s="2938"/>
      <c r="F89" s="2938"/>
      <c r="G89" s="2938"/>
      <c r="H89" s="2938"/>
    </row>
    <row r="90" spans="1:8" s="2645" customFormat="1">
      <c r="A90" s="2943"/>
      <c r="D90" s="2938"/>
      <c r="E90" s="2938"/>
      <c r="F90" s="2938"/>
      <c r="G90" s="2938"/>
      <c r="H90" s="2938"/>
    </row>
    <row r="91" spans="1:8" s="2645" customFormat="1">
      <c r="A91" s="2943"/>
      <c r="D91" s="2938"/>
      <c r="E91" s="2938"/>
      <c r="F91" s="2938"/>
      <c r="G91" s="2938"/>
      <c r="H91" s="2938"/>
    </row>
    <row r="92" spans="1:8" s="2645" customFormat="1">
      <c r="A92" s="2943"/>
      <c r="D92" s="2938"/>
      <c r="E92" s="2938"/>
      <c r="F92" s="2938"/>
      <c r="G92" s="2938"/>
      <c r="H92" s="2938"/>
    </row>
    <row r="93" spans="1:8" s="2645" customFormat="1">
      <c r="A93" s="2943"/>
      <c r="D93" s="2938"/>
      <c r="E93" s="2938"/>
      <c r="F93" s="2938"/>
      <c r="G93" s="2938"/>
      <c r="H93" s="2938"/>
    </row>
    <row r="94" spans="1:8" s="2645" customFormat="1">
      <c r="A94" s="2943"/>
      <c r="D94" s="2938"/>
      <c r="E94" s="2938"/>
      <c r="F94" s="2938"/>
      <c r="G94" s="2938"/>
      <c r="H94" s="2938"/>
    </row>
    <row r="95" spans="1:8" s="2645" customFormat="1">
      <c r="A95" s="2943"/>
      <c r="D95" s="2938"/>
      <c r="E95" s="2938"/>
      <c r="F95" s="2938"/>
      <c r="G95" s="2938"/>
      <c r="H95" s="2938"/>
    </row>
    <row r="96" spans="1:8" s="2645" customFormat="1">
      <c r="A96" s="2943"/>
      <c r="D96" s="2938"/>
      <c r="E96" s="2938"/>
      <c r="F96" s="2938"/>
      <c r="G96" s="2938"/>
      <c r="H96" s="2938"/>
    </row>
    <row r="97" spans="1:8" s="2645" customFormat="1">
      <c r="A97" s="2943"/>
      <c r="D97" s="2938"/>
      <c r="E97" s="2938"/>
      <c r="F97" s="2938"/>
      <c r="G97" s="2938"/>
      <c r="H97" s="2938"/>
    </row>
    <row r="98" spans="1:8" s="2645" customFormat="1">
      <c r="A98" s="2943"/>
      <c r="D98" s="2938"/>
      <c r="E98" s="2938"/>
      <c r="F98" s="2938"/>
      <c r="G98" s="2938"/>
      <c r="H98" s="2938"/>
    </row>
    <row r="99" spans="1:8" s="2645" customFormat="1">
      <c r="A99" s="2943"/>
      <c r="D99" s="2938"/>
      <c r="E99" s="2938"/>
      <c r="F99" s="2938"/>
      <c r="G99" s="2938"/>
      <c r="H99" s="2938"/>
    </row>
    <row r="100" spans="1:8" s="2645" customFormat="1">
      <c r="A100" s="2943"/>
      <c r="D100" s="2938"/>
      <c r="E100" s="2938"/>
      <c r="F100" s="2938"/>
      <c r="G100" s="2938"/>
      <c r="H100" s="2938"/>
    </row>
    <row r="101" spans="1:8" s="2645" customFormat="1">
      <c r="A101" s="2943"/>
      <c r="D101" s="2938"/>
      <c r="E101" s="2938"/>
      <c r="F101" s="2938"/>
      <c r="G101" s="2938"/>
      <c r="H101" s="2938"/>
    </row>
    <row r="102" spans="1:8" s="2645" customFormat="1">
      <c r="A102" s="2943"/>
      <c r="D102" s="2938"/>
      <c r="E102" s="2938"/>
      <c r="F102" s="2938"/>
      <c r="G102" s="2938"/>
      <c r="H102" s="2938"/>
    </row>
    <row r="103" spans="1:8" s="2645" customFormat="1">
      <c r="A103" s="2943"/>
      <c r="D103" s="2938"/>
      <c r="E103" s="2938"/>
      <c r="F103" s="2938"/>
      <c r="G103" s="2938"/>
      <c r="H103" s="2938"/>
    </row>
    <row r="104" spans="1:8" s="2645" customFormat="1">
      <c r="A104" s="2943"/>
      <c r="D104" s="2938"/>
      <c r="E104" s="2938"/>
      <c r="F104" s="2938"/>
      <c r="G104" s="2938"/>
      <c r="H104" s="2938"/>
    </row>
    <row r="105" spans="1:8" s="2645" customFormat="1">
      <c r="A105" s="2943"/>
      <c r="D105" s="2938"/>
      <c r="E105" s="2938"/>
      <c r="F105" s="2938"/>
      <c r="G105" s="2938"/>
      <c r="H105" s="2938"/>
    </row>
    <row r="106" spans="1:8" s="2645" customFormat="1">
      <c r="A106" s="2943"/>
      <c r="D106" s="2938"/>
      <c r="E106" s="2938"/>
      <c r="F106" s="2938"/>
      <c r="G106" s="2938"/>
      <c r="H106" s="2938"/>
    </row>
    <row r="107" spans="1:8" s="2645" customFormat="1">
      <c r="A107" s="2943"/>
      <c r="D107" s="2938"/>
      <c r="E107" s="2938"/>
      <c r="F107" s="2938"/>
      <c r="G107" s="2938"/>
      <c r="H107" s="2938"/>
    </row>
    <row r="108" spans="1:8" s="2645" customFormat="1">
      <c r="A108" s="2943"/>
      <c r="D108" s="2938"/>
      <c r="E108" s="2938"/>
      <c r="F108" s="2938"/>
      <c r="G108" s="2938"/>
      <c r="H108" s="2938"/>
    </row>
    <row r="109" spans="1:8" s="2645" customFormat="1">
      <c r="A109" s="2943"/>
      <c r="D109" s="2938"/>
      <c r="E109" s="2938"/>
      <c r="F109" s="2938"/>
      <c r="G109" s="2938"/>
      <c r="H109" s="2938"/>
    </row>
    <row r="110" spans="1:8" s="2645" customFormat="1">
      <c r="A110" s="2943"/>
      <c r="D110" s="2938"/>
      <c r="E110" s="2938"/>
      <c r="F110" s="2938"/>
      <c r="G110" s="2938"/>
      <c r="H110" s="2938"/>
    </row>
    <row r="111" spans="1:8" s="2645" customFormat="1">
      <c r="A111" s="2943"/>
      <c r="D111" s="2938"/>
      <c r="E111" s="2938"/>
      <c r="F111" s="2938"/>
      <c r="G111" s="2938"/>
      <c r="H111" s="2938"/>
    </row>
    <row r="112" spans="1:8" s="2645" customFormat="1">
      <c r="A112" s="2943"/>
      <c r="D112" s="2938"/>
      <c r="E112" s="2938"/>
      <c r="F112" s="2938"/>
      <c r="G112" s="2938"/>
      <c r="H112" s="2938"/>
    </row>
    <row r="113" spans="1:8" s="2645" customFormat="1">
      <c r="A113" s="2943"/>
      <c r="D113" s="2938"/>
      <c r="E113" s="2938"/>
      <c r="F113" s="2938"/>
      <c r="G113" s="2938"/>
      <c r="H113" s="2938"/>
    </row>
    <row r="114" spans="1:8" s="2645" customFormat="1">
      <c r="A114" s="2943"/>
      <c r="D114" s="2938"/>
      <c r="E114" s="2938"/>
      <c r="F114" s="2938"/>
      <c r="G114" s="2938"/>
      <c r="H114" s="2938"/>
    </row>
    <row r="115" spans="1:8" s="2645" customFormat="1">
      <c r="A115" s="2943"/>
      <c r="D115" s="2938"/>
      <c r="E115" s="2938"/>
      <c r="F115" s="2938"/>
      <c r="G115" s="2938"/>
      <c r="H115" s="2938"/>
    </row>
    <row r="116" spans="1:8" s="2645" customFormat="1">
      <c r="A116" s="2943"/>
      <c r="D116" s="2938"/>
      <c r="E116" s="2938"/>
      <c r="F116" s="2938"/>
      <c r="G116" s="2938"/>
      <c r="H116" s="2938"/>
    </row>
    <row r="117" spans="1:8" s="2645" customFormat="1">
      <c r="A117" s="2943"/>
      <c r="D117" s="2938"/>
      <c r="E117" s="2938"/>
      <c r="F117" s="2938"/>
      <c r="G117" s="2938"/>
      <c r="H117" s="2938"/>
    </row>
    <row r="118" spans="1:8" s="2645" customFormat="1">
      <c r="A118" s="2943"/>
      <c r="D118" s="2938"/>
      <c r="E118" s="2938"/>
      <c r="F118" s="2938"/>
      <c r="G118" s="2938"/>
      <c r="H118" s="2938"/>
    </row>
    <row r="119" spans="1:8" s="2645" customFormat="1">
      <c r="A119" s="2943"/>
      <c r="D119" s="2938"/>
      <c r="E119" s="2938"/>
      <c r="F119" s="2938"/>
      <c r="G119" s="2938"/>
      <c r="H119" s="2938"/>
    </row>
    <row r="120" spans="1:8" s="2645" customFormat="1">
      <c r="A120" s="2943"/>
      <c r="D120" s="2938"/>
      <c r="E120" s="2938"/>
      <c r="F120" s="2938"/>
      <c r="G120" s="2938"/>
      <c r="H120" s="2938"/>
    </row>
    <row r="121" spans="1:8" s="2645" customFormat="1">
      <c r="A121" s="2943"/>
      <c r="D121" s="2938"/>
      <c r="E121" s="2938"/>
      <c r="F121" s="2938"/>
      <c r="G121" s="2938"/>
      <c r="H121" s="2938"/>
    </row>
    <row r="122" spans="1:8" s="2645" customFormat="1">
      <c r="A122" s="2943"/>
      <c r="D122" s="2938"/>
      <c r="E122" s="2938"/>
      <c r="F122" s="2938"/>
      <c r="G122" s="2938"/>
      <c r="H122" s="2938"/>
    </row>
    <row r="123" spans="1:8" s="2645" customFormat="1">
      <c r="A123" s="2943"/>
      <c r="D123" s="2938"/>
      <c r="E123" s="2938"/>
      <c r="F123" s="2938"/>
      <c r="G123" s="2938"/>
      <c r="H123" s="2938"/>
    </row>
    <row r="124" spans="1:8" s="2645" customFormat="1">
      <c r="A124" s="2943"/>
      <c r="D124" s="2938"/>
      <c r="E124" s="2938"/>
      <c r="F124" s="2938"/>
      <c r="G124" s="2938"/>
      <c r="H124" s="2938"/>
    </row>
    <row r="125" spans="1:8" s="2645" customFormat="1">
      <c r="A125" s="2943"/>
      <c r="D125" s="2938"/>
      <c r="E125" s="2938"/>
      <c r="F125" s="2938"/>
      <c r="G125" s="2938"/>
      <c r="H125" s="2938"/>
    </row>
    <row r="126" spans="1:8" s="2645" customFormat="1">
      <c r="A126" s="2943"/>
      <c r="D126" s="2938"/>
      <c r="E126" s="2938"/>
      <c r="F126" s="2938"/>
      <c r="G126" s="2938"/>
      <c r="H126" s="2938"/>
    </row>
    <row r="127" spans="1:8" s="2645" customFormat="1">
      <c r="A127" s="2943"/>
      <c r="D127" s="2938"/>
      <c r="E127" s="2938"/>
      <c r="F127" s="2938"/>
      <c r="G127" s="2938"/>
      <c r="H127" s="2938"/>
    </row>
    <row r="128" spans="1:8" s="2645" customFormat="1">
      <c r="A128" s="2943"/>
      <c r="D128" s="2938"/>
      <c r="E128" s="2938"/>
      <c r="F128" s="2938"/>
      <c r="G128" s="2938"/>
      <c r="H128" s="2938"/>
    </row>
    <row r="129" spans="1:8" s="2645" customFormat="1">
      <c r="A129" s="2943"/>
      <c r="D129" s="2938"/>
      <c r="E129" s="2938"/>
      <c r="F129" s="2938"/>
      <c r="G129" s="2938"/>
      <c r="H129" s="2938"/>
    </row>
    <row r="130" spans="1:8" s="2645" customFormat="1">
      <c r="A130" s="2943"/>
      <c r="D130" s="2938"/>
      <c r="E130" s="2938"/>
      <c r="F130" s="2938"/>
      <c r="G130" s="2938"/>
      <c r="H130" s="2938"/>
    </row>
    <row r="131" spans="1:8" s="2645" customFormat="1">
      <c r="A131" s="2943"/>
      <c r="D131" s="2938"/>
      <c r="E131" s="2938"/>
      <c r="F131" s="2938"/>
      <c r="G131" s="2938"/>
      <c r="H131" s="2938"/>
    </row>
    <row r="132" spans="1:8" s="2645" customFormat="1">
      <c r="A132" s="2943"/>
      <c r="D132" s="2938"/>
      <c r="E132" s="2938"/>
      <c r="F132" s="2938"/>
      <c r="G132" s="2938"/>
      <c r="H132" s="2938"/>
    </row>
    <row r="133" spans="1:8" s="2645" customFormat="1">
      <c r="A133" s="2943"/>
      <c r="D133" s="2938"/>
      <c r="E133" s="2938"/>
      <c r="F133" s="2938"/>
      <c r="G133" s="2938"/>
      <c r="H133" s="2938"/>
    </row>
    <row r="134" spans="1:8" s="2645" customFormat="1">
      <c r="A134" s="2943"/>
      <c r="D134" s="2938"/>
      <c r="E134" s="2938"/>
      <c r="F134" s="2938"/>
      <c r="G134" s="2938"/>
      <c r="H134" s="2938"/>
    </row>
    <row r="135" spans="1:8" s="2645" customFormat="1">
      <c r="A135" s="2943"/>
      <c r="D135" s="2938"/>
      <c r="E135" s="2938"/>
      <c r="F135" s="2938"/>
      <c r="G135" s="2938"/>
      <c r="H135" s="2938"/>
    </row>
    <row r="136" spans="1:8" s="2645" customFormat="1">
      <c r="A136" s="2943"/>
      <c r="D136" s="2938"/>
      <c r="E136" s="2938"/>
      <c r="F136" s="2938"/>
      <c r="G136" s="2938"/>
      <c r="H136" s="2938"/>
    </row>
    <row r="137" spans="1:8" s="2645" customFormat="1">
      <c r="A137" s="2943"/>
      <c r="D137" s="2938"/>
      <c r="E137" s="2938"/>
      <c r="F137" s="2938"/>
      <c r="G137" s="2938"/>
      <c r="H137" s="2938"/>
    </row>
    <row r="138" spans="1:8" s="2645" customFormat="1">
      <c r="A138" s="2943"/>
      <c r="D138" s="2938"/>
      <c r="E138" s="2938"/>
      <c r="F138" s="2938"/>
      <c r="G138" s="2938"/>
      <c r="H138" s="2938"/>
    </row>
    <row r="139" spans="1:8" s="2645" customFormat="1">
      <c r="A139" s="2943"/>
      <c r="D139" s="2938"/>
      <c r="E139" s="2938"/>
      <c r="F139" s="2938"/>
      <c r="G139" s="2938"/>
      <c r="H139" s="2938"/>
    </row>
    <row r="140" spans="1:8" s="2645" customFormat="1">
      <c r="A140" s="2943"/>
      <c r="D140" s="2938"/>
      <c r="E140" s="2938"/>
      <c r="F140" s="2938"/>
      <c r="G140" s="2938"/>
      <c r="H140" s="2938"/>
    </row>
    <row r="141" spans="1:8" s="2645" customFormat="1">
      <c r="A141" s="2943"/>
      <c r="D141" s="2938"/>
      <c r="E141" s="2938"/>
      <c r="F141" s="2938"/>
      <c r="G141" s="2938"/>
      <c r="H141" s="2938"/>
    </row>
    <row r="142" spans="1:8" s="2645" customFormat="1">
      <c r="A142" s="2943"/>
      <c r="D142" s="2938"/>
      <c r="E142" s="2938"/>
      <c r="F142" s="2938"/>
      <c r="G142" s="2938"/>
      <c r="H142" s="2938"/>
    </row>
    <row r="143" spans="1:8" s="2645" customFormat="1">
      <c r="A143" s="2943"/>
      <c r="D143" s="2938"/>
      <c r="E143" s="2938"/>
      <c r="F143" s="2938"/>
      <c r="G143" s="2938"/>
      <c r="H143" s="2938"/>
    </row>
    <row r="144" spans="1:8" s="2645" customFormat="1">
      <c r="A144" s="2943"/>
      <c r="D144" s="2938"/>
      <c r="E144" s="2938"/>
      <c r="F144" s="2938"/>
      <c r="G144" s="2938"/>
      <c r="H144" s="2938"/>
    </row>
    <row r="145" spans="1:8" s="2645" customFormat="1">
      <c r="A145" s="2943"/>
      <c r="D145" s="2938"/>
      <c r="E145" s="2938"/>
      <c r="F145" s="2938"/>
      <c r="G145" s="2938"/>
      <c r="H145" s="2938"/>
    </row>
    <row r="146" spans="1:8" s="2645" customFormat="1">
      <c r="A146" s="2943"/>
      <c r="D146" s="2938"/>
      <c r="E146" s="2938"/>
      <c r="F146" s="2938"/>
      <c r="G146" s="2938"/>
      <c r="H146" s="2938"/>
    </row>
    <row r="147" spans="1:8" s="2645" customFormat="1">
      <c r="A147" s="2943"/>
      <c r="D147" s="2938"/>
      <c r="E147" s="2938"/>
      <c r="F147" s="2938"/>
      <c r="G147" s="2938"/>
      <c r="H147" s="2938"/>
    </row>
    <row r="148" spans="1:8" s="2645" customFormat="1">
      <c r="A148" s="2943"/>
      <c r="D148" s="2938"/>
      <c r="E148" s="2938"/>
      <c r="F148" s="2938"/>
      <c r="G148" s="2938"/>
      <c r="H148" s="2938"/>
    </row>
    <row r="149" spans="1:8" s="2645" customFormat="1">
      <c r="A149" s="2943"/>
      <c r="D149" s="2938"/>
      <c r="E149" s="2938"/>
      <c r="F149" s="2938"/>
      <c r="G149" s="2938"/>
      <c r="H149" s="2938"/>
    </row>
    <row r="150" spans="1:8" s="2645" customFormat="1">
      <c r="A150" s="2943"/>
      <c r="D150" s="2938"/>
      <c r="E150" s="2938"/>
      <c r="F150" s="2938"/>
      <c r="G150" s="2938"/>
      <c r="H150" s="2938"/>
    </row>
    <row r="151" spans="1:8" s="2645" customFormat="1">
      <c r="A151" s="2943"/>
      <c r="D151" s="2938"/>
      <c r="E151" s="2938"/>
      <c r="F151" s="2938"/>
      <c r="G151" s="2938"/>
      <c r="H151" s="2938"/>
    </row>
    <row r="152" spans="1:8" s="2645" customFormat="1">
      <c r="A152" s="2943"/>
      <c r="D152" s="2938"/>
      <c r="E152" s="2938"/>
      <c r="F152" s="2938"/>
      <c r="G152" s="2938"/>
      <c r="H152" s="2938"/>
    </row>
    <row r="153" spans="1:8" s="2645" customFormat="1">
      <c r="A153" s="2943"/>
      <c r="D153" s="2938"/>
      <c r="E153" s="2938"/>
      <c r="F153" s="2938"/>
      <c r="G153" s="2938"/>
      <c r="H153" s="2938"/>
    </row>
    <row r="154" spans="1:8" s="2645" customFormat="1">
      <c r="A154" s="2943"/>
      <c r="D154" s="2938"/>
      <c r="E154" s="2938"/>
      <c r="F154" s="2938"/>
      <c r="G154" s="2938"/>
      <c r="H154" s="2938"/>
    </row>
    <row r="155" spans="1:8" s="2645" customFormat="1">
      <c r="A155" s="2943"/>
      <c r="D155" s="2938"/>
      <c r="E155" s="2938"/>
      <c r="F155" s="2938"/>
      <c r="G155" s="2938"/>
      <c r="H155" s="2938"/>
    </row>
    <row r="156" spans="1:8" s="2645" customFormat="1">
      <c r="A156" s="2943"/>
      <c r="D156" s="2938"/>
      <c r="E156" s="2938"/>
      <c r="F156" s="2938"/>
      <c r="G156" s="2938"/>
      <c r="H156" s="2938"/>
    </row>
    <row r="157" spans="1:8" s="2645" customFormat="1">
      <c r="A157" s="2943"/>
      <c r="D157" s="2938"/>
      <c r="E157" s="2938"/>
      <c r="F157" s="2938"/>
      <c r="G157" s="2938"/>
      <c r="H157" s="2938"/>
    </row>
    <row r="158" spans="1:8">
      <c r="A158" s="2943"/>
      <c r="B158" s="264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A11" sqref="A11:D11"/>
      <selection pane="topRight" activeCell="A11" sqref="A11:D11"/>
      <selection pane="bottomLeft" activeCell="A11" sqref="A11:D11"/>
      <selection pane="bottomRight" activeCell="I17" sqref="I17"/>
    </sheetView>
  </sheetViews>
  <sheetFormatPr defaultColWidth="9" defaultRowHeight="14.25"/>
  <cols>
    <col min="1" max="1" width="14.75" style="2607" customWidth="1"/>
    <col min="2" max="2" width="24.5" style="2620" customWidth="1"/>
    <col min="3" max="3" width="28.375" style="2681" customWidth="1"/>
    <col min="4" max="4" width="2.625" style="2681" customWidth="1"/>
    <col min="5" max="5" width="5.875" style="2681" customWidth="1"/>
    <col min="6" max="6" width="27" style="2620" customWidth="1"/>
    <col min="7" max="7" width="32.375" style="2682" customWidth="1"/>
    <col min="8" max="8" width="11.875" style="2678" customWidth="1"/>
    <col min="9" max="9" width="16.75" style="2679" customWidth="1"/>
    <col min="10" max="10" width="2.625" style="2678" customWidth="1"/>
    <col min="11" max="11" width="11.875" style="2678" customWidth="1"/>
    <col min="12" max="12" width="16.75" style="2679" customWidth="1"/>
    <col min="13" max="13" width="2.625" style="2678" customWidth="1"/>
    <col min="14" max="14" width="11.875" style="2678" customWidth="1"/>
    <col min="15" max="15" width="16.75" style="2679" customWidth="1"/>
    <col min="16" max="16" width="2.625" style="2678" customWidth="1"/>
    <col min="17" max="17" width="11.875" style="2678" customWidth="1"/>
    <col min="18" max="18" width="16.75" style="2680" customWidth="1"/>
    <col min="19" max="29" width="9" style="2668"/>
    <col min="30" max="16384" width="9" style="2607"/>
  </cols>
  <sheetData>
    <row r="1" spans="1:29" s="2666" customFormat="1" ht="19.5" thickBot="1">
      <c r="A1" s="3409" t="s">
        <v>1645</v>
      </c>
      <c r="B1" s="3410"/>
      <c r="C1" s="3410"/>
      <c r="D1" s="3410"/>
      <c r="E1" s="3410"/>
      <c r="F1" s="3410"/>
      <c r="G1" s="3410"/>
      <c r="H1" s="2661"/>
      <c r="I1" s="2662"/>
      <c r="J1" s="2661"/>
      <c r="K1" s="2661"/>
      <c r="L1" s="2662"/>
      <c r="M1" s="2661"/>
      <c r="N1" s="2661"/>
      <c r="O1" s="2662"/>
      <c r="P1" s="2661"/>
      <c r="Q1" s="2663"/>
      <c r="R1" s="2664"/>
      <c r="S1" s="2665"/>
      <c r="T1" s="2665"/>
      <c r="U1" s="2665"/>
      <c r="V1" s="2665"/>
      <c r="W1" s="2665"/>
      <c r="X1" s="2665"/>
      <c r="Y1" s="2665"/>
      <c r="Z1" s="2665"/>
      <c r="AA1" s="2665"/>
      <c r="AB1" s="2665"/>
      <c r="AC1" s="2665"/>
    </row>
    <row r="2" spans="1:29" s="2604" customFormat="1" ht="13.5" thickBot="1">
      <c r="A2" s="3069"/>
      <c r="B2" s="3070"/>
      <c r="C2" s="3071" t="s">
        <v>2792</v>
      </c>
      <c r="D2" s="3072"/>
      <c r="E2" s="3069"/>
      <c r="F2" s="3073"/>
      <c r="G2" s="3071" t="s">
        <v>2793</v>
      </c>
      <c r="H2" s="3074"/>
      <c r="I2" s="3074"/>
      <c r="J2" s="3074"/>
      <c r="K2" s="3074"/>
      <c r="L2" s="3074"/>
      <c r="M2" s="3074"/>
      <c r="N2" s="3074"/>
      <c r="O2" s="3074"/>
      <c r="P2" s="3074"/>
      <c r="Q2" s="3074"/>
      <c r="R2" s="3074"/>
      <c r="S2" s="3074"/>
      <c r="T2" s="3074"/>
      <c r="U2" s="3074"/>
      <c r="V2" s="3074"/>
      <c r="W2" s="3074"/>
      <c r="X2" s="3074"/>
      <c r="Y2" s="3074"/>
      <c r="Z2" s="3074"/>
      <c r="AA2" s="3074"/>
      <c r="AB2" s="3074"/>
      <c r="AC2" s="3074"/>
    </row>
    <row r="3" spans="1:29" s="2604" customFormat="1" ht="24">
      <c r="A3" s="3075" t="s">
        <v>2794</v>
      </c>
      <c r="B3" s="3076" t="s">
        <v>2795</v>
      </c>
      <c r="C3" s="3077"/>
      <c r="D3" s="3078"/>
      <c r="E3" s="3079" t="s">
        <v>2794</v>
      </c>
      <c r="F3" s="3080" t="s">
        <v>2796</v>
      </c>
      <c r="G3" s="3081"/>
      <c r="H3" s="3074"/>
      <c r="I3" s="3074"/>
      <c r="J3" s="3074"/>
      <c r="K3" s="3074"/>
      <c r="L3" s="3074"/>
      <c r="M3" s="3074"/>
      <c r="N3" s="3074"/>
      <c r="O3" s="3074"/>
      <c r="P3" s="3074"/>
      <c r="Q3" s="3074"/>
      <c r="R3" s="3074"/>
      <c r="S3" s="3074"/>
      <c r="T3" s="3074"/>
      <c r="U3" s="3074"/>
      <c r="V3" s="3074"/>
      <c r="W3" s="3074"/>
      <c r="X3" s="3074"/>
      <c r="Y3" s="3074"/>
      <c r="Z3" s="3074"/>
      <c r="AA3" s="3074"/>
      <c r="AB3" s="3074"/>
      <c r="AC3" s="3074"/>
    </row>
    <row r="4" spans="1:29" s="2604" customFormat="1" ht="12.75">
      <c r="A4" s="3079"/>
      <c r="B4" s="3063" t="s">
        <v>2797</v>
      </c>
      <c r="C4" s="3082"/>
      <c r="D4" s="3078"/>
      <c r="E4" s="3083"/>
      <c r="F4" s="3065" t="s">
        <v>2798</v>
      </c>
      <c r="G4" s="3084"/>
      <c r="H4" s="3074"/>
      <c r="I4" s="3074"/>
      <c r="J4" s="3074"/>
      <c r="K4" s="3074"/>
      <c r="L4" s="3074"/>
      <c r="M4" s="3074"/>
      <c r="N4" s="3074"/>
      <c r="O4" s="3074"/>
      <c r="P4" s="3074"/>
      <c r="Q4" s="3074"/>
      <c r="R4" s="3074"/>
      <c r="S4" s="3074"/>
      <c r="T4" s="3074"/>
      <c r="U4" s="3074"/>
      <c r="V4" s="3074"/>
      <c r="W4" s="3074"/>
      <c r="X4" s="3074"/>
      <c r="Y4" s="3074"/>
      <c r="Z4" s="3074"/>
      <c r="AA4" s="3074"/>
      <c r="AB4" s="3074"/>
      <c r="AC4" s="3074"/>
    </row>
    <row r="5" spans="1:29" s="2604" customFormat="1" ht="12.75">
      <c r="A5" s="3079"/>
      <c r="B5" s="3063" t="s">
        <v>2799</v>
      </c>
      <c r="C5" s="3720" t="s">
        <v>3011</v>
      </c>
      <c r="D5" s="3078"/>
      <c r="E5" s="3083"/>
      <c r="F5" s="3063" t="s">
        <v>2800</v>
      </c>
      <c r="G5" s="3084"/>
      <c r="H5" s="3074"/>
      <c r="I5" s="3074"/>
      <c r="J5" s="3074"/>
      <c r="K5" s="3074"/>
      <c r="L5" s="3074"/>
      <c r="M5" s="3074"/>
      <c r="N5" s="3074"/>
      <c r="O5" s="3074"/>
      <c r="P5" s="3074"/>
      <c r="Q5" s="3074"/>
      <c r="R5" s="3074"/>
      <c r="S5" s="3074"/>
      <c r="T5" s="3074"/>
      <c r="U5" s="3074"/>
      <c r="V5" s="3074"/>
      <c r="W5" s="3074"/>
      <c r="X5" s="3074"/>
      <c r="Y5" s="3074"/>
      <c r="Z5" s="3074"/>
      <c r="AA5" s="3074"/>
      <c r="AB5" s="3074"/>
      <c r="AC5" s="3074"/>
    </row>
    <row r="6" spans="1:29" s="2604" customFormat="1" ht="12.75">
      <c r="A6" s="3079"/>
      <c r="B6" s="3063" t="s">
        <v>2801</v>
      </c>
      <c r="C6" s="3721" t="s">
        <v>3011</v>
      </c>
      <c r="D6" s="3078"/>
      <c r="E6" s="3083"/>
      <c r="F6" s="3063" t="s">
        <v>2802</v>
      </c>
      <c r="G6" s="3084"/>
      <c r="H6" s="3074"/>
      <c r="I6" s="3074"/>
      <c r="J6" s="3074"/>
      <c r="K6" s="3074"/>
      <c r="L6" s="3074"/>
      <c r="M6" s="3074"/>
      <c r="N6" s="3074"/>
      <c r="O6" s="3074"/>
      <c r="P6" s="3074"/>
      <c r="Q6" s="3074"/>
      <c r="R6" s="3074"/>
      <c r="S6" s="3074"/>
      <c r="T6" s="3074"/>
      <c r="U6" s="3074"/>
      <c r="V6" s="3074"/>
      <c r="W6" s="3074"/>
      <c r="X6" s="3074"/>
      <c r="Y6" s="3074"/>
      <c r="Z6" s="3074"/>
      <c r="AA6" s="3074"/>
      <c r="AB6" s="3074"/>
      <c r="AC6" s="3074"/>
    </row>
    <row r="7" spans="1:29" s="2604" customFormat="1" ht="13.5" thickBot="1">
      <c r="A7" s="3079"/>
      <c r="B7" s="3063" t="s">
        <v>2800</v>
      </c>
      <c r="C7" s="3721" t="s">
        <v>3011</v>
      </c>
      <c r="D7" s="2952"/>
      <c r="E7" s="3085"/>
      <c r="F7" s="3086" t="s">
        <v>2803</v>
      </c>
      <c r="G7" s="3087"/>
      <c r="H7" s="3074"/>
      <c r="I7" s="3074"/>
      <c r="J7" s="3074"/>
      <c r="K7" s="3074"/>
      <c r="L7" s="3074"/>
      <c r="M7" s="3074"/>
      <c r="N7" s="3074"/>
      <c r="O7" s="3074"/>
      <c r="P7" s="3074"/>
      <c r="Q7" s="3074"/>
      <c r="R7" s="3074"/>
      <c r="S7" s="3074"/>
      <c r="T7" s="3074"/>
      <c r="U7" s="3074"/>
      <c r="V7" s="3074"/>
      <c r="W7" s="3074"/>
      <c r="X7" s="3074"/>
      <c r="Y7" s="3074"/>
      <c r="Z7" s="3074"/>
      <c r="AA7" s="3074"/>
      <c r="AB7" s="3074"/>
      <c r="AC7" s="3074"/>
    </row>
    <row r="8" spans="1:29" s="2604" customFormat="1" ht="12.75">
      <c r="A8" s="3079"/>
      <c r="B8" s="3063" t="s">
        <v>2802</v>
      </c>
      <c r="C8" s="3721" t="s">
        <v>3013</v>
      </c>
      <c r="D8" s="2952"/>
      <c r="E8" s="2952"/>
      <c r="F8" s="2947"/>
      <c r="G8" s="2947"/>
      <c r="H8" s="3074"/>
      <c r="I8" s="3074"/>
      <c r="J8" s="3074"/>
      <c r="K8" s="3074"/>
      <c r="L8" s="3074"/>
      <c r="M8" s="3074"/>
      <c r="N8" s="3074"/>
      <c r="O8" s="3074"/>
      <c r="P8" s="3074"/>
      <c r="Q8" s="3074"/>
      <c r="R8" s="3074"/>
      <c r="S8" s="3074"/>
      <c r="T8" s="3074"/>
      <c r="U8" s="3074"/>
      <c r="V8" s="3074"/>
      <c r="W8" s="3074"/>
      <c r="X8" s="3074"/>
      <c r="Y8" s="3074"/>
      <c r="Z8" s="3074"/>
      <c r="AA8" s="3074"/>
      <c r="AB8" s="3074"/>
      <c r="AC8" s="3074"/>
    </row>
    <row r="9" spans="1:29" s="2604" customFormat="1" ht="12.75">
      <c r="A9" s="3079"/>
      <c r="B9" s="3063" t="s">
        <v>2804</v>
      </c>
      <c r="C9" s="3720" t="s">
        <v>3011</v>
      </c>
      <c r="D9" s="3078"/>
      <c r="E9" s="2952"/>
      <c r="F9" s="2947"/>
      <c r="G9" s="2947"/>
      <c r="H9" s="3074"/>
      <c r="I9" s="3074"/>
      <c r="J9" s="3074"/>
      <c r="K9" s="3074"/>
      <c r="L9" s="3074"/>
      <c r="M9" s="3074"/>
      <c r="N9" s="3074"/>
      <c r="O9" s="3074"/>
      <c r="P9" s="3074"/>
      <c r="Q9" s="3074"/>
      <c r="R9" s="3074"/>
      <c r="S9" s="3074"/>
      <c r="T9" s="3074"/>
      <c r="U9" s="3074"/>
      <c r="V9" s="3074"/>
      <c r="W9" s="3074"/>
      <c r="X9" s="3074"/>
      <c r="Y9" s="3074"/>
      <c r="Z9" s="3074"/>
      <c r="AA9" s="3074"/>
      <c r="AB9" s="3074"/>
      <c r="AC9" s="3074"/>
    </row>
    <row r="10" spans="1:29" s="2645" customFormat="1" ht="13.5" thickBot="1">
      <c r="A10" s="3088"/>
      <c r="B10" s="3067" t="s">
        <v>2805</v>
      </c>
      <c r="C10" s="3089"/>
      <c r="D10" s="3078"/>
      <c r="E10" s="3078"/>
      <c r="F10" s="2947"/>
      <c r="G10" s="2947"/>
      <c r="H10" s="1468"/>
      <c r="I10" s="3090"/>
      <c r="J10" s="3091"/>
      <c r="K10" s="1468"/>
      <c r="L10" s="3090"/>
      <c r="M10" s="3091"/>
      <c r="N10" s="1468"/>
      <c r="O10" s="3090"/>
      <c r="P10" s="3091"/>
      <c r="Q10" s="1468"/>
      <c r="R10" s="3090"/>
      <c r="S10" s="3074"/>
      <c r="T10" s="3074"/>
      <c r="U10" s="3074"/>
      <c r="V10" s="3074"/>
      <c r="W10" s="3074"/>
      <c r="X10" s="3074"/>
      <c r="Y10" s="3074"/>
      <c r="Z10" s="3074"/>
      <c r="AA10" s="3074"/>
      <c r="AB10" s="3074"/>
      <c r="AC10" s="3074"/>
    </row>
    <row r="11" spans="1:29" s="2645" customFormat="1" ht="12.75">
      <c r="A11" s="3092"/>
      <c r="B11" s="2952"/>
      <c r="C11" s="3078"/>
      <c r="D11" s="3078"/>
      <c r="E11" s="3078"/>
      <c r="F11" s="2952"/>
      <c r="G11" s="3093"/>
      <c r="H11" s="1468"/>
      <c r="I11" s="3090"/>
      <c r="J11" s="3091"/>
      <c r="K11" s="1468"/>
      <c r="L11" s="3090"/>
      <c r="M11" s="3091"/>
      <c r="N11" s="1468"/>
      <c r="O11" s="3090"/>
      <c r="P11" s="3091"/>
      <c r="Q11" s="1468"/>
      <c r="R11" s="3090"/>
      <c r="S11" s="3074"/>
      <c r="T11" s="3074"/>
      <c r="U11" s="3074"/>
      <c r="V11" s="3074"/>
      <c r="W11" s="3074"/>
      <c r="X11" s="3074"/>
      <c r="Y11" s="3074"/>
      <c r="Z11" s="3074"/>
      <c r="AA11" s="3074"/>
      <c r="AB11" s="3074"/>
      <c r="AC11" s="3074"/>
    </row>
    <row r="12" spans="1:29" s="2666" customFormat="1" ht="18">
      <c r="A12" s="2615"/>
      <c r="B12" s="2670"/>
      <c r="C12" s="2669"/>
      <c r="D12" s="2671"/>
      <c r="E12" s="2669"/>
      <c r="F12" s="2670"/>
      <c r="G12" s="1813"/>
      <c r="H12" s="2672"/>
      <c r="I12" s="2673"/>
      <c r="J12" s="2672"/>
      <c r="K12" s="2672"/>
      <c r="L12" s="2674"/>
      <c r="M12" s="2672"/>
      <c r="N12" s="2675"/>
      <c r="O12" s="2676"/>
      <c r="P12" s="2675"/>
      <c r="Q12" s="2675"/>
      <c r="R12" s="2664"/>
      <c r="S12" s="2665"/>
      <c r="T12" s="2665"/>
      <c r="U12" s="2665"/>
      <c r="V12" s="2665"/>
      <c r="W12" s="2665"/>
      <c r="X12" s="2665"/>
      <c r="Y12" s="2665"/>
      <c r="Z12" s="2665"/>
      <c r="AA12" s="2665"/>
      <c r="AB12" s="2665"/>
      <c r="AC12" s="2665"/>
    </row>
    <row r="13" spans="1:29" ht="19.5" thickBot="1">
      <c r="A13" s="2677" t="s">
        <v>1651</v>
      </c>
      <c r="B13" s="2671"/>
      <c r="C13" s="2671"/>
      <c r="D13" s="2667"/>
      <c r="E13" s="2671"/>
      <c r="F13" s="2671"/>
      <c r="G13" s="2671"/>
    </row>
    <row r="14" spans="1:29" s="2604" customFormat="1" ht="13.5" thickBot="1">
      <c r="A14" s="3094"/>
      <c r="B14" s="3094"/>
      <c r="C14" s="3095" t="s">
        <v>2806</v>
      </c>
      <c r="D14" s="3078"/>
      <c r="E14" s="3096"/>
      <c r="F14" s="3096"/>
      <c r="G14" s="3071" t="s">
        <v>2807</v>
      </c>
      <c r="H14" s="3097"/>
      <c r="I14" s="3098"/>
      <c r="J14" s="3097"/>
      <c r="K14" s="3097"/>
      <c r="L14" s="3098"/>
      <c r="M14" s="3097"/>
      <c r="N14" s="3097"/>
      <c r="O14" s="3098"/>
      <c r="P14" s="3097"/>
      <c r="Q14" s="3097"/>
      <c r="R14" s="3099"/>
      <c r="S14" s="3074"/>
      <c r="T14" s="3074"/>
      <c r="U14" s="3074"/>
      <c r="V14" s="3074"/>
      <c r="W14" s="3074"/>
      <c r="X14" s="3074"/>
      <c r="Y14" s="3074"/>
      <c r="Z14" s="3074"/>
      <c r="AA14" s="3074"/>
      <c r="AB14" s="3074"/>
      <c r="AC14" s="3074"/>
    </row>
    <row r="15" spans="1:29" s="2604" customFormat="1" ht="38.25">
      <c r="A15" s="3100" t="s">
        <v>2808</v>
      </c>
      <c r="B15" s="3101" t="s">
        <v>2795</v>
      </c>
      <c r="C15" s="3102">
        <f>C3</f>
        <v>0</v>
      </c>
      <c r="D15" s="3078"/>
      <c r="E15" s="3103" t="s">
        <v>2809</v>
      </c>
      <c r="F15" s="3101" t="s">
        <v>2810</v>
      </c>
      <c r="G15" s="3104">
        <f>G3</f>
        <v>0</v>
      </c>
      <c r="H15" s="3097"/>
      <c r="I15" s="3098"/>
      <c r="J15" s="3097"/>
      <c r="K15" s="3097"/>
      <c r="L15" s="3098"/>
      <c r="M15" s="3097"/>
      <c r="N15" s="3097"/>
      <c r="O15" s="3098"/>
      <c r="P15" s="3097"/>
      <c r="Q15" s="3097"/>
      <c r="R15" s="3099"/>
      <c r="S15" s="3074"/>
      <c r="T15" s="3074"/>
      <c r="U15" s="3074"/>
      <c r="V15" s="3074"/>
      <c r="W15" s="3074"/>
      <c r="X15" s="3074"/>
      <c r="Y15" s="3074"/>
      <c r="Z15" s="3074"/>
      <c r="AA15" s="3074"/>
      <c r="AB15" s="3074"/>
      <c r="AC15" s="3074"/>
    </row>
    <row r="16" spans="1:29" s="2604" customFormat="1" ht="25.5">
      <c r="A16" s="3105"/>
      <c r="B16" s="2544" t="s">
        <v>2797</v>
      </c>
      <c r="C16" s="3106">
        <f>C4</f>
        <v>0</v>
      </c>
      <c r="D16" s="3078"/>
      <c r="E16" s="3107"/>
      <c r="F16" s="3064" t="s">
        <v>2798</v>
      </c>
      <c r="G16" s="3108">
        <f>G4</f>
        <v>0</v>
      </c>
      <c r="H16" s="3097"/>
      <c r="I16" s="3098"/>
      <c r="J16" s="3097"/>
      <c r="K16" s="3097"/>
      <c r="L16" s="3098"/>
      <c r="M16" s="3097"/>
      <c r="N16" s="3097"/>
      <c r="O16" s="3098"/>
      <c r="P16" s="3097"/>
      <c r="Q16" s="3097"/>
      <c r="R16" s="3099"/>
      <c r="S16" s="3074"/>
      <c r="T16" s="3074"/>
      <c r="U16" s="3074"/>
      <c r="V16" s="3074"/>
      <c r="W16" s="3074"/>
      <c r="X16" s="3074"/>
      <c r="Y16" s="3074"/>
      <c r="Z16" s="3074"/>
      <c r="AA16" s="3074"/>
      <c r="AB16" s="3074"/>
      <c r="AC16" s="3074"/>
    </row>
    <row r="17" spans="1:29" s="2604" customFormat="1" ht="25.5">
      <c r="A17" s="3105"/>
      <c r="B17" s="2544" t="s">
        <v>2799</v>
      </c>
      <c r="C17" s="3106" t="str">
        <f>C5</f>
        <v>较好</v>
      </c>
      <c r="D17" s="2952"/>
      <c r="E17" s="3107"/>
      <c r="F17" s="3064" t="s">
        <v>2811</v>
      </c>
      <c r="G17" s="3109"/>
      <c r="H17" s="3097"/>
      <c r="I17" s="3098"/>
      <c r="J17" s="3097"/>
      <c r="K17" s="3097"/>
      <c r="L17" s="3098"/>
      <c r="M17" s="3097"/>
      <c r="N17" s="3097"/>
      <c r="O17" s="3098"/>
      <c r="P17" s="3097"/>
      <c r="Q17" s="3097"/>
      <c r="R17" s="3099"/>
      <c r="S17" s="3074"/>
      <c r="T17" s="3074"/>
      <c r="U17" s="3074"/>
      <c r="V17" s="3074"/>
      <c r="W17" s="3074"/>
      <c r="X17" s="3074"/>
      <c r="Y17" s="3074"/>
      <c r="Z17" s="3074"/>
      <c r="AA17" s="3074"/>
      <c r="AB17" s="3074"/>
      <c r="AC17" s="3074"/>
    </row>
    <row r="18" spans="1:29" s="2604" customFormat="1" ht="38.25">
      <c r="A18" s="3105"/>
      <c r="B18" s="3064" t="s">
        <v>2801</v>
      </c>
      <c r="C18" s="3108" t="str">
        <f>C6</f>
        <v>较好</v>
      </c>
      <c r="D18" s="2952"/>
      <c r="E18" s="3107"/>
      <c r="F18" s="3064" t="s">
        <v>2803</v>
      </c>
      <c r="G18" s="3108">
        <f>G7</f>
        <v>0</v>
      </c>
      <c r="H18" s="3097"/>
      <c r="I18" s="3098"/>
      <c r="J18" s="3097"/>
      <c r="K18" s="3097"/>
      <c r="L18" s="3098"/>
      <c r="M18" s="3097"/>
      <c r="N18" s="3097"/>
      <c r="O18" s="3098"/>
      <c r="P18" s="3097"/>
      <c r="Q18" s="3097"/>
      <c r="R18" s="3099"/>
      <c r="S18" s="3074"/>
      <c r="T18" s="3074"/>
      <c r="U18" s="3074"/>
      <c r="V18" s="3074"/>
      <c r="W18" s="3074"/>
      <c r="X18" s="3074"/>
      <c r="Y18" s="3074"/>
      <c r="Z18" s="3074"/>
      <c r="AA18" s="3074"/>
      <c r="AB18" s="3074"/>
      <c r="AC18" s="3074"/>
    </row>
    <row r="19" spans="1:29" s="2604" customFormat="1" ht="12.75">
      <c r="A19" s="3105"/>
      <c r="B19" s="3064" t="s">
        <v>2812</v>
      </c>
      <c r="C19" s="3722" t="s">
        <v>3014</v>
      </c>
      <c r="D19" s="3078"/>
      <c r="E19" s="3107"/>
      <c r="F19" s="3063" t="s">
        <v>2800</v>
      </c>
      <c r="G19" s="3108">
        <f>G5</f>
        <v>0</v>
      </c>
      <c r="H19" s="3097"/>
      <c r="I19" s="3098"/>
      <c r="J19" s="3097"/>
      <c r="K19" s="3097"/>
      <c r="L19" s="3098"/>
      <c r="M19" s="3097"/>
      <c r="N19" s="3097"/>
      <c r="O19" s="3098"/>
      <c r="P19" s="3097"/>
      <c r="Q19" s="3097"/>
      <c r="R19" s="3099"/>
      <c r="S19" s="3074"/>
      <c r="T19" s="3074"/>
      <c r="U19" s="3074"/>
      <c r="V19" s="3074"/>
      <c r="W19" s="3074"/>
      <c r="X19" s="3074"/>
      <c r="Y19" s="3074"/>
      <c r="Z19" s="3074"/>
      <c r="AA19" s="3074"/>
      <c r="AB19" s="3074"/>
      <c r="AC19" s="3074"/>
    </row>
    <row r="20" spans="1:29" s="2604" customFormat="1" ht="25.5">
      <c r="A20" s="3105"/>
      <c r="B20" s="3064" t="s">
        <v>2813</v>
      </c>
      <c r="C20" s="3106" t="str">
        <f>C9</f>
        <v>较好</v>
      </c>
      <c r="D20" s="2952"/>
      <c r="E20" s="3107"/>
      <c r="F20" s="3063" t="s">
        <v>2802</v>
      </c>
      <c r="G20" s="3108">
        <f>G6</f>
        <v>0</v>
      </c>
      <c r="H20" s="3097"/>
      <c r="I20" s="3098"/>
      <c r="J20" s="3097"/>
      <c r="K20" s="3097"/>
      <c r="L20" s="3098"/>
      <c r="M20" s="3097"/>
      <c r="N20" s="3097"/>
      <c r="O20" s="3098"/>
      <c r="P20" s="3097"/>
      <c r="Q20" s="3097"/>
      <c r="R20" s="3099"/>
      <c r="S20" s="3074"/>
      <c r="T20" s="3074"/>
      <c r="U20" s="3074"/>
      <c r="V20" s="3074"/>
      <c r="W20" s="3074"/>
      <c r="X20" s="3074"/>
      <c r="Y20" s="3074"/>
      <c r="Z20" s="3074"/>
      <c r="AA20" s="3074"/>
      <c r="AB20" s="3074"/>
      <c r="AC20" s="3074"/>
    </row>
    <row r="21" spans="1:29" s="2604" customFormat="1" ht="25.5">
      <c r="A21" s="3105"/>
      <c r="B21" s="3063" t="s">
        <v>2800</v>
      </c>
      <c r="C21" s="3108" t="str">
        <f>C7</f>
        <v>较好</v>
      </c>
      <c r="D21" s="3078"/>
      <c r="E21" s="3107"/>
      <c r="F21" s="3064" t="s">
        <v>2814</v>
      </c>
      <c r="G21" s="3110"/>
      <c r="H21" s="3097"/>
      <c r="I21" s="3098"/>
      <c r="J21" s="3097"/>
      <c r="K21" s="3097"/>
      <c r="L21" s="3098"/>
      <c r="M21" s="3097"/>
      <c r="N21" s="3097"/>
      <c r="O21" s="3098"/>
      <c r="P21" s="3097"/>
      <c r="Q21" s="3097"/>
      <c r="R21" s="3099"/>
      <c r="S21" s="3074"/>
      <c r="T21" s="3074"/>
      <c r="U21" s="3074"/>
      <c r="V21" s="3074"/>
      <c r="W21" s="3074"/>
      <c r="X21" s="3074"/>
      <c r="Y21" s="3074"/>
      <c r="Z21" s="3074"/>
      <c r="AA21" s="3074"/>
      <c r="AB21" s="3074"/>
      <c r="AC21" s="3074"/>
    </row>
    <row r="22" spans="1:29" s="2604" customFormat="1" ht="12.75">
      <c r="A22" s="3105"/>
      <c r="B22" s="3063" t="s">
        <v>2802</v>
      </c>
      <c r="C22" s="3108" t="str">
        <f>C8</f>
        <v>七通</v>
      </c>
      <c r="D22" s="3078"/>
      <c r="E22" s="3107"/>
      <c r="F22" s="3064" t="s">
        <v>2805</v>
      </c>
      <c r="G22" s="3111"/>
      <c r="H22" s="3097"/>
      <c r="I22" s="3098"/>
      <c r="J22" s="3097"/>
      <c r="K22" s="3097"/>
      <c r="L22" s="3098"/>
      <c r="M22" s="3097"/>
      <c r="N22" s="3097"/>
      <c r="O22" s="3098"/>
      <c r="P22" s="3097"/>
      <c r="Q22" s="3097"/>
      <c r="R22" s="3099"/>
      <c r="S22" s="3074"/>
      <c r="T22" s="3074"/>
      <c r="U22" s="3074"/>
      <c r="V22" s="3074"/>
      <c r="W22" s="3074"/>
      <c r="X22" s="3074"/>
      <c r="Y22" s="3074"/>
      <c r="Z22" s="3074"/>
      <c r="AA22" s="3074"/>
      <c r="AB22" s="3074"/>
      <c r="AC22" s="3074"/>
    </row>
    <row r="23" spans="1:29" s="3074" customFormat="1" ht="13.5" thickBot="1">
      <c r="A23" s="3105"/>
      <c r="B23" s="3064" t="s">
        <v>2814</v>
      </c>
      <c r="C23" s="3110"/>
      <c r="D23" s="3097"/>
      <c r="E23" s="3112"/>
      <c r="F23" s="3066" t="s">
        <v>2815</v>
      </c>
      <c r="G23" s="3113"/>
      <c r="H23" s="3097"/>
      <c r="I23" s="3098"/>
      <c r="J23" s="3097"/>
      <c r="K23" s="3097"/>
      <c r="L23" s="3098"/>
      <c r="M23" s="3097"/>
      <c r="N23" s="3097"/>
      <c r="O23" s="3098"/>
      <c r="P23" s="3097"/>
      <c r="Q23" s="3097"/>
      <c r="R23" s="3099"/>
    </row>
    <row r="24" spans="1:29" s="3074" customFormat="1" ht="13.5" thickBot="1">
      <c r="A24" s="3114"/>
      <c r="B24" s="3066" t="s">
        <v>2816</v>
      </c>
      <c r="C24" s="3115">
        <f>C10</f>
        <v>0</v>
      </c>
      <c r="D24" s="3097"/>
      <c r="E24" s="3116"/>
      <c r="F24" s="3116"/>
      <c r="G24" s="3117"/>
      <c r="H24" s="3097"/>
      <c r="I24" s="3098"/>
      <c r="J24" s="3097"/>
      <c r="K24" s="3097"/>
      <c r="L24" s="3098"/>
      <c r="M24" s="3097"/>
      <c r="N24" s="3097"/>
      <c r="O24" s="3098"/>
      <c r="P24" s="3097"/>
      <c r="Q24" s="3097"/>
      <c r="R24" s="3099"/>
    </row>
    <row r="25" spans="1:29" s="2668" customFormat="1">
      <c r="B25" s="2678"/>
      <c r="C25" s="2678"/>
      <c r="D25" s="2678"/>
      <c r="H25" s="2678"/>
      <c r="I25" s="2679"/>
      <c r="J25" s="2678"/>
      <c r="K25" s="2678"/>
      <c r="L25" s="2679"/>
      <c r="M25" s="2678"/>
      <c r="N25" s="2678"/>
      <c r="O25" s="2679"/>
      <c r="P25" s="2678"/>
      <c r="Q25" s="2678"/>
      <c r="R25" s="2680"/>
    </row>
    <row r="26" spans="1:29" s="2668" customFormat="1">
      <c r="B26" s="2678"/>
      <c r="C26" s="2678"/>
      <c r="D26" s="2678"/>
      <c r="H26" s="2678"/>
      <c r="I26" s="2679"/>
      <c r="J26" s="2678"/>
      <c r="K26" s="2678"/>
      <c r="L26" s="2679"/>
      <c r="M26" s="2678"/>
      <c r="N26" s="2678"/>
      <c r="O26" s="2679"/>
      <c r="P26" s="2678"/>
      <c r="Q26" s="2678"/>
      <c r="R26" s="2680"/>
    </row>
    <row r="27" spans="1:29" s="2668" customFormat="1">
      <c r="B27" s="2678"/>
      <c r="C27" s="2678"/>
      <c r="D27" s="2678"/>
      <c r="H27" s="2678"/>
      <c r="I27" s="2679"/>
      <c r="J27" s="2678"/>
      <c r="K27" s="2678"/>
      <c r="L27" s="2679"/>
      <c r="M27" s="2678"/>
      <c r="N27" s="2678"/>
      <c r="O27" s="2679"/>
      <c r="P27" s="2678"/>
      <c r="Q27" s="2678"/>
      <c r="R27" s="2680"/>
    </row>
    <row r="28" spans="1:29" s="2668" customFormat="1">
      <c r="B28" s="2678"/>
      <c r="C28" s="2678"/>
      <c r="D28" s="2678"/>
      <c r="H28" s="2678"/>
      <c r="I28" s="2679"/>
      <c r="J28" s="2678"/>
      <c r="K28" s="2678"/>
      <c r="L28" s="2679"/>
      <c r="M28" s="2678"/>
      <c r="N28" s="2678"/>
      <c r="O28" s="2679"/>
      <c r="P28" s="2678"/>
      <c r="Q28" s="2678"/>
      <c r="R28" s="2680"/>
    </row>
    <row r="29" spans="1:29" s="2668" customFormat="1">
      <c r="B29" s="2678"/>
      <c r="C29" s="2678"/>
      <c r="D29" s="2678"/>
      <c r="H29" s="2678"/>
      <c r="I29" s="2679"/>
      <c r="J29" s="2678"/>
      <c r="K29" s="2678"/>
      <c r="L29" s="2679"/>
      <c r="M29" s="2678"/>
      <c r="N29" s="2678"/>
      <c r="O29" s="2679"/>
      <c r="P29" s="2678"/>
      <c r="Q29" s="2678"/>
      <c r="R29" s="2680"/>
    </row>
    <row r="30" spans="1:29" s="2668" customFormat="1">
      <c r="B30" s="2678"/>
      <c r="C30" s="2678"/>
      <c r="D30" s="2678"/>
      <c r="H30" s="2678"/>
      <c r="I30" s="2679"/>
      <c r="J30" s="2678"/>
      <c r="K30" s="2678"/>
      <c r="L30" s="2679"/>
      <c r="M30" s="2678"/>
      <c r="N30" s="2678"/>
      <c r="O30" s="2679"/>
      <c r="P30" s="2678"/>
      <c r="Q30" s="2678"/>
      <c r="R30" s="2680"/>
    </row>
    <row r="31" spans="1:29" s="2668" customFormat="1">
      <c r="B31" s="2678"/>
      <c r="C31" s="2678"/>
      <c r="D31" s="2678"/>
      <c r="H31" s="2678"/>
      <c r="I31" s="2679"/>
      <c r="J31" s="2678"/>
      <c r="K31" s="2678"/>
      <c r="L31" s="2679"/>
      <c r="M31" s="2678"/>
      <c r="N31" s="2678"/>
      <c r="O31" s="2679"/>
      <c r="P31" s="2678"/>
      <c r="Q31" s="2678"/>
      <c r="R31" s="2680"/>
    </row>
    <row r="32" spans="1:29" s="2668" customFormat="1">
      <c r="B32" s="2678"/>
      <c r="C32" s="2678"/>
      <c r="D32" s="2678"/>
      <c r="H32" s="2678"/>
      <c r="I32" s="2679"/>
      <c r="J32" s="2678"/>
      <c r="K32" s="2678"/>
      <c r="L32" s="2679"/>
      <c r="M32" s="2678"/>
      <c r="N32" s="2678"/>
      <c r="O32" s="2679"/>
      <c r="P32" s="2678"/>
      <c r="Q32" s="2678"/>
      <c r="R32" s="2680"/>
    </row>
    <row r="33" spans="2:18" s="2668" customFormat="1">
      <c r="B33" s="2678"/>
      <c r="C33" s="2678"/>
      <c r="D33" s="2678"/>
      <c r="H33" s="2678"/>
      <c r="I33" s="2679"/>
      <c r="J33" s="2678"/>
      <c r="K33" s="2678"/>
      <c r="L33" s="2679"/>
      <c r="M33" s="2678"/>
      <c r="N33" s="2678"/>
      <c r="O33" s="2679"/>
      <c r="P33" s="2678"/>
      <c r="Q33" s="2678"/>
      <c r="R33" s="2680"/>
    </row>
    <row r="34" spans="2:18" s="2668" customFormat="1">
      <c r="B34" s="2678"/>
      <c r="C34" s="2678"/>
      <c r="D34" s="2678"/>
      <c r="H34" s="2678"/>
      <c r="I34" s="2679"/>
      <c r="J34" s="2678"/>
      <c r="K34" s="2678"/>
      <c r="L34" s="2679"/>
      <c r="M34" s="2678"/>
      <c r="N34" s="2678"/>
      <c r="O34" s="2679"/>
      <c r="P34" s="2678"/>
      <c r="Q34" s="2678"/>
      <c r="R34" s="2680"/>
    </row>
    <row r="35" spans="2:18" s="2668" customFormat="1">
      <c r="B35" s="2678"/>
      <c r="C35" s="2678"/>
      <c r="D35" s="2678"/>
      <c r="H35" s="2678"/>
      <c r="I35" s="2679"/>
      <c r="J35" s="2678"/>
      <c r="K35" s="2678"/>
      <c r="L35" s="2679"/>
      <c r="M35" s="2678"/>
      <c r="N35" s="2678"/>
      <c r="O35" s="2679"/>
      <c r="P35" s="2678"/>
      <c r="Q35" s="2678"/>
      <c r="R35" s="2680"/>
    </row>
    <row r="36" spans="2:18" s="2668" customFormat="1">
      <c r="B36" s="2678"/>
      <c r="C36" s="2678"/>
      <c r="D36" s="2678"/>
      <c r="H36" s="2678"/>
      <c r="I36" s="2679"/>
      <c r="J36" s="2678"/>
      <c r="K36" s="2678"/>
      <c r="L36" s="2679"/>
      <c r="M36" s="2678"/>
      <c r="N36" s="2678"/>
      <c r="O36" s="2679"/>
      <c r="P36" s="2678"/>
      <c r="Q36" s="2678"/>
      <c r="R36" s="2680"/>
    </row>
    <row r="37" spans="2:18" s="2668" customFormat="1">
      <c r="B37" s="2678"/>
      <c r="C37" s="2678"/>
      <c r="D37" s="2678"/>
      <c r="H37" s="2678"/>
      <c r="I37" s="2679"/>
      <c r="J37" s="2678"/>
      <c r="K37" s="2678"/>
      <c r="L37" s="2679"/>
      <c r="M37" s="2678"/>
      <c r="N37" s="2678"/>
      <c r="O37" s="2679"/>
      <c r="P37" s="2678"/>
      <c r="Q37" s="2678"/>
      <c r="R37" s="2680"/>
    </row>
    <row r="38" spans="2:18" s="2668" customFormat="1">
      <c r="B38" s="2678"/>
      <c r="C38" s="2678"/>
      <c r="D38" s="2678"/>
      <c r="E38" s="2678"/>
      <c r="F38" s="2678"/>
      <c r="G38" s="2679"/>
      <c r="H38" s="2678"/>
      <c r="I38" s="2679"/>
      <c r="J38" s="2678"/>
      <c r="K38" s="2678"/>
      <c r="L38" s="2679"/>
      <c r="M38" s="2678"/>
      <c r="N38" s="2678"/>
      <c r="O38" s="2679"/>
      <c r="P38" s="2678"/>
      <c r="Q38" s="2678"/>
      <c r="R38" s="2680"/>
    </row>
    <row r="39" spans="2:18" s="2668" customFormat="1">
      <c r="B39" s="2678"/>
      <c r="C39" s="2678"/>
      <c r="D39" s="2678"/>
      <c r="E39" s="2678"/>
      <c r="F39" s="2678"/>
      <c r="G39" s="2679"/>
      <c r="H39" s="2678"/>
      <c r="I39" s="2679"/>
      <c r="J39" s="2678"/>
      <c r="K39" s="2678"/>
      <c r="L39" s="2679"/>
      <c r="M39" s="2678"/>
      <c r="N39" s="2678"/>
      <c r="O39" s="2679"/>
      <c r="P39" s="2678"/>
      <c r="Q39" s="2678"/>
      <c r="R39" s="2680"/>
    </row>
    <row r="40" spans="2:18" s="2668" customFormat="1">
      <c r="B40" s="2678"/>
      <c r="C40" s="2678"/>
      <c r="D40" s="2678"/>
      <c r="E40" s="2678"/>
      <c r="F40" s="2678"/>
      <c r="G40" s="2679"/>
      <c r="H40" s="2678"/>
      <c r="I40" s="2679"/>
      <c r="J40" s="2678"/>
      <c r="K40" s="2678"/>
      <c r="L40" s="2679"/>
      <c r="M40" s="2678"/>
      <c r="N40" s="2678"/>
      <c r="O40" s="2679"/>
      <c r="P40" s="2678"/>
      <c r="Q40" s="2678"/>
      <c r="R40" s="2680"/>
    </row>
    <row r="41" spans="2:18" s="2668" customFormat="1">
      <c r="B41" s="2678"/>
      <c r="C41" s="2678"/>
      <c r="D41" s="2678"/>
      <c r="E41" s="2678"/>
      <c r="F41" s="2678"/>
      <c r="G41" s="2679"/>
      <c r="H41" s="2678"/>
      <c r="I41" s="2679"/>
      <c r="J41" s="2678"/>
      <c r="K41" s="2678"/>
      <c r="L41" s="2679"/>
      <c r="M41" s="2678"/>
      <c r="N41" s="2678"/>
      <c r="O41" s="2679"/>
      <c r="P41" s="2678"/>
      <c r="Q41" s="2678"/>
      <c r="R41" s="2680"/>
    </row>
    <row r="42" spans="2:18" s="2668" customFormat="1">
      <c r="B42" s="2678"/>
      <c r="C42" s="2678"/>
      <c r="D42" s="2678"/>
      <c r="E42" s="2678"/>
      <c r="F42" s="2678"/>
      <c r="G42" s="2679"/>
      <c r="H42" s="2678"/>
      <c r="I42" s="2679"/>
      <c r="J42" s="2678"/>
      <c r="K42" s="2678"/>
      <c r="L42" s="2679"/>
      <c r="M42" s="2678"/>
      <c r="N42" s="2678"/>
      <c r="O42" s="2679"/>
      <c r="P42" s="2678"/>
      <c r="Q42" s="2678"/>
      <c r="R42" s="2680"/>
    </row>
    <row r="43" spans="2:18" s="2668" customFormat="1">
      <c r="B43" s="2678"/>
      <c r="C43" s="2678"/>
      <c r="D43" s="2678"/>
      <c r="E43" s="2678"/>
      <c r="F43" s="2678"/>
      <c r="G43" s="2679"/>
      <c r="H43" s="2678"/>
      <c r="I43" s="2679"/>
      <c r="J43" s="2678"/>
      <c r="K43" s="2678"/>
      <c r="L43" s="2679"/>
      <c r="M43" s="2678"/>
      <c r="N43" s="2678"/>
      <c r="O43" s="2679"/>
      <c r="P43" s="2678"/>
      <c r="Q43" s="2678"/>
      <c r="R43" s="2680"/>
    </row>
    <row r="44" spans="2:18" s="2668" customFormat="1">
      <c r="B44" s="2678"/>
      <c r="C44" s="2678"/>
      <c r="D44" s="2678"/>
      <c r="E44" s="2678"/>
      <c r="F44" s="2678"/>
      <c r="G44" s="2679"/>
      <c r="H44" s="2678"/>
      <c r="I44" s="2679"/>
      <c r="J44" s="2678"/>
      <c r="K44" s="2678"/>
      <c r="L44" s="2679"/>
      <c r="M44" s="2678"/>
      <c r="N44" s="2678"/>
      <c r="O44" s="2679"/>
      <c r="P44" s="2678"/>
      <c r="Q44" s="2678"/>
      <c r="R44" s="2680"/>
    </row>
    <row r="45" spans="2:18" s="2668" customFormat="1">
      <c r="B45" s="2678"/>
      <c r="C45" s="2678"/>
      <c r="D45" s="2678"/>
      <c r="E45" s="2678"/>
      <c r="F45" s="2678"/>
      <c r="G45" s="2679"/>
      <c r="H45" s="2678"/>
      <c r="I45" s="2679"/>
      <c r="J45" s="2678"/>
      <c r="K45" s="2678"/>
      <c r="L45" s="2679"/>
      <c r="M45" s="2678"/>
      <c r="N45" s="2678"/>
      <c r="O45" s="2679"/>
      <c r="P45" s="2678"/>
      <c r="Q45" s="2678"/>
      <c r="R45" s="2680"/>
    </row>
    <row r="46" spans="2:18" s="2668" customFormat="1">
      <c r="B46" s="2678"/>
      <c r="C46" s="2678"/>
      <c r="D46" s="2678"/>
      <c r="E46" s="2678"/>
      <c r="F46" s="2678"/>
      <c r="G46" s="2679"/>
      <c r="H46" s="2678"/>
      <c r="I46" s="2679"/>
      <c r="J46" s="2678"/>
      <c r="K46" s="2678"/>
      <c r="L46" s="2679"/>
      <c r="M46" s="2678"/>
      <c r="N46" s="2678"/>
      <c r="O46" s="2679"/>
      <c r="P46" s="2678"/>
      <c r="Q46" s="2678"/>
      <c r="R46" s="2680"/>
    </row>
    <row r="47" spans="2:18" s="2668" customFormat="1">
      <c r="B47" s="2678"/>
      <c r="C47" s="2678"/>
      <c r="D47" s="2678"/>
      <c r="E47" s="2678"/>
      <c r="F47" s="2678"/>
      <c r="G47" s="2679"/>
      <c r="H47" s="2678"/>
      <c r="I47" s="2679"/>
      <c r="J47" s="2678"/>
      <c r="K47" s="2678"/>
      <c r="L47" s="2679"/>
      <c r="M47" s="2678"/>
      <c r="N47" s="2678"/>
      <c r="O47" s="2679"/>
      <c r="P47" s="2678"/>
      <c r="Q47" s="2678"/>
      <c r="R47" s="2680"/>
    </row>
    <row r="48" spans="2:18" s="2668" customFormat="1">
      <c r="B48" s="2678"/>
      <c r="C48" s="2678"/>
      <c r="D48" s="2678"/>
      <c r="E48" s="2678"/>
      <c r="F48" s="2678"/>
      <c r="G48" s="2679"/>
      <c r="H48" s="2678"/>
      <c r="I48" s="2679"/>
      <c r="J48" s="2678"/>
      <c r="K48" s="2678"/>
      <c r="L48" s="2679"/>
      <c r="M48" s="2678"/>
      <c r="N48" s="2678"/>
      <c r="O48" s="2679"/>
      <c r="P48" s="2678"/>
      <c r="Q48" s="2678"/>
      <c r="R48" s="2680"/>
    </row>
    <row r="49" spans="2:18" s="2668" customFormat="1">
      <c r="B49" s="2678"/>
      <c r="C49" s="2678"/>
      <c r="D49" s="2678"/>
      <c r="E49" s="2678"/>
      <c r="F49" s="2678"/>
      <c r="G49" s="2679"/>
      <c r="H49" s="2678"/>
      <c r="I49" s="2679"/>
      <c r="J49" s="2678"/>
      <c r="K49" s="2678"/>
      <c r="L49" s="2679"/>
      <c r="M49" s="2678"/>
      <c r="N49" s="2678"/>
      <c r="O49" s="2679"/>
      <c r="P49" s="2678"/>
      <c r="Q49" s="2678"/>
      <c r="R49" s="2680"/>
    </row>
    <row r="50" spans="2:18" s="2668" customFormat="1">
      <c r="B50" s="2678"/>
      <c r="C50" s="2678"/>
      <c r="D50" s="2678"/>
      <c r="E50" s="2678"/>
      <c r="F50" s="2678"/>
      <c r="G50" s="2679"/>
      <c r="H50" s="2678"/>
      <c r="I50" s="2679"/>
      <c r="J50" s="2678"/>
      <c r="K50" s="2678"/>
      <c r="L50" s="2679"/>
      <c r="M50" s="2678"/>
      <c r="N50" s="2678"/>
      <c r="O50" s="2679"/>
      <c r="P50" s="2678"/>
      <c r="Q50" s="2678"/>
      <c r="R50" s="2680"/>
    </row>
    <row r="51" spans="2:18" s="2668" customFormat="1">
      <c r="B51" s="2678"/>
      <c r="C51" s="2678"/>
      <c r="D51" s="2678"/>
      <c r="E51" s="2678"/>
      <c r="F51" s="2678"/>
      <c r="G51" s="2679"/>
      <c r="H51" s="2678"/>
      <c r="I51" s="2679"/>
      <c r="J51" s="2678"/>
      <c r="K51" s="2678"/>
      <c r="L51" s="2679"/>
      <c r="M51" s="2678"/>
      <c r="N51" s="2678"/>
      <c r="O51" s="2679"/>
      <c r="P51" s="2678"/>
      <c r="Q51" s="2678"/>
      <c r="R51" s="2680"/>
    </row>
    <row r="52" spans="2:18" s="2668" customFormat="1">
      <c r="B52" s="2678"/>
      <c r="C52" s="2678"/>
      <c r="D52" s="2678"/>
      <c r="E52" s="2678"/>
      <c r="F52" s="2678"/>
      <c r="G52" s="2679"/>
      <c r="H52" s="2678"/>
      <c r="I52" s="2679"/>
      <c r="J52" s="2678"/>
      <c r="K52" s="2678"/>
      <c r="L52" s="2679"/>
      <c r="M52" s="2678"/>
      <c r="N52" s="2678"/>
      <c r="O52" s="2679"/>
      <c r="P52" s="2678"/>
      <c r="Q52" s="2678"/>
      <c r="R52" s="2680"/>
    </row>
    <row r="53" spans="2:18" s="2668" customFormat="1">
      <c r="B53" s="2678"/>
      <c r="C53" s="2678"/>
      <c r="D53" s="2678"/>
      <c r="E53" s="2678"/>
      <c r="F53" s="2678"/>
      <c r="G53" s="2679"/>
      <c r="H53" s="2678"/>
      <c r="I53" s="2679"/>
      <c r="J53" s="2678"/>
      <c r="K53" s="2678"/>
      <c r="L53" s="2679"/>
      <c r="M53" s="2678"/>
      <c r="N53" s="2678"/>
      <c r="O53" s="2679"/>
      <c r="P53" s="2678"/>
      <c r="Q53" s="2678"/>
      <c r="R53" s="2680"/>
    </row>
    <row r="54" spans="2:18" s="2668" customFormat="1">
      <c r="B54" s="2678"/>
      <c r="C54" s="2678"/>
      <c r="D54" s="2678"/>
      <c r="E54" s="2678"/>
      <c r="F54" s="2678"/>
      <c r="G54" s="2679"/>
      <c r="H54" s="2678"/>
      <c r="I54" s="2679"/>
      <c r="J54" s="2678"/>
      <c r="K54" s="2678"/>
      <c r="L54" s="2679"/>
      <c r="M54" s="2678"/>
      <c r="N54" s="2678"/>
      <c r="O54" s="2679"/>
      <c r="P54" s="2678"/>
      <c r="Q54" s="2678"/>
      <c r="R54" s="2680"/>
    </row>
    <row r="55" spans="2:18" s="2668" customFormat="1">
      <c r="B55" s="2678"/>
      <c r="C55" s="2678"/>
      <c r="D55" s="2678"/>
      <c r="E55" s="2678"/>
      <c r="F55" s="2678"/>
      <c r="G55" s="2679"/>
      <c r="H55" s="2678"/>
      <c r="I55" s="2679"/>
      <c r="J55" s="2678"/>
      <c r="K55" s="2678"/>
      <c r="L55" s="2679"/>
      <c r="M55" s="2678"/>
      <c r="N55" s="2678"/>
      <c r="O55" s="2679"/>
      <c r="P55" s="2678"/>
      <c r="Q55" s="2678"/>
      <c r="R55" s="2680"/>
    </row>
    <row r="56" spans="2:18" s="2668" customFormat="1">
      <c r="B56" s="2678"/>
      <c r="C56" s="2678"/>
      <c r="D56" s="2678"/>
      <c r="E56" s="2678"/>
      <c r="F56" s="2678"/>
      <c r="G56" s="2679"/>
      <c r="H56" s="2678"/>
      <c r="I56" s="2679"/>
      <c r="J56" s="2678"/>
      <c r="K56" s="2678"/>
      <c r="L56" s="2679"/>
      <c r="M56" s="2678"/>
      <c r="N56" s="2678"/>
      <c r="O56" s="2679"/>
      <c r="P56" s="2678"/>
      <c r="Q56" s="2678"/>
      <c r="R56" s="2680"/>
    </row>
    <row r="57" spans="2:18" s="2668" customFormat="1">
      <c r="B57" s="2678"/>
      <c r="C57" s="2678"/>
      <c r="D57" s="2678"/>
      <c r="E57" s="2678"/>
      <c r="F57" s="2678"/>
      <c r="G57" s="2679"/>
      <c r="H57" s="2678"/>
      <c r="I57" s="2679"/>
      <c r="J57" s="2678"/>
      <c r="K57" s="2678"/>
      <c r="L57" s="2679"/>
      <c r="M57" s="2678"/>
      <c r="N57" s="2678"/>
      <c r="O57" s="2679"/>
      <c r="P57" s="2678"/>
      <c r="Q57" s="2678"/>
      <c r="R57" s="2680"/>
    </row>
    <row r="58" spans="2:18" s="2668" customFormat="1">
      <c r="B58" s="2678"/>
      <c r="C58" s="2678"/>
      <c r="D58" s="2678"/>
      <c r="E58" s="2678"/>
      <c r="F58" s="2678"/>
      <c r="G58" s="2679"/>
      <c r="H58" s="2678"/>
      <c r="I58" s="2679"/>
      <c r="J58" s="2678"/>
      <c r="K58" s="2678"/>
      <c r="L58" s="2679"/>
      <c r="M58" s="2678"/>
      <c r="N58" s="2678"/>
      <c r="O58" s="2679"/>
      <c r="P58" s="2678"/>
      <c r="Q58" s="2678"/>
      <c r="R58" s="2680"/>
    </row>
    <row r="59" spans="2:18" s="2668" customFormat="1">
      <c r="B59" s="2678"/>
      <c r="C59" s="2678"/>
      <c r="D59" s="2678"/>
      <c r="E59" s="2678"/>
      <c r="F59" s="2678"/>
      <c r="G59" s="2679"/>
      <c r="H59" s="2678"/>
      <c r="I59" s="2679"/>
      <c r="J59" s="2678"/>
      <c r="K59" s="2678"/>
      <c r="L59" s="2679"/>
      <c r="M59" s="2678"/>
      <c r="N59" s="2678"/>
      <c r="O59" s="2679"/>
      <c r="P59" s="2678"/>
      <c r="Q59" s="2678"/>
      <c r="R59" s="2680"/>
    </row>
    <row r="60" spans="2:18" s="2668" customFormat="1">
      <c r="B60" s="2678"/>
      <c r="C60" s="2678"/>
      <c r="D60" s="2678"/>
      <c r="E60" s="2678"/>
      <c r="F60" s="2678"/>
      <c r="G60" s="2679"/>
      <c r="H60" s="2678"/>
      <c r="I60" s="2679"/>
      <c r="J60" s="2678"/>
      <c r="K60" s="2678"/>
      <c r="L60" s="2679"/>
      <c r="M60" s="2678"/>
      <c r="N60" s="2678"/>
      <c r="O60" s="2679"/>
      <c r="P60" s="2678"/>
      <c r="Q60" s="2678"/>
      <c r="R60" s="2680"/>
    </row>
    <row r="61" spans="2:18" s="2668" customFormat="1">
      <c r="B61" s="2678"/>
      <c r="C61" s="2678"/>
      <c r="D61" s="2678"/>
      <c r="E61" s="2678"/>
      <c r="F61" s="2678"/>
      <c r="G61" s="2679"/>
      <c r="H61" s="2678"/>
      <c r="I61" s="2679"/>
      <c r="J61" s="2678"/>
      <c r="K61" s="2678"/>
      <c r="L61" s="2679"/>
      <c r="M61" s="2678"/>
      <c r="N61" s="2678"/>
      <c r="O61" s="2679"/>
      <c r="P61" s="2678"/>
      <c r="Q61" s="2678"/>
      <c r="R61" s="2680"/>
    </row>
    <row r="62" spans="2:18" s="2668" customFormat="1">
      <c r="B62" s="2678"/>
      <c r="C62" s="2678"/>
      <c r="D62" s="2678"/>
      <c r="E62" s="2678"/>
      <c r="F62" s="2678"/>
      <c r="G62" s="2679"/>
      <c r="H62" s="2678"/>
      <c r="I62" s="2679"/>
      <c r="J62" s="2678"/>
      <c r="K62" s="2678"/>
      <c r="L62" s="2679"/>
      <c r="M62" s="2678"/>
      <c r="N62" s="2678"/>
      <c r="O62" s="2679"/>
      <c r="P62" s="2678"/>
      <c r="Q62" s="2678"/>
      <c r="R62" s="2680"/>
    </row>
    <row r="63" spans="2:18" s="2668" customFormat="1">
      <c r="B63" s="2678"/>
      <c r="C63" s="2678"/>
      <c r="D63" s="2678"/>
      <c r="E63" s="2678"/>
      <c r="F63" s="2678"/>
      <c r="G63" s="2679"/>
      <c r="H63" s="2678"/>
      <c r="I63" s="2679"/>
      <c r="J63" s="2678"/>
      <c r="K63" s="2678"/>
      <c r="L63" s="2679"/>
      <c r="M63" s="2678"/>
      <c r="N63" s="2678"/>
      <c r="O63" s="2679"/>
      <c r="P63" s="2678"/>
      <c r="Q63" s="2678"/>
      <c r="R63" s="2680"/>
    </row>
    <row r="64" spans="2:18" s="2668" customFormat="1">
      <c r="B64" s="2678"/>
      <c r="C64" s="2678"/>
      <c r="D64" s="2678"/>
      <c r="E64" s="2678"/>
      <c r="F64" s="2678"/>
      <c r="G64" s="2679"/>
      <c r="H64" s="2678"/>
      <c r="I64" s="2679"/>
      <c r="J64" s="2678"/>
      <c r="K64" s="2678"/>
      <c r="L64" s="2679"/>
      <c r="M64" s="2678"/>
      <c r="N64" s="2678"/>
      <c r="O64" s="2679"/>
      <c r="P64" s="2678"/>
      <c r="Q64" s="2678"/>
      <c r="R64" s="2680"/>
    </row>
    <row r="65" spans="2:18" s="2668" customFormat="1">
      <c r="B65" s="2678"/>
      <c r="C65" s="2678"/>
      <c r="D65" s="2678"/>
      <c r="E65" s="2678"/>
      <c r="F65" s="2678"/>
      <c r="G65" s="2679"/>
      <c r="H65" s="2678"/>
      <c r="I65" s="2679"/>
      <c r="J65" s="2678"/>
      <c r="K65" s="2678"/>
      <c r="L65" s="2679"/>
      <c r="M65" s="2678"/>
      <c r="N65" s="2678"/>
      <c r="O65" s="2679"/>
      <c r="P65" s="2678"/>
      <c r="Q65" s="2678"/>
      <c r="R65" s="2680"/>
    </row>
    <row r="66" spans="2:18" s="2668" customFormat="1">
      <c r="B66" s="2678"/>
      <c r="C66" s="2678"/>
      <c r="D66" s="2678"/>
      <c r="E66" s="2678"/>
      <c r="F66" s="2678"/>
      <c r="G66" s="2679"/>
      <c r="H66" s="2678"/>
      <c r="I66" s="2679"/>
      <c r="J66" s="2678"/>
      <c r="K66" s="2678"/>
      <c r="L66" s="2679"/>
      <c r="M66" s="2678"/>
      <c r="N66" s="2678"/>
      <c r="O66" s="2679"/>
      <c r="P66" s="2678"/>
      <c r="Q66" s="2678"/>
      <c r="R66" s="2680"/>
    </row>
    <row r="67" spans="2:18" s="2668" customFormat="1">
      <c r="B67" s="2678"/>
      <c r="C67" s="2678"/>
      <c r="D67" s="2678"/>
      <c r="E67" s="2678"/>
      <c r="F67" s="2678"/>
      <c r="G67" s="2679"/>
      <c r="H67" s="2678"/>
      <c r="I67" s="2679"/>
      <c r="J67" s="2678"/>
      <c r="K67" s="2678"/>
      <c r="L67" s="2679"/>
      <c r="M67" s="2678"/>
      <c r="N67" s="2678"/>
      <c r="O67" s="2679"/>
      <c r="P67" s="2678"/>
      <c r="Q67" s="2678"/>
      <c r="R67" s="2680"/>
    </row>
    <row r="68" spans="2:18" s="2668" customFormat="1">
      <c r="B68" s="2678"/>
      <c r="C68" s="2678"/>
      <c r="D68" s="2678"/>
      <c r="E68" s="2678"/>
      <c r="F68" s="2678"/>
      <c r="G68" s="2679"/>
      <c r="H68" s="2678"/>
      <c r="I68" s="2679"/>
      <c r="J68" s="2678"/>
      <c r="K68" s="2678"/>
      <c r="L68" s="2679"/>
      <c r="M68" s="2678"/>
      <c r="N68" s="2678"/>
      <c r="O68" s="2679"/>
      <c r="P68" s="2678"/>
      <c r="Q68" s="2678"/>
      <c r="R68" s="2680"/>
    </row>
    <row r="69" spans="2:18" s="2668" customFormat="1">
      <c r="B69" s="2678"/>
      <c r="C69" s="2678"/>
      <c r="D69" s="2678"/>
      <c r="E69" s="2678"/>
      <c r="F69" s="2678"/>
      <c r="G69" s="2679"/>
      <c r="H69" s="2678"/>
      <c r="I69" s="2679"/>
      <c r="J69" s="2678"/>
      <c r="K69" s="2678"/>
      <c r="L69" s="2679"/>
      <c r="M69" s="2678"/>
      <c r="N69" s="2678"/>
      <c r="O69" s="2679"/>
      <c r="P69" s="2678"/>
      <c r="Q69" s="2678"/>
      <c r="R69" s="2680"/>
    </row>
    <row r="70" spans="2:18" s="2668" customFormat="1">
      <c r="B70" s="2678"/>
      <c r="C70" s="2678"/>
      <c r="D70" s="2678"/>
      <c r="E70" s="2678"/>
      <c r="F70" s="2678"/>
      <c r="G70" s="2679"/>
      <c r="H70" s="2678"/>
      <c r="I70" s="2679"/>
      <c r="J70" s="2678"/>
      <c r="K70" s="2678"/>
      <c r="L70" s="2679"/>
      <c r="M70" s="2678"/>
      <c r="N70" s="2678"/>
      <c r="O70" s="2679"/>
      <c r="P70" s="2678"/>
      <c r="Q70" s="2678"/>
      <c r="R70" s="2680"/>
    </row>
    <row r="71" spans="2:18" s="2668" customFormat="1">
      <c r="B71" s="2678"/>
      <c r="C71" s="2678"/>
      <c r="D71" s="2678"/>
      <c r="E71" s="2678"/>
      <c r="F71" s="2678"/>
      <c r="G71" s="2679"/>
      <c r="H71" s="2678"/>
      <c r="I71" s="2679"/>
      <c r="J71" s="2678"/>
      <c r="K71" s="2678"/>
      <c r="L71" s="2679"/>
      <c r="M71" s="2678"/>
      <c r="N71" s="2678"/>
      <c r="O71" s="2679"/>
      <c r="P71" s="2678"/>
      <c r="Q71" s="2678"/>
      <c r="R71" s="2680"/>
    </row>
    <row r="72" spans="2:18" s="2668" customFormat="1">
      <c r="B72" s="2678"/>
      <c r="C72" s="2678"/>
      <c r="D72" s="2678"/>
      <c r="E72" s="2678"/>
      <c r="F72" s="2678"/>
      <c r="G72" s="2679"/>
      <c r="H72" s="2678"/>
      <c r="I72" s="2679"/>
      <c r="J72" s="2678"/>
      <c r="K72" s="2678"/>
      <c r="L72" s="2679"/>
      <c r="M72" s="2678"/>
      <c r="N72" s="2678"/>
      <c r="O72" s="2679"/>
      <c r="P72" s="2678"/>
      <c r="Q72" s="2678"/>
      <c r="R72" s="2680"/>
    </row>
    <row r="73" spans="2:18" s="2668" customFormat="1">
      <c r="B73" s="2678"/>
      <c r="C73" s="2678"/>
      <c r="D73" s="2678"/>
      <c r="E73" s="2678"/>
      <c r="F73" s="2678"/>
      <c r="G73" s="2679"/>
      <c r="H73" s="2678"/>
      <c r="I73" s="2679"/>
      <c r="J73" s="2678"/>
      <c r="K73" s="2678"/>
      <c r="L73" s="2679"/>
      <c r="M73" s="2678"/>
      <c r="N73" s="2678"/>
      <c r="O73" s="2679"/>
      <c r="P73" s="2678"/>
      <c r="Q73" s="2678"/>
      <c r="R73" s="2680"/>
    </row>
    <row r="74" spans="2:18" s="2668" customFormat="1">
      <c r="B74" s="2678"/>
      <c r="C74" s="2678"/>
      <c r="D74" s="2678"/>
      <c r="E74" s="2678"/>
      <c r="F74" s="2678"/>
      <c r="G74" s="2679"/>
      <c r="H74" s="2678"/>
      <c r="I74" s="2679"/>
      <c r="J74" s="2678"/>
      <c r="K74" s="2678"/>
      <c r="L74" s="2679"/>
      <c r="M74" s="2678"/>
      <c r="N74" s="2678"/>
      <c r="O74" s="2679"/>
      <c r="P74" s="2678"/>
      <c r="Q74" s="2678"/>
      <c r="R74" s="2680"/>
    </row>
    <row r="75" spans="2:18" s="2668" customFormat="1">
      <c r="B75" s="2678"/>
      <c r="C75" s="2678"/>
      <c r="D75" s="2678"/>
      <c r="E75" s="2678"/>
      <c r="F75" s="2678"/>
      <c r="G75" s="2679"/>
      <c r="H75" s="2678"/>
      <c r="I75" s="2679"/>
      <c r="J75" s="2678"/>
      <c r="K75" s="2678"/>
      <c r="L75" s="2679"/>
      <c r="M75" s="2678"/>
      <c r="N75" s="2678"/>
      <c r="O75" s="2679"/>
      <c r="P75" s="2678"/>
      <c r="Q75" s="2678"/>
      <c r="R75" s="2680"/>
    </row>
    <row r="76" spans="2:18" s="2668" customFormat="1">
      <c r="B76" s="2678"/>
      <c r="C76" s="2678"/>
      <c r="D76" s="2678"/>
      <c r="E76" s="2678"/>
      <c r="F76" s="2678"/>
      <c r="G76" s="2679"/>
      <c r="H76" s="2678"/>
      <c r="I76" s="2679"/>
      <c r="J76" s="2678"/>
      <c r="K76" s="2678"/>
      <c r="L76" s="2679"/>
      <c r="M76" s="2678"/>
      <c r="N76" s="2678"/>
      <c r="O76" s="2679"/>
      <c r="P76" s="2678"/>
      <c r="Q76" s="2678"/>
      <c r="R76" s="2680"/>
    </row>
    <row r="77" spans="2:18" s="2668" customFormat="1">
      <c r="B77" s="2678"/>
      <c r="C77" s="2678"/>
      <c r="D77" s="2678"/>
      <c r="E77" s="2678"/>
      <c r="F77" s="2678"/>
      <c r="G77" s="2679"/>
      <c r="H77" s="2678"/>
      <c r="I77" s="2679"/>
      <c r="J77" s="2678"/>
      <c r="K77" s="2678"/>
      <c r="L77" s="2679"/>
      <c r="M77" s="2678"/>
      <c r="N77" s="2678"/>
      <c r="O77" s="2679"/>
      <c r="P77" s="2678"/>
      <c r="Q77" s="2678"/>
      <c r="R77" s="2680"/>
    </row>
    <row r="78" spans="2:18" s="2668" customFormat="1">
      <c r="B78" s="2678"/>
      <c r="C78" s="2678"/>
      <c r="D78" s="2678"/>
      <c r="E78" s="2678"/>
      <c r="F78" s="2678"/>
      <c r="G78" s="2679"/>
      <c r="H78" s="2678"/>
      <c r="I78" s="2679"/>
      <c r="J78" s="2678"/>
      <c r="K78" s="2678"/>
      <c r="L78" s="2679"/>
      <c r="M78" s="2678"/>
      <c r="N78" s="2678"/>
      <c r="O78" s="2679"/>
      <c r="P78" s="2678"/>
      <c r="Q78" s="2678"/>
      <c r="R78" s="2680"/>
    </row>
    <row r="79" spans="2:18" s="2668" customFormat="1">
      <c r="B79" s="2678"/>
      <c r="C79" s="2678"/>
      <c r="D79" s="2678"/>
      <c r="E79" s="2678"/>
      <c r="F79" s="2678"/>
      <c r="G79" s="2679"/>
      <c r="H79" s="2678"/>
      <c r="I79" s="2679"/>
      <c r="J79" s="2678"/>
      <c r="K79" s="2678"/>
      <c r="L79" s="2679"/>
      <c r="M79" s="2678"/>
      <c r="N79" s="2678"/>
      <c r="O79" s="2679"/>
      <c r="P79" s="2678"/>
      <c r="Q79" s="2678"/>
      <c r="R79" s="2680"/>
    </row>
    <row r="80" spans="2:18" s="2668" customFormat="1">
      <c r="B80" s="2678"/>
      <c r="C80" s="2678"/>
      <c r="D80" s="2678"/>
      <c r="E80" s="2678"/>
      <c r="F80" s="2678"/>
      <c r="G80" s="2679"/>
      <c r="H80" s="2678"/>
      <c r="I80" s="2679"/>
      <c r="J80" s="2678"/>
      <c r="K80" s="2678"/>
      <c r="L80" s="2679"/>
      <c r="M80" s="2678"/>
      <c r="N80" s="2678"/>
      <c r="O80" s="2679"/>
      <c r="P80" s="2678"/>
      <c r="Q80" s="2678"/>
      <c r="R80" s="2680"/>
    </row>
    <row r="81" spans="2:18" s="2668" customFormat="1">
      <c r="B81" s="2678"/>
      <c r="C81" s="2678"/>
      <c r="D81" s="2678"/>
      <c r="E81" s="2678"/>
      <c r="F81" s="2678"/>
      <c r="G81" s="2679"/>
      <c r="H81" s="2678"/>
      <c r="I81" s="2679"/>
      <c r="J81" s="2678"/>
      <c r="K81" s="2678"/>
      <c r="L81" s="2679"/>
      <c r="M81" s="2678"/>
      <c r="N81" s="2678"/>
      <c r="O81" s="2679"/>
      <c r="P81" s="2678"/>
      <c r="Q81" s="2678"/>
      <c r="R81" s="2680"/>
    </row>
    <row r="82" spans="2:18" s="2668" customFormat="1">
      <c r="B82" s="2678"/>
      <c r="C82" s="2678"/>
      <c r="D82" s="2678"/>
      <c r="E82" s="2678"/>
      <c r="F82" s="2678"/>
      <c r="G82" s="2679"/>
      <c r="H82" s="2678"/>
      <c r="I82" s="2679"/>
      <c r="J82" s="2678"/>
      <c r="K82" s="2678"/>
      <c r="L82" s="2679"/>
      <c r="M82" s="2678"/>
      <c r="N82" s="2678"/>
      <c r="O82" s="2679"/>
      <c r="P82" s="2678"/>
      <c r="Q82" s="2678"/>
      <c r="R82" s="2680"/>
    </row>
    <row r="83" spans="2:18" s="2668" customFormat="1">
      <c r="B83" s="2678"/>
      <c r="C83" s="2678"/>
      <c r="D83" s="2678"/>
      <c r="E83" s="2678"/>
      <c r="F83" s="2678"/>
      <c r="G83" s="2679"/>
      <c r="H83" s="2678"/>
      <c r="I83" s="2679"/>
      <c r="J83" s="2678"/>
      <c r="K83" s="2678"/>
      <c r="L83" s="2679"/>
      <c r="M83" s="2678"/>
      <c r="N83" s="2678"/>
      <c r="O83" s="2679"/>
      <c r="P83" s="2678"/>
      <c r="Q83" s="2678"/>
      <c r="R83" s="2680"/>
    </row>
    <row r="84" spans="2:18" s="2668" customFormat="1">
      <c r="B84" s="2678"/>
      <c r="C84" s="2678"/>
      <c r="D84" s="2678"/>
      <c r="E84" s="2678"/>
      <c r="F84" s="2678"/>
      <c r="G84" s="2679"/>
      <c r="H84" s="2678"/>
      <c r="I84" s="2679"/>
      <c r="J84" s="2678"/>
      <c r="K84" s="2678"/>
      <c r="L84" s="2679"/>
      <c r="M84" s="2678"/>
      <c r="N84" s="2678"/>
      <c r="O84" s="2679"/>
      <c r="P84" s="2678"/>
      <c r="Q84" s="2678"/>
      <c r="R84" s="2680"/>
    </row>
    <row r="85" spans="2:18" s="2668" customFormat="1">
      <c r="B85" s="2678"/>
      <c r="C85" s="2678"/>
      <c r="D85" s="2678"/>
      <c r="E85" s="2678"/>
      <c r="F85" s="2678"/>
      <c r="G85" s="2679"/>
      <c r="H85" s="2678"/>
      <c r="I85" s="2679"/>
      <c r="J85" s="2678"/>
      <c r="K85" s="2678"/>
      <c r="L85" s="2679"/>
      <c r="M85" s="2678"/>
      <c r="N85" s="2678"/>
      <c r="O85" s="2679"/>
      <c r="P85" s="2678"/>
      <c r="Q85" s="2678"/>
      <c r="R85" s="2680"/>
    </row>
    <row r="86" spans="2:18" s="2668" customFormat="1">
      <c r="B86" s="2678"/>
      <c r="C86" s="2678"/>
      <c r="D86" s="2678"/>
      <c r="E86" s="2678"/>
      <c r="F86" s="2678"/>
      <c r="G86" s="2679"/>
      <c r="H86" s="2678"/>
      <c r="I86" s="2679"/>
      <c r="J86" s="2678"/>
      <c r="K86" s="2678"/>
      <c r="L86" s="2679"/>
      <c r="M86" s="2678"/>
      <c r="N86" s="2678"/>
      <c r="O86" s="2679"/>
      <c r="P86" s="2678"/>
      <c r="Q86" s="2678"/>
      <c r="R86" s="2680"/>
    </row>
    <row r="87" spans="2:18" s="2668" customFormat="1">
      <c r="B87" s="2678"/>
      <c r="C87" s="2678"/>
      <c r="D87" s="2678"/>
      <c r="E87" s="2678"/>
      <c r="F87" s="2678"/>
      <c r="G87" s="2679"/>
      <c r="H87" s="2678"/>
      <c r="I87" s="2679"/>
      <c r="J87" s="2678"/>
      <c r="K87" s="2678"/>
      <c r="L87" s="2679"/>
      <c r="M87" s="2678"/>
      <c r="N87" s="2678"/>
      <c r="O87" s="2679"/>
      <c r="P87" s="2678"/>
      <c r="Q87" s="2678"/>
      <c r="R87" s="2680"/>
    </row>
    <row r="88" spans="2:18" s="2668" customFormat="1">
      <c r="B88" s="2678"/>
      <c r="C88" s="2678"/>
      <c r="D88" s="2678"/>
      <c r="E88" s="2678"/>
      <c r="F88" s="2678"/>
      <c r="G88" s="2679"/>
      <c r="H88" s="2678"/>
      <c r="I88" s="2679"/>
      <c r="J88" s="2678"/>
      <c r="K88" s="2678"/>
      <c r="L88" s="2679"/>
      <c r="M88" s="2678"/>
      <c r="N88" s="2678"/>
      <c r="O88" s="2679"/>
      <c r="P88" s="2678"/>
      <c r="Q88" s="2678"/>
      <c r="R88" s="2680"/>
    </row>
    <row r="89" spans="2:18" s="2668" customFormat="1">
      <c r="B89" s="2678"/>
      <c r="C89" s="2678"/>
      <c r="D89" s="2678"/>
      <c r="E89" s="2678"/>
      <c r="F89" s="2678"/>
      <c r="G89" s="2679"/>
      <c r="H89" s="2678"/>
      <c r="I89" s="2679"/>
      <c r="J89" s="2678"/>
      <c r="K89" s="2678"/>
      <c r="L89" s="2679"/>
      <c r="M89" s="2678"/>
      <c r="N89" s="2678"/>
      <c r="O89" s="2679"/>
      <c r="P89" s="2678"/>
      <c r="Q89" s="2678"/>
      <c r="R89" s="2680"/>
    </row>
    <row r="90" spans="2:18" s="2668" customFormat="1">
      <c r="B90" s="2678"/>
      <c r="C90" s="2678"/>
      <c r="D90" s="2678"/>
      <c r="E90" s="2678"/>
      <c r="F90" s="2678"/>
      <c r="G90" s="2679"/>
      <c r="H90" s="2678"/>
      <c r="I90" s="2679"/>
      <c r="J90" s="2678"/>
      <c r="K90" s="2678"/>
      <c r="L90" s="2679"/>
      <c r="M90" s="2678"/>
      <c r="N90" s="2678"/>
      <c r="O90" s="2679"/>
      <c r="P90" s="2678"/>
      <c r="Q90" s="2678"/>
      <c r="R90" s="2680"/>
    </row>
    <row r="91" spans="2:18" s="2668" customFormat="1">
      <c r="B91" s="2678"/>
      <c r="C91" s="2678"/>
      <c r="D91" s="2678"/>
      <c r="E91" s="2678"/>
      <c r="F91" s="2678"/>
      <c r="G91" s="2679"/>
      <c r="H91" s="2678"/>
      <c r="I91" s="2679"/>
      <c r="J91" s="2678"/>
      <c r="K91" s="2678"/>
      <c r="L91" s="2679"/>
      <c r="M91" s="2678"/>
      <c r="N91" s="2678"/>
      <c r="O91" s="2679"/>
      <c r="P91" s="2678"/>
      <c r="Q91" s="2678"/>
      <c r="R91" s="2680"/>
    </row>
    <row r="92" spans="2:18" s="2668" customFormat="1">
      <c r="B92" s="2678"/>
      <c r="C92" s="2678"/>
      <c r="D92" s="2678"/>
      <c r="E92" s="2678"/>
      <c r="F92" s="2678"/>
      <c r="G92" s="2679"/>
      <c r="H92" s="2678"/>
      <c r="I92" s="2679"/>
      <c r="J92" s="2678"/>
      <c r="K92" s="2678"/>
      <c r="L92" s="2679"/>
      <c r="M92" s="2678"/>
      <c r="N92" s="2678"/>
      <c r="O92" s="2679"/>
      <c r="P92" s="2678"/>
      <c r="Q92" s="2678"/>
      <c r="R92" s="2680"/>
    </row>
    <row r="93" spans="2:18" s="2668" customFormat="1">
      <c r="B93" s="2678"/>
      <c r="C93" s="2678"/>
      <c r="D93" s="2678"/>
      <c r="E93" s="2678"/>
      <c r="F93" s="2678"/>
      <c r="G93" s="2679"/>
      <c r="H93" s="2678"/>
      <c r="I93" s="2679"/>
      <c r="J93" s="2678"/>
      <c r="K93" s="2678"/>
      <c r="L93" s="2679"/>
      <c r="M93" s="2678"/>
      <c r="N93" s="2678"/>
      <c r="O93" s="2679"/>
      <c r="P93" s="2678"/>
      <c r="Q93" s="2678"/>
      <c r="R93" s="2680"/>
    </row>
    <row r="94" spans="2:18" s="2668" customFormat="1">
      <c r="B94" s="2678"/>
      <c r="C94" s="2678"/>
      <c r="D94" s="2678"/>
      <c r="E94" s="2678"/>
      <c r="F94" s="2678"/>
      <c r="G94" s="2679"/>
      <c r="H94" s="2678"/>
      <c r="I94" s="2679"/>
      <c r="J94" s="2678"/>
      <c r="K94" s="2678"/>
      <c r="L94" s="2679"/>
      <c r="M94" s="2678"/>
      <c r="N94" s="2678"/>
      <c r="O94" s="2679"/>
      <c r="P94" s="2678"/>
      <c r="Q94" s="2678"/>
      <c r="R94" s="2680"/>
    </row>
    <row r="95" spans="2:18" s="2668" customFormat="1">
      <c r="B95" s="2678"/>
      <c r="C95" s="2678"/>
      <c r="D95" s="2678"/>
      <c r="E95" s="2678"/>
      <c r="F95" s="2678"/>
      <c r="G95" s="2679"/>
      <c r="H95" s="2678"/>
      <c r="I95" s="2679"/>
      <c r="J95" s="2678"/>
      <c r="K95" s="2678"/>
      <c r="L95" s="2679"/>
      <c r="M95" s="2678"/>
      <c r="N95" s="2678"/>
      <c r="O95" s="2679"/>
      <c r="P95" s="2678"/>
      <c r="Q95" s="2678"/>
      <c r="R95" s="2680"/>
    </row>
    <row r="96" spans="2:18" s="2668" customFormat="1">
      <c r="B96" s="2678"/>
      <c r="C96" s="2678"/>
      <c r="D96" s="2678"/>
      <c r="E96" s="2678"/>
      <c r="F96" s="2678"/>
      <c r="G96" s="2679"/>
      <c r="H96" s="2678"/>
      <c r="I96" s="2679"/>
      <c r="J96" s="2678"/>
      <c r="K96" s="2678"/>
      <c r="L96" s="2679"/>
      <c r="M96" s="2678"/>
      <c r="N96" s="2678"/>
      <c r="O96" s="2679"/>
      <c r="P96" s="2678"/>
      <c r="Q96" s="2678"/>
      <c r="R96" s="2680"/>
    </row>
    <row r="97" spans="2:18" s="2668" customFormat="1">
      <c r="B97" s="2678"/>
      <c r="C97" s="2678"/>
      <c r="D97" s="2678"/>
      <c r="E97" s="2678"/>
      <c r="F97" s="2678"/>
      <c r="G97" s="2679"/>
      <c r="H97" s="2678"/>
      <c r="I97" s="2679"/>
      <c r="J97" s="2678"/>
      <c r="K97" s="2678"/>
      <c r="L97" s="2679"/>
      <c r="M97" s="2678"/>
      <c r="N97" s="2678"/>
      <c r="O97" s="2679"/>
      <c r="P97" s="2678"/>
      <c r="Q97" s="2678"/>
      <c r="R97" s="2680"/>
    </row>
    <row r="98" spans="2:18" s="2668" customFormat="1">
      <c r="B98" s="2678"/>
      <c r="C98" s="2678"/>
      <c r="D98" s="2678"/>
      <c r="E98" s="2678"/>
      <c r="F98" s="2678"/>
      <c r="G98" s="2679"/>
      <c r="H98" s="2678"/>
      <c r="I98" s="2679"/>
      <c r="J98" s="2678"/>
      <c r="K98" s="2678"/>
      <c r="L98" s="2679"/>
      <c r="M98" s="2678"/>
      <c r="N98" s="2678"/>
      <c r="O98" s="2679"/>
      <c r="P98" s="2678"/>
      <c r="Q98" s="2678"/>
      <c r="R98" s="2680"/>
    </row>
    <row r="99" spans="2:18" s="2668" customFormat="1">
      <c r="B99" s="2678"/>
      <c r="C99" s="2678"/>
      <c r="D99" s="2678"/>
      <c r="E99" s="2678"/>
      <c r="F99" s="2678"/>
      <c r="G99" s="2679"/>
      <c r="H99" s="2678"/>
      <c r="I99" s="2679"/>
      <c r="J99" s="2678"/>
      <c r="K99" s="2678"/>
      <c r="L99" s="2679"/>
      <c r="M99" s="2678"/>
      <c r="N99" s="2678"/>
      <c r="O99" s="2679"/>
      <c r="P99" s="2678"/>
      <c r="Q99" s="2678"/>
      <c r="R99" s="2680"/>
    </row>
    <row r="100" spans="2:18" s="2668" customFormat="1">
      <c r="B100" s="2678"/>
      <c r="C100" s="2678"/>
      <c r="D100" s="2678"/>
      <c r="E100" s="2678"/>
      <c r="F100" s="2678"/>
      <c r="G100" s="2679"/>
      <c r="H100" s="2678"/>
      <c r="I100" s="2679"/>
      <c r="J100" s="2678"/>
      <c r="K100" s="2678"/>
      <c r="L100" s="2679"/>
      <c r="M100" s="2678"/>
      <c r="N100" s="2678"/>
      <c r="O100" s="2679"/>
      <c r="P100" s="2678"/>
      <c r="Q100" s="2678"/>
      <c r="R100" s="2680"/>
    </row>
    <row r="101" spans="2:18" s="2668" customFormat="1">
      <c r="B101" s="2678"/>
      <c r="C101" s="2678"/>
      <c r="D101" s="2678"/>
      <c r="E101" s="2678"/>
      <c r="F101" s="2678"/>
      <c r="G101" s="2679"/>
      <c r="H101" s="2678"/>
      <c r="I101" s="2679"/>
      <c r="J101" s="2678"/>
      <c r="K101" s="2678"/>
      <c r="L101" s="2679"/>
      <c r="M101" s="2678"/>
      <c r="N101" s="2678"/>
      <c r="O101" s="2679"/>
      <c r="P101" s="2678"/>
      <c r="Q101" s="2678"/>
      <c r="R101" s="2680"/>
    </row>
    <row r="102" spans="2:18" s="2668" customFormat="1">
      <c r="B102" s="2678"/>
      <c r="C102" s="2678"/>
      <c r="D102" s="2678"/>
      <c r="E102" s="2678"/>
      <c r="F102" s="2678"/>
      <c r="G102" s="2679"/>
      <c r="H102" s="2678"/>
      <c r="I102" s="2679"/>
      <c r="J102" s="2678"/>
      <c r="K102" s="2678"/>
      <c r="L102" s="2679"/>
      <c r="M102" s="2678"/>
      <c r="N102" s="2678"/>
      <c r="O102" s="2679"/>
      <c r="P102" s="2678"/>
      <c r="Q102" s="2678"/>
      <c r="R102" s="2680"/>
    </row>
    <row r="103" spans="2:18" s="2668" customFormat="1">
      <c r="B103" s="2678"/>
      <c r="C103" s="2678"/>
      <c r="D103" s="2678"/>
      <c r="E103" s="2678"/>
      <c r="F103" s="2678"/>
      <c r="G103" s="2679"/>
      <c r="H103" s="2678"/>
      <c r="I103" s="2679"/>
      <c r="J103" s="2678"/>
      <c r="K103" s="2678"/>
      <c r="L103" s="2679"/>
      <c r="M103" s="2678"/>
      <c r="N103" s="2678"/>
      <c r="O103" s="2679"/>
      <c r="P103" s="2678"/>
      <c r="Q103" s="2678"/>
      <c r="R103" s="2680"/>
    </row>
    <row r="104" spans="2:18" s="2668" customFormat="1">
      <c r="B104" s="2678"/>
      <c r="C104" s="2678"/>
      <c r="D104" s="2678"/>
      <c r="E104" s="2678"/>
      <c r="F104" s="2678"/>
      <c r="G104" s="2679"/>
      <c r="H104" s="2678"/>
      <c r="I104" s="2679"/>
      <c r="J104" s="2678"/>
      <c r="K104" s="2678"/>
      <c r="L104" s="2679"/>
      <c r="M104" s="2678"/>
      <c r="N104" s="2678"/>
      <c r="O104" s="2679"/>
      <c r="P104" s="2678"/>
      <c r="Q104" s="2678"/>
      <c r="R104" s="2680"/>
    </row>
    <row r="105" spans="2:18" s="2668" customFormat="1">
      <c r="B105" s="2678"/>
      <c r="C105" s="2678"/>
      <c r="D105" s="2678"/>
      <c r="E105" s="2678"/>
      <c r="F105" s="2678"/>
      <c r="G105" s="2679"/>
      <c r="H105" s="2678"/>
      <c r="I105" s="2679"/>
      <c r="J105" s="2678"/>
      <c r="K105" s="2678"/>
      <c r="L105" s="2679"/>
      <c r="M105" s="2678"/>
      <c r="N105" s="2678"/>
      <c r="O105" s="2679"/>
      <c r="P105" s="2678"/>
      <c r="Q105" s="2678"/>
      <c r="R105" s="2680"/>
    </row>
    <row r="106" spans="2:18" s="2668" customFormat="1">
      <c r="B106" s="2678"/>
      <c r="C106" s="2678"/>
      <c r="D106" s="2678"/>
      <c r="E106" s="2678"/>
      <c r="F106" s="2678"/>
      <c r="G106" s="2679"/>
      <c r="H106" s="2678"/>
      <c r="I106" s="2679"/>
      <c r="J106" s="2678"/>
      <c r="K106" s="2678"/>
      <c r="L106" s="2679"/>
      <c r="M106" s="2678"/>
      <c r="N106" s="2678"/>
      <c r="O106" s="2679"/>
      <c r="P106" s="2678"/>
      <c r="Q106" s="2678"/>
      <c r="R106" s="2680"/>
    </row>
    <row r="107" spans="2:18" s="2668" customFormat="1">
      <c r="B107" s="2678"/>
      <c r="C107" s="2678"/>
      <c r="D107" s="2678"/>
      <c r="E107" s="2678"/>
      <c r="F107" s="2678"/>
      <c r="G107" s="2679"/>
      <c r="H107" s="2678"/>
      <c r="I107" s="2679"/>
      <c r="J107" s="2678"/>
      <c r="K107" s="2678"/>
      <c r="L107" s="2679"/>
      <c r="M107" s="2678"/>
      <c r="N107" s="2678"/>
      <c r="O107" s="2679"/>
      <c r="P107" s="2678"/>
      <c r="Q107" s="2678"/>
      <c r="R107" s="2680"/>
    </row>
    <row r="108" spans="2:18" s="2668" customFormat="1">
      <c r="B108" s="2678"/>
      <c r="C108" s="2678"/>
      <c r="D108" s="2678"/>
      <c r="E108" s="2678"/>
      <c r="F108" s="2678"/>
      <c r="G108" s="2679"/>
      <c r="H108" s="2678"/>
      <c r="I108" s="2679"/>
      <c r="J108" s="2678"/>
      <c r="K108" s="2678"/>
      <c r="L108" s="2679"/>
      <c r="M108" s="2678"/>
      <c r="N108" s="2678"/>
      <c r="O108" s="2679"/>
      <c r="P108" s="2678"/>
      <c r="Q108" s="2678"/>
      <c r="R108" s="2680"/>
    </row>
    <row r="109" spans="2:18" s="2668" customFormat="1">
      <c r="B109" s="2678"/>
      <c r="C109" s="2678"/>
      <c r="D109" s="2678"/>
      <c r="E109" s="2678"/>
      <c r="F109" s="2678"/>
      <c r="G109" s="2679"/>
      <c r="H109" s="2678"/>
      <c r="I109" s="2679"/>
      <c r="J109" s="2678"/>
      <c r="K109" s="2678"/>
      <c r="L109" s="2679"/>
      <c r="M109" s="2678"/>
      <c r="N109" s="2678"/>
      <c r="O109" s="2679"/>
      <c r="P109" s="2678"/>
      <c r="Q109" s="2678"/>
      <c r="R109" s="2680"/>
    </row>
    <row r="110" spans="2:18" s="2668" customFormat="1">
      <c r="B110" s="2678"/>
      <c r="C110" s="2678"/>
      <c r="D110" s="2678"/>
      <c r="E110" s="2678"/>
      <c r="F110" s="2678"/>
      <c r="G110" s="2679"/>
      <c r="H110" s="2678"/>
      <c r="I110" s="2679"/>
      <c r="J110" s="2678"/>
      <c r="K110" s="2678"/>
      <c r="L110" s="2679"/>
      <c r="M110" s="2678"/>
      <c r="N110" s="2678"/>
      <c r="O110" s="2679"/>
      <c r="P110" s="2678"/>
      <c r="Q110" s="2678"/>
      <c r="R110" s="2680"/>
    </row>
    <row r="111" spans="2:18" s="2668" customFormat="1">
      <c r="B111" s="2678"/>
      <c r="C111" s="2678"/>
      <c r="D111" s="2678"/>
      <c r="E111" s="2678"/>
      <c r="F111" s="2678"/>
      <c r="G111" s="2679"/>
      <c r="H111" s="2678"/>
      <c r="I111" s="2679"/>
      <c r="J111" s="2678"/>
      <c r="K111" s="2678"/>
      <c r="L111" s="2679"/>
      <c r="M111" s="2678"/>
      <c r="N111" s="2678"/>
      <c r="O111" s="2679"/>
      <c r="P111" s="2678"/>
      <c r="Q111" s="2678"/>
      <c r="R111" s="2680"/>
    </row>
    <row r="112" spans="2:18" s="2668" customFormat="1">
      <c r="B112" s="2678"/>
      <c r="C112" s="2678"/>
      <c r="D112" s="2678"/>
      <c r="E112" s="2678"/>
      <c r="F112" s="2678"/>
      <c r="G112" s="2679"/>
      <c r="H112" s="2678"/>
      <c r="I112" s="2679"/>
      <c r="J112" s="2678"/>
      <c r="K112" s="2678"/>
      <c r="L112" s="2679"/>
      <c r="M112" s="2678"/>
      <c r="N112" s="2678"/>
      <c r="O112" s="2679"/>
      <c r="P112" s="2678"/>
      <c r="Q112" s="2678"/>
      <c r="R112" s="2680"/>
    </row>
    <row r="113" spans="2:18" s="2668" customFormat="1">
      <c r="B113" s="2678"/>
      <c r="C113" s="2678"/>
      <c r="D113" s="2678"/>
      <c r="E113" s="2678"/>
      <c r="F113" s="2678"/>
      <c r="G113" s="2679"/>
      <c r="H113" s="2678"/>
      <c r="I113" s="2679"/>
      <c r="J113" s="2678"/>
      <c r="K113" s="2678"/>
      <c r="L113" s="2679"/>
      <c r="M113" s="2678"/>
      <c r="N113" s="2678"/>
      <c r="O113" s="2679"/>
      <c r="P113" s="2678"/>
      <c r="Q113" s="2678"/>
      <c r="R113" s="2680"/>
    </row>
    <row r="114" spans="2:18" s="2668" customFormat="1">
      <c r="B114" s="2678"/>
      <c r="C114" s="2678"/>
      <c r="D114" s="2678"/>
      <c r="E114" s="2678"/>
      <c r="F114" s="2678"/>
      <c r="G114" s="2679"/>
      <c r="H114" s="2678"/>
      <c r="I114" s="2679"/>
      <c r="J114" s="2678"/>
      <c r="K114" s="2678"/>
      <c r="L114" s="2679"/>
      <c r="M114" s="2678"/>
      <c r="N114" s="2678"/>
      <c r="O114" s="2679"/>
      <c r="P114" s="2678"/>
      <c r="Q114" s="2678"/>
      <c r="R114" s="2680"/>
    </row>
    <row r="115" spans="2:18" s="2668" customFormat="1">
      <c r="B115" s="2678"/>
      <c r="C115" s="2678"/>
      <c r="D115" s="2678"/>
      <c r="E115" s="2678"/>
      <c r="F115" s="2678"/>
      <c r="G115" s="2679"/>
      <c r="H115" s="2678"/>
      <c r="I115" s="2679"/>
      <c r="J115" s="2678"/>
      <c r="K115" s="2678"/>
      <c r="L115" s="2679"/>
      <c r="M115" s="2678"/>
      <c r="N115" s="2678"/>
      <c r="O115" s="2679"/>
      <c r="P115" s="2678"/>
      <c r="Q115" s="2678"/>
      <c r="R115" s="2680"/>
    </row>
    <row r="116" spans="2:18" s="2668" customFormat="1">
      <c r="B116" s="2678"/>
      <c r="C116" s="2678"/>
      <c r="D116" s="2678"/>
      <c r="E116" s="2678"/>
      <c r="F116" s="2678"/>
      <c r="G116" s="2679"/>
      <c r="H116" s="2678"/>
      <c r="I116" s="2679"/>
      <c r="J116" s="2678"/>
      <c r="K116" s="2678"/>
      <c r="L116" s="2679"/>
      <c r="M116" s="2678"/>
      <c r="N116" s="2678"/>
      <c r="O116" s="2679"/>
      <c r="P116" s="2678"/>
      <c r="Q116" s="2678"/>
      <c r="R116" s="2680"/>
    </row>
    <row r="117" spans="2:18" s="2668" customFormat="1">
      <c r="B117" s="2678"/>
      <c r="C117" s="2678"/>
      <c r="D117" s="2678"/>
      <c r="E117" s="2678"/>
      <c r="F117" s="2678"/>
      <c r="G117" s="2679"/>
      <c r="H117" s="2678"/>
      <c r="I117" s="2679"/>
      <c r="J117" s="2678"/>
      <c r="K117" s="2678"/>
      <c r="L117" s="2679"/>
      <c r="M117" s="2678"/>
      <c r="N117" s="2678"/>
      <c r="O117" s="2679"/>
      <c r="P117" s="2678"/>
      <c r="Q117" s="2678"/>
      <c r="R117" s="2680"/>
    </row>
    <row r="118" spans="2:18" s="2668" customFormat="1">
      <c r="B118" s="2678"/>
      <c r="C118" s="2678"/>
      <c r="D118" s="2678"/>
      <c r="E118" s="2678"/>
      <c r="F118" s="2678"/>
      <c r="G118" s="2679"/>
      <c r="H118" s="2678"/>
      <c r="I118" s="2679"/>
      <c r="J118" s="2678"/>
      <c r="K118" s="2678"/>
      <c r="L118" s="2679"/>
      <c r="M118" s="2678"/>
      <c r="N118" s="2678"/>
      <c r="O118" s="2679"/>
      <c r="P118" s="2678"/>
      <c r="Q118" s="2678"/>
      <c r="R118" s="2680"/>
    </row>
    <row r="119" spans="2:18" s="2668" customFormat="1">
      <c r="B119" s="2678"/>
      <c r="C119" s="2678"/>
      <c r="D119" s="2678"/>
      <c r="E119" s="2678"/>
      <c r="F119" s="2678"/>
      <c r="G119" s="2679"/>
      <c r="H119" s="2678"/>
      <c r="I119" s="2679"/>
      <c r="J119" s="2678"/>
      <c r="K119" s="2678"/>
      <c r="L119" s="2679"/>
      <c r="M119" s="2678"/>
      <c r="N119" s="2678"/>
      <c r="O119" s="2679"/>
      <c r="P119" s="2678"/>
      <c r="Q119" s="2678"/>
      <c r="R119" s="2680"/>
    </row>
    <row r="120" spans="2:18" s="2668" customFormat="1">
      <c r="B120" s="2678"/>
      <c r="C120" s="2678"/>
      <c r="D120" s="2678"/>
      <c r="E120" s="2678"/>
      <c r="F120" s="2678"/>
      <c r="G120" s="2679"/>
      <c r="H120" s="2678"/>
      <c r="I120" s="2679"/>
      <c r="J120" s="2678"/>
      <c r="K120" s="2678"/>
      <c r="L120" s="2679"/>
      <c r="M120" s="2678"/>
      <c r="N120" s="2678"/>
      <c r="O120" s="2679"/>
      <c r="P120" s="2678"/>
      <c r="Q120" s="2678"/>
      <c r="R120" s="2680"/>
    </row>
    <row r="121" spans="2:18" s="2668" customFormat="1">
      <c r="B121" s="2678"/>
      <c r="C121" s="2678"/>
      <c r="D121" s="2678"/>
      <c r="E121" s="2678"/>
      <c r="F121" s="2678"/>
      <c r="G121" s="2679"/>
      <c r="H121" s="2678"/>
      <c r="I121" s="2679"/>
      <c r="J121" s="2678"/>
      <c r="K121" s="2678"/>
      <c r="L121" s="2679"/>
      <c r="M121" s="2678"/>
      <c r="N121" s="2678"/>
      <c r="O121" s="2679"/>
      <c r="P121" s="2678"/>
      <c r="Q121" s="2678"/>
      <c r="R121" s="2680"/>
    </row>
    <row r="122" spans="2:18" s="2668" customFormat="1">
      <c r="B122" s="2678"/>
      <c r="C122" s="2678"/>
      <c r="D122" s="2678"/>
      <c r="E122" s="2678"/>
      <c r="F122" s="2678"/>
      <c r="G122" s="2679"/>
      <c r="H122" s="2678"/>
      <c r="I122" s="2679"/>
      <c r="J122" s="2678"/>
      <c r="K122" s="2678"/>
      <c r="L122" s="2679"/>
      <c r="M122" s="2678"/>
      <c r="N122" s="2678"/>
      <c r="O122" s="2679"/>
      <c r="P122" s="2678"/>
      <c r="Q122" s="2678"/>
      <c r="R122" s="2680"/>
    </row>
    <row r="123" spans="2:18" s="2668" customFormat="1">
      <c r="B123" s="2678"/>
      <c r="C123" s="2678"/>
      <c r="D123" s="2678"/>
      <c r="E123" s="2678"/>
      <c r="F123" s="2678"/>
      <c r="G123" s="2679"/>
      <c r="H123" s="2678"/>
      <c r="I123" s="2679"/>
      <c r="J123" s="2678"/>
      <c r="K123" s="2678"/>
      <c r="L123" s="2679"/>
      <c r="M123" s="2678"/>
      <c r="N123" s="2678"/>
      <c r="O123" s="2679"/>
      <c r="P123" s="2678"/>
      <c r="Q123" s="2678"/>
      <c r="R123" s="2680"/>
    </row>
    <row r="124" spans="2:18" s="2668" customFormat="1">
      <c r="B124" s="2678"/>
      <c r="C124" s="2678"/>
      <c r="D124" s="2678"/>
      <c r="E124" s="2678"/>
      <c r="F124" s="2678"/>
      <c r="G124" s="2679"/>
      <c r="H124" s="2678"/>
      <c r="I124" s="2679"/>
      <c r="J124" s="2678"/>
      <c r="K124" s="2678"/>
      <c r="L124" s="2679"/>
      <c r="M124" s="2678"/>
      <c r="N124" s="2678"/>
      <c r="O124" s="2679"/>
      <c r="P124" s="2678"/>
      <c r="Q124" s="2678"/>
      <c r="R124" s="2680"/>
    </row>
    <row r="125" spans="2:18" s="2668" customFormat="1">
      <c r="B125" s="2678"/>
      <c r="C125" s="2678"/>
      <c r="D125" s="2678"/>
      <c r="E125" s="2678"/>
      <c r="F125" s="2678"/>
      <c r="G125" s="2679"/>
      <c r="H125" s="2678"/>
      <c r="I125" s="2679"/>
      <c r="J125" s="2678"/>
      <c r="K125" s="2678"/>
      <c r="L125" s="2679"/>
      <c r="M125" s="2678"/>
      <c r="N125" s="2678"/>
      <c r="O125" s="2679"/>
      <c r="P125" s="2678"/>
      <c r="Q125" s="2678"/>
      <c r="R125" s="2680"/>
    </row>
    <row r="126" spans="2:18" s="2668" customFormat="1">
      <c r="B126" s="2678"/>
      <c r="C126" s="2678"/>
      <c r="D126" s="2678"/>
      <c r="E126" s="2678"/>
      <c r="F126" s="2678"/>
      <c r="G126" s="2679"/>
      <c r="H126" s="2678"/>
      <c r="I126" s="2679"/>
      <c r="J126" s="2678"/>
      <c r="K126" s="2678"/>
      <c r="L126" s="2679"/>
      <c r="M126" s="2678"/>
      <c r="N126" s="2678"/>
      <c r="O126" s="2679"/>
      <c r="P126" s="2678"/>
      <c r="Q126" s="2678"/>
      <c r="R126" s="2680"/>
    </row>
    <row r="127" spans="2:18" s="2668" customFormat="1">
      <c r="B127" s="2678"/>
      <c r="C127" s="2678"/>
      <c r="D127" s="2678"/>
      <c r="E127" s="2678"/>
      <c r="F127" s="2678"/>
      <c r="G127" s="2679"/>
      <c r="H127" s="2678"/>
      <c r="I127" s="2679"/>
      <c r="J127" s="2678"/>
      <c r="K127" s="2678"/>
      <c r="L127" s="2679"/>
      <c r="M127" s="2678"/>
      <c r="N127" s="2678"/>
      <c r="O127" s="2679"/>
      <c r="P127" s="2678"/>
      <c r="Q127" s="2678"/>
      <c r="R127" s="2680"/>
    </row>
    <row r="128" spans="2:18" s="2668" customFormat="1">
      <c r="B128" s="2678"/>
      <c r="C128" s="2678"/>
      <c r="D128" s="2678"/>
      <c r="E128" s="2678"/>
      <c r="F128" s="2678"/>
      <c r="G128" s="2679"/>
      <c r="H128" s="2678"/>
      <c r="I128" s="2679"/>
      <c r="J128" s="2678"/>
      <c r="K128" s="2678"/>
      <c r="L128" s="2679"/>
      <c r="M128" s="2678"/>
      <c r="N128" s="2678"/>
      <c r="O128" s="2679"/>
      <c r="P128" s="2678"/>
      <c r="Q128" s="2678"/>
      <c r="R128" s="2680"/>
    </row>
    <row r="129" spans="2:18" s="2668" customFormat="1">
      <c r="B129" s="2678"/>
      <c r="C129" s="2678"/>
      <c r="D129" s="2678"/>
      <c r="E129" s="2678"/>
      <c r="F129" s="2678"/>
      <c r="G129" s="2679"/>
      <c r="H129" s="2678"/>
      <c r="I129" s="2679"/>
      <c r="J129" s="2678"/>
      <c r="K129" s="2678"/>
      <c r="L129" s="2679"/>
      <c r="M129" s="2678"/>
      <c r="N129" s="2678"/>
      <c r="O129" s="2679"/>
      <c r="P129" s="2678"/>
      <c r="Q129" s="2678"/>
      <c r="R129" s="2680"/>
    </row>
    <row r="130" spans="2:18" s="2668" customFormat="1">
      <c r="B130" s="2678"/>
      <c r="C130" s="2678"/>
      <c r="D130" s="2678"/>
      <c r="E130" s="2678"/>
      <c r="F130" s="2678"/>
      <c r="G130" s="2679"/>
      <c r="H130" s="2678"/>
      <c r="I130" s="2679"/>
      <c r="J130" s="2678"/>
      <c r="K130" s="2678"/>
      <c r="L130" s="2679"/>
      <c r="M130" s="2678"/>
      <c r="N130" s="2678"/>
      <c r="O130" s="2679"/>
      <c r="P130" s="2678"/>
      <c r="Q130" s="2678"/>
      <c r="R130" s="2680"/>
    </row>
    <row r="131" spans="2:18" s="2668" customFormat="1">
      <c r="B131" s="2678"/>
      <c r="C131" s="2678"/>
      <c r="D131" s="2678"/>
      <c r="E131" s="2678"/>
      <c r="F131" s="2678"/>
      <c r="G131" s="2679"/>
      <c r="H131" s="2678"/>
      <c r="I131" s="2679"/>
      <c r="J131" s="2678"/>
      <c r="K131" s="2678"/>
      <c r="L131" s="2679"/>
      <c r="M131" s="2678"/>
      <c r="N131" s="2678"/>
      <c r="O131" s="2679"/>
      <c r="P131" s="2678"/>
      <c r="Q131" s="2678"/>
      <c r="R131" s="2680"/>
    </row>
    <row r="132" spans="2:18" s="2668" customFormat="1">
      <c r="B132" s="2678"/>
      <c r="C132" s="2678"/>
      <c r="D132" s="2678"/>
      <c r="E132" s="2678"/>
      <c r="F132" s="2678"/>
      <c r="G132" s="2679"/>
      <c r="H132" s="2678"/>
      <c r="I132" s="2679"/>
      <c r="J132" s="2678"/>
      <c r="K132" s="2678"/>
      <c r="L132" s="2679"/>
      <c r="M132" s="2678"/>
      <c r="N132" s="2678"/>
      <c r="O132" s="2679"/>
      <c r="P132" s="2678"/>
      <c r="Q132" s="2678"/>
      <c r="R132" s="2680"/>
    </row>
    <row r="133" spans="2:18" s="2668" customFormat="1">
      <c r="B133" s="2678"/>
      <c r="C133" s="2678"/>
      <c r="D133" s="2678"/>
      <c r="E133" s="2678"/>
      <c r="F133" s="2678"/>
      <c r="G133" s="2679"/>
      <c r="H133" s="2678"/>
      <c r="I133" s="2679"/>
      <c r="J133" s="2678"/>
      <c r="K133" s="2678"/>
      <c r="L133" s="2679"/>
      <c r="M133" s="2678"/>
      <c r="N133" s="2678"/>
      <c r="O133" s="2679"/>
      <c r="P133" s="2678"/>
      <c r="Q133" s="2678"/>
      <c r="R133" s="2680"/>
    </row>
    <row r="134" spans="2:18" s="2668" customFormat="1">
      <c r="B134" s="2678"/>
      <c r="C134" s="2678"/>
      <c r="D134" s="2678"/>
      <c r="E134" s="2678"/>
      <c r="F134" s="2678"/>
      <c r="G134" s="2679"/>
      <c r="H134" s="2678"/>
      <c r="I134" s="2679"/>
      <c r="J134" s="2678"/>
      <c r="K134" s="2678"/>
      <c r="L134" s="2679"/>
      <c r="M134" s="2678"/>
      <c r="N134" s="2678"/>
      <c r="O134" s="2679"/>
      <c r="P134" s="2678"/>
      <c r="Q134" s="2678"/>
      <c r="R134" s="2680"/>
    </row>
    <row r="135" spans="2:18" s="2668" customFormat="1">
      <c r="B135" s="2678"/>
      <c r="C135" s="2678"/>
      <c r="D135" s="2678"/>
      <c r="E135" s="2678"/>
      <c r="F135" s="2678"/>
      <c r="G135" s="2679"/>
      <c r="H135" s="2678"/>
      <c r="I135" s="2679"/>
      <c r="J135" s="2678"/>
      <c r="K135" s="2678"/>
      <c r="L135" s="2679"/>
      <c r="M135" s="2678"/>
      <c r="N135" s="2678"/>
      <c r="O135" s="2679"/>
      <c r="P135" s="2678"/>
      <c r="Q135" s="2678"/>
      <c r="R135" s="2680"/>
    </row>
    <row r="136" spans="2:18" s="2668" customFormat="1">
      <c r="B136" s="2678"/>
      <c r="C136" s="2678"/>
      <c r="D136" s="2678"/>
      <c r="E136" s="2678"/>
      <c r="F136" s="2678"/>
      <c r="G136" s="2679"/>
      <c r="H136" s="2678"/>
      <c r="I136" s="2679"/>
      <c r="J136" s="2678"/>
      <c r="K136" s="2678"/>
      <c r="L136" s="2679"/>
      <c r="M136" s="2678"/>
      <c r="N136" s="2678"/>
      <c r="O136" s="2679"/>
      <c r="P136" s="2678"/>
      <c r="Q136" s="2678"/>
      <c r="R136" s="2680"/>
    </row>
    <row r="137" spans="2:18" s="2668" customFormat="1">
      <c r="B137" s="2678"/>
      <c r="C137" s="2678"/>
      <c r="D137" s="2678"/>
      <c r="E137" s="2678"/>
      <c r="F137" s="2678"/>
      <c r="G137" s="2679"/>
      <c r="H137" s="2678"/>
      <c r="I137" s="2679"/>
      <c r="J137" s="2678"/>
      <c r="K137" s="2678"/>
      <c r="L137" s="2679"/>
      <c r="M137" s="2678"/>
      <c r="N137" s="2678"/>
      <c r="O137" s="2679"/>
      <c r="P137" s="2678"/>
      <c r="Q137" s="2678"/>
      <c r="R137" s="2680"/>
    </row>
    <row r="138" spans="2:18" s="2668" customFormat="1">
      <c r="B138" s="2678"/>
      <c r="C138" s="2678"/>
      <c r="D138" s="2678"/>
      <c r="E138" s="2678"/>
      <c r="F138" s="2678"/>
      <c r="G138" s="2679"/>
      <c r="H138" s="2678"/>
      <c r="I138" s="2679"/>
      <c r="J138" s="2678"/>
      <c r="K138" s="2678"/>
      <c r="L138" s="2679"/>
      <c r="M138" s="2678"/>
      <c r="N138" s="2678"/>
      <c r="O138" s="2679"/>
      <c r="P138" s="2678"/>
      <c r="Q138" s="2678"/>
      <c r="R138" s="2680"/>
    </row>
    <row r="139" spans="2:18" s="2668" customFormat="1">
      <c r="B139" s="2678"/>
      <c r="C139" s="2678"/>
      <c r="D139" s="2678"/>
      <c r="E139" s="2678"/>
      <c r="F139" s="2678"/>
      <c r="G139" s="2679"/>
      <c r="H139" s="2678"/>
      <c r="I139" s="2679"/>
      <c r="J139" s="2678"/>
      <c r="K139" s="2678"/>
      <c r="L139" s="2679"/>
      <c r="M139" s="2678"/>
      <c r="N139" s="2678"/>
      <c r="O139" s="2679"/>
      <c r="P139" s="2678"/>
      <c r="Q139" s="2678"/>
      <c r="R139" s="2680"/>
    </row>
    <row r="140" spans="2:18" s="2668" customFormat="1">
      <c r="B140" s="2678"/>
      <c r="C140" s="2678"/>
      <c r="D140" s="2678"/>
      <c r="E140" s="2678"/>
      <c r="F140" s="2678"/>
      <c r="G140" s="2679"/>
      <c r="H140" s="2678"/>
      <c r="I140" s="2679"/>
      <c r="J140" s="2678"/>
      <c r="K140" s="2678"/>
      <c r="L140" s="2679"/>
      <c r="M140" s="2678"/>
      <c r="N140" s="2678"/>
      <c r="O140" s="2679"/>
      <c r="P140" s="2678"/>
      <c r="Q140" s="2678"/>
      <c r="R140" s="2680"/>
    </row>
    <row r="141" spans="2:18" s="2668" customFormat="1">
      <c r="B141" s="2678"/>
      <c r="C141" s="2678"/>
      <c r="D141" s="2678"/>
      <c r="E141" s="2678"/>
      <c r="F141" s="2678"/>
      <c r="G141" s="2679"/>
      <c r="H141" s="2678"/>
      <c r="I141" s="2679"/>
      <c r="J141" s="2678"/>
      <c r="K141" s="2678"/>
      <c r="L141" s="2679"/>
      <c r="M141" s="2678"/>
      <c r="N141" s="2678"/>
      <c r="O141" s="2679"/>
      <c r="P141" s="2678"/>
      <c r="Q141" s="2678"/>
      <c r="R141" s="2680"/>
    </row>
    <row r="142" spans="2:18" s="2668" customFormat="1">
      <c r="B142" s="2678"/>
      <c r="C142" s="2678"/>
      <c r="D142" s="2678"/>
      <c r="E142" s="2678"/>
      <c r="F142" s="2678"/>
      <c r="G142" s="2679"/>
      <c r="H142" s="2678"/>
      <c r="I142" s="2679"/>
      <c r="J142" s="2678"/>
      <c r="K142" s="2678"/>
      <c r="L142" s="2679"/>
      <c r="M142" s="2678"/>
      <c r="N142" s="2678"/>
      <c r="O142" s="2679"/>
      <c r="P142" s="2678"/>
      <c r="Q142" s="2678"/>
      <c r="R142" s="2680"/>
    </row>
    <row r="143" spans="2:18" s="2668" customFormat="1">
      <c r="B143" s="2678"/>
      <c r="C143" s="2678"/>
      <c r="D143" s="2678"/>
      <c r="E143" s="2678"/>
      <c r="F143" s="2678"/>
      <c r="G143" s="2679"/>
      <c r="H143" s="2678"/>
      <c r="I143" s="2679"/>
      <c r="J143" s="2678"/>
      <c r="K143" s="2678"/>
      <c r="L143" s="2679"/>
      <c r="M143" s="2678"/>
      <c r="N143" s="2678"/>
      <c r="O143" s="2679"/>
      <c r="P143" s="2678"/>
      <c r="Q143" s="2678"/>
      <c r="R143" s="2680"/>
    </row>
    <row r="144" spans="2:18" s="2668" customFormat="1">
      <c r="B144" s="2678"/>
      <c r="C144" s="2678"/>
      <c r="D144" s="2678"/>
      <c r="E144" s="2678"/>
      <c r="F144" s="2678"/>
      <c r="G144" s="2679"/>
      <c r="H144" s="2678"/>
      <c r="I144" s="2679"/>
      <c r="J144" s="2678"/>
      <c r="K144" s="2678"/>
      <c r="L144" s="2679"/>
      <c r="M144" s="2678"/>
      <c r="N144" s="2678"/>
      <c r="O144" s="2679"/>
      <c r="P144" s="2678"/>
      <c r="Q144" s="2678"/>
      <c r="R144" s="2680"/>
    </row>
    <row r="145" spans="2:18" s="2668" customFormat="1">
      <c r="B145" s="2678"/>
      <c r="C145" s="2678"/>
      <c r="D145" s="2678"/>
      <c r="E145" s="2678"/>
      <c r="F145" s="2678"/>
      <c r="G145" s="2679"/>
      <c r="H145" s="2678"/>
      <c r="I145" s="2679"/>
      <c r="J145" s="2678"/>
      <c r="K145" s="2678"/>
      <c r="L145" s="2679"/>
      <c r="M145" s="2678"/>
      <c r="N145" s="2678"/>
      <c r="O145" s="2679"/>
      <c r="P145" s="2678"/>
      <c r="Q145" s="2678"/>
      <c r="R145" s="2680"/>
    </row>
    <row r="146" spans="2:18" s="2668" customFormat="1">
      <c r="B146" s="2678"/>
      <c r="C146" s="2678"/>
      <c r="D146" s="2678"/>
      <c r="E146" s="2678"/>
      <c r="F146" s="2678"/>
      <c r="G146" s="2679"/>
      <c r="H146" s="2678"/>
      <c r="I146" s="2679"/>
      <c r="J146" s="2678"/>
      <c r="K146" s="2678"/>
      <c r="L146" s="2679"/>
      <c r="M146" s="2678"/>
      <c r="N146" s="2678"/>
      <c r="O146" s="2679"/>
      <c r="P146" s="2678"/>
      <c r="Q146" s="2678"/>
      <c r="R146" s="2680"/>
    </row>
    <row r="147" spans="2:18" s="2668" customFormat="1">
      <c r="B147" s="2678"/>
      <c r="C147" s="2678"/>
      <c r="D147" s="2678"/>
      <c r="E147" s="2678"/>
      <c r="F147" s="2678"/>
      <c r="G147" s="2679"/>
      <c r="H147" s="2678"/>
      <c r="I147" s="2679"/>
      <c r="J147" s="2678"/>
      <c r="K147" s="2678"/>
      <c r="L147" s="2679"/>
      <c r="M147" s="2678"/>
      <c r="N147" s="2678"/>
      <c r="O147" s="2679"/>
      <c r="P147" s="2678"/>
      <c r="Q147" s="2678"/>
      <c r="R147" s="2680"/>
    </row>
    <row r="148" spans="2:18" s="2668" customFormat="1">
      <c r="B148" s="2678"/>
      <c r="C148" s="2678"/>
      <c r="D148" s="2678"/>
      <c r="E148" s="2678"/>
      <c r="F148" s="2678"/>
      <c r="G148" s="2679"/>
      <c r="H148" s="2678"/>
      <c r="I148" s="2679"/>
      <c r="J148" s="2678"/>
      <c r="K148" s="2678"/>
      <c r="L148" s="2679"/>
      <c r="M148" s="2678"/>
      <c r="N148" s="2678"/>
      <c r="O148" s="2679"/>
      <c r="P148" s="2678"/>
      <c r="Q148" s="2678"/>
      <c r="R148" s="2680"/>
    </row>
    <row r="149" spans="2:18" s="2668" customFormat="1">
      <c r="B149" s="2678"/>
      <c r="C149" s="2678"/>
      <c r="D149" s="2678"/>
      <c r="E149" s="2678"/>
      <c r="F149" s="2678"/>
      <c r="G149" s="2679"/>
      <c r="H149" s="2678"/>
      <c r="I149" s="2679"/>
      <c r="J149" s="2678"/>
      <c r="K149" s="2678"/>
      <c r="L149" s="2679"/>
      <c r="M149" s="2678"/>
      <c r="N149" s="2678"/>
      <c r="O149" s="2679"/>
      <c r="P149" s="2678"/>
      <c r="Q149" s="2678"/>
      <c r="R149" s="2680"/>
    </row>
    <row r="150" spans="2:18" s="2668" customFormat="1">
      <c r="B150" s="2678"/>
      <c r="C150" s="2678"/>
      <c r="D150" s="2678"/>
      <c r="E150" s="2678"/>
      <c r="F150" s="2678"/>
      <c r="G150" s="2679"/>
      <c r="H150" s="2678"/>
      <c r="I150" s="2679"/>
      <c r="J150" s="2678"/>
      <c r="K150" s="2678"/>
      <c r="L150" s="2679"/>
      <c r="M150" s="2678"/>
      <c r="N150" s="2678"/>
      <c r="O150" s="2679"/>
      <c r="P150" s="2678"/>
      <c r="Q150" s="2678"/>
      <c r="R150" s="2680"/>
    </row>
    <row r="151" spans="2:18" s="2668" customFormat="1">
      <c r="B151" s="2678"/>
      <c r="C151" s="2678"/>
      <c r="D151" s="2678"/>
      <c r="E151" s="2678"/>
      <c r="F151" s="2678"/>
      <c r="G151" s="2679"/>
      <c r="H151" s="2678"/>
      <c r="I151" s="2679"/>
      <c r="J151" s="2678"/>
      <c r="K151" s="2678"/>
      <c r="L151" s="2679"/>
      <c r="M151" s="2678"/>
      <c r="N151" s="2678"/>
      <c r="O151" s="2679"/>
      <c r="P151" s="2678"/>
      <c r="Q151" s="2678"/>
      <c r="R151" s="2680"/>
    </row>
    <row r="152" spans="2:18" s="2668" customFormat="1">
      <c r="B152" s="2678"/>
      <c r="C152" s="2678"/>
      <c r="D152" s="2678"/>
      <c r="E152" s="2678"/>
      <c r="F152" s="2678"/>
      <c r="G152" s="2679"/>
      <c r="H152" s="2678"/>
      <c r="I152" s="2679"/>
      <c r="J152" s="2678"/>
      <c r="K152" s="2678"/>
      <c r="L152" s="2679"/>
      <c r="M152" s="2678"/>
      <c r="N152" s="2678"/>
      <c r="O152" s="2679"/>
      <c r="P152" s="2678"/>
      <c r="Q152" s="2678"/>
      <c r="R152" s="2680"/>
    </row>
    <row r="153" spans="2:18" s="2668" customFormat="1">
      <c r="B153" s="2678"/>
      <c r="C153" s="2678"/>
      <c r="D153" s="2678"/>
      <c r="E153" s="2678"/>
      <c r="F153" s="2678"/>
      <c r="G153" s="2679"/>
      <c r="H153" s="2678"/>
      <c r="I153" s="2679"/>
      <c r="J153" s="2678"/>
      <c r="K153" s="2678"/>
      <c r="L153" s="2679"/>
      <c r="M153" s="2678"/>
      <c r="N153" s="2678"/>
      <c r="O153" s="2679"/>
      <c r="P153" s="2678"/>
      <c r="Q153" s="2678"/>
      <c r="R153" s="2680"/>
    </row>
    <row r="154" spans="2:18" s="2668" customFormat="1">
      <c r="B154" s="2678"/>
      <c r="C154" s="2678"/>
      <c r="D154" s="2678"/>
      <c r="E154" s="2678"/>
      <c r="F154" s="2678"/>
      <c r="G154" s="2679"/>
      <c r="H154" s="2678"/>
      <c r="I154" s="2679"/>
      <c r="J154" s="2678"/>
      <c r="K154" s="2678"/>
      <c r="L154" s="2679"/>
      <c r="M154" s="2678"/>
      <c r="N154" s="2678"/>
      <c r="O154" s="2679"/>
      <c r="P154" s="2678"/>
      <c r="Q154" s="2678"/>
      <c r="R154" s="2680"/>
    </row>
    <row r="155" spans="2:18" s="2668" customFormat="1">
      <c r="B155" s="2678"/>
      <c r="C155" s="2678"/>
      <c r="D155" s="2678"/>
      <c r="E155" s="2678"/>
      <c r="F155" s="2678"/>
      <c r="G155" s="2679"/>
      <c r="H155" s="2678"/>
      <c r="I155" s="2679"/>
      <c r="J155" s="2678"/>
      <c r="K155" s="2678"/>
      <c r="L155" s="2679"/>
      <c r="M155" s="2678"/>
      <c r="N155" s="2678"/>
      <c r="O155" s="2679"/>
      <c r="P155" s="2678"/>
      <c r="Q155" s="2678"/>
      <c r="R155" s="2680"/>
    </row>
    <row r="156" spans="2:18" s="2668" customFormat="1">
      <c r="B156" s="2678"/>
      <c r="C156" s="2678"/>
      <c r="D156" s="2678"/>
      <c r="E156" s="2678"/>
      <c r="F156" s="2678"/>
      <c r="G156" s="2679"/>
      <c r="H156" s="2678"/>
      <c r="I156" s="2679"/>
      <c r="J156" s="2678"/>
      <c r="K156" s="2678"/>
      <c r="L156" s="2679"/>
      <c r="M156" s="2678"/>
      <c r="N156" s="2678"/>
      <c r="O156" s="2679"/>
      <c r="P156" s="2678"/>
      <c r="Q156" s="2678"/>
      <c r="R156" s="2680"/>
    </row>
    <row r="157" spans="2:18" s="2668" customFormat="1">
      <c r="B157" s="2678"/>
      <c r="C157" s="2678"/>
      <c r="D157" s="2678"/>
      <c r="E157" s="2678"/>
      <c r="F157" s="2678"/>
      <c r="G157" s="2679"/>
      <c r="H157" s="2678"/>
      <c r="I157" s="2679"/>
      <c r="J157" s="2678"/>
      <c r="K157" s="2678"/>
      <c r="L157" s="2679"/>
      <c r="M157" s="2678"/>
      <c r="N157" s="2678"/>
      <c r="O157" s="2679"/>
      <c r="P157" s="2678"/>
      <c r="Q157" s="2678"/>
      <c r="R157" s="2680"/>
    </row>
    <row r="158" spans="2:18" s="2668" customFormat="1">
      <c r="B158" s="2678"/>
      <c r="C158" s="2678"/>
      <c r="D158" s="2678"/>
      <c r="E158" s="2678"/>
      <c r="F158" s="2678"/>
      <c r="G158" s="2679"/>
      <c r="H158" s="2678"/>
      <c r="I158" s="2679"/>
      <c r="J158" s="2678"/>
      <c r="K158" s="2678"/>
      <c r="L158" s="2679"/>
      <c r="M158" s="2678"/>
      <c r="N158" s="2678"/>
      <c r="O158" s="2679"/>
      <c r="P158" s="2678"/>
      <c r="Q158" s="2678"/>
      <c r="R158" s="2680"/>
    </row>
    <row r="159" spans="2:18" s="2668" customFormat="1">
      <c r="B159" s="2678"/>
      <c r="C159" s="2678"/>
      <c r="D159" s="2678"/>
      <c r="E159" s="2678"/>
      <c r="F159" s="2678"/>
      <c r="G159" s="2679"/>
      <c r="H159" s="2678"/>
      <c r="I159" s="2679"/>
      <c r="J159" s="2678"/>
      <c r="K159" s="2678"/>
      <c r="L159" s="2679"/>
      <c r="M159" s="2678"/>
      <c r="N159" s="2678"/>
      <c r="O159" s="2679"/>
      <c r="P159" s="2678"/>
      <c r="Q159" s="2678"/>
      <c r="R159" s="2680"/>
    </row>
    <row r="160" spans="2:18" s="2668" customFormat="1">
      <c r="B160" s="2678"/>
      <c r="C160" s="2678"/>
      <c r="D160" s="2678"/>
      <c r="E160" s="2678"/>
      <c r="F160" s="2678"/>
      <c r="G160" s="2679"/>
      <c r="H160" s="2678"/>
      <c r="I160" s="2679"/>
      <c r="J160" s="2678"/>
      <c r="K160" s="2678"/>
      <c r="L160" s="2679"/>
      <c r="M160" s="2678"/>
      <c r="N160" s="2678"/>
      <c r="O160" s="2679"/>
      <c r="P160" s="2678"/>
      <c r="Q160" s="2678"/>
      <c r="R160" s="2680"/>
    </row>
    <row r="161" spans="2:18" s="2668" customFormat="1">
      <c r="B161" s="2678"/>
      <c r="C161" s="2678"/>
      <c r="D161" s="2678"/>
      <c r="E161" s="2678"/>
      <c r="F161" s="2678"/>
      <c r="G161" s="2679"/>
      <c r="H161" s="2678"/>
      <c r="I161" s="2679"/>
      <c r="J161" s="2678"/>
      <c r="K161" s="2678"/>
      <c r="L161" s="2679"/>
      <c r="M161" s="2678"/>
      <c r="N161" s="2678"/>
      <c r="O161" s="2679"/>
      <c r="P161" s="2678"/>
      <c r="Q161" s="2678"/>
      <c r="R161" s="2680"/>
    </row>
    <row r="162" spans="2:18" s="2668" customFormat="1">
      <c r="B162" s="2678"/>
      <c r="C162" s="2678"/>
      <c r="D162" s="2678"/>
      <c r="E162" s="2678"/>
      <c r="F162" s="2678"/>
      <c r="G162" s="2679"/>
      <c r="H162" s="2678"/>
      <c r="I162" s="2679"/>
      <c r="J162" s="2678"/>
      <c r="K162" s="2678"/>
      <c r="L162" s="2679"/>
      <c r="M162" s="2678"/>
      <c r="N162" s="2678"/>
      <c r="O162" s="2679"/>
      <c r="P162" s="2678"/>
      <c r="Q162" s="2678"/>
      <c r="R162" s="2680"/>
    </row>
    <row r="163" spans="2:18" s="2668" customFormat="1">
      <c r="B163" s="2678"/>
      <c r="C163" s="2678"/>
      <c r="D163" s="2678"/>
      <c r="E163" s="2678"/>
      <c r="F163" s="2678"/>
      <c r="G163" s="2679"/>
      <c r="H163" s="2678"/>
      <c r="I163" s="2679"/>
      <c r="J163" s="2678"/>
      <c r="K163" s="2678"/>
      <c r="L163" s="2679"/>
      <c r="M163" s="2678"/>
      <c r="N163" s="2678"/>
      <c r="O163" s="2679"/>
      <c r="P163" s="2678"/>
      <c r="Q163" s="2678"/>
      <c r="R163" s="2680"/>
    </row>
    <row r="164" spans="2:18" s="2668" customFormat="1">
      <c r="B164" s="2678"/>
      <c r="C164" s="2678"/>
      <c r="D164" s="2678"/>
      <c r="E164" s="2678"/>
      <c r="F164" s="2678"/>
      <c r="G164" s="2679"/>
      <c r="H164" s="2678"/>
      <c r="I164" s="2679"/>
      <c r="J164" s="2678"/>
      <c r="K164" s="2678"/>
      <c r="L164" s="2679"/>
      <c r="M164" s="2678"/>
      <c r="N164" s="2678"/>
      <c r="O164" s="2679"/>
      <c r="P164" s="2678"/>
      <c r="Q164" s="2678"/>
      <c r="R164" s="2680"/>
    </row>
    <row r="165" spans="2:18" s="2668" customFormat="1">
      <c r="B165" s="2678"/>
      <c r="C165" s="2678"/>
      <c r="D165" s="2678"/>
      <c r="E165" s="2678"/>
      <c r="F165" s="2678"/>
      <c r="G165" s="2679"/>
      <c r="H165" s="2678"/>
      <c r="I165" s="2679"/>
      <c r="J165" s="2678"/>
      <c r="K165" s="2678"/>
      <c r="L165" s="2679"/>
      <c r="M165" s="2678"/>
      <c r="N165" s="2678"/>
      <c r="O165" s="2679"/>
      <c r="P165" s="2678"/>
      <c r="Q165" s="2678"/>
      <c r="R165" s="2680"/>
    </row>
    <row r="166" spans="2:18" s="2668" customFormat="1">
      <c r="B166" s="2678"/>
      <c r="C166" s="2678"/>
      <c r="D166" s="2678"/>
      <c r="E166" s="2678"/>
      <c r="F166" s="2678"/>
      <c r="G166" s="2679"/>
      <c r="H166" s="2678"/>
      <c r="I166" s="2679"/>
      <c r="J166" s="2678"/>
      <c r="K166" s="2678"/>
      <c r="L166" s="2679"/>
      <c r="M166" s="2678"/>
      <c r="N166" s="2678"/>
      <c r="O166" s="2679"/>
      <c r="P166" s="2678"/>
      <c r="Q166" s="2678"/>
      <c r="R166" s="2680"/>
    </row>
    <row r="167" spans="2:18" s="2668" customFormat="1">
      <c r="B167" s="2678"/>
      <c r="C167" s="2678"/>
      <c r="D167" s="2678"/>
      <c r="E167" s="2678"/>
      <c r="F167" s="2678"/>
      <c r="G167" s="2679"/>
      <c r="H167" s="2678"/>
      <c r="I167" s="2679"/>
      <c r="J167" s="2678"/>
      <c r="K167" s="2678"/>
      <c r="L167" s="2679"/>
      <c r="M167" s="2678"/>
      <c r="N167" s="2678"/>
      <c r="O167" s="2679"/>
      <c r="P167" s="2678"/>
      <c r="Q167" s="2678"/>
      <c r="R167" s="2680"/>
    </row>
    <row r="168" spans="2:18" s="2668" customFormat="1">
      <c r="B168" s="2678"/>
      <c r="C168" s="2678"/>
      <c r="D168" s="2678"/>
      <c r="E168" s="2678"/>
      <c r="F168" s="2678"/>
      <c r="G168" s="2679"/>
      <c r="H168" s="2678"/>
      <c r="I168" s="2679"/>
      <c r="J168" s="2678"/>
      <c r="K168" s="2678"/>
      <c r="L168" s="2679"/>
      <c r="M168" s="2678"/>
      <c r="N168" s="2678"/>
      <c r="O168" s="2679"/>
      <c r="P168" s="2678"/>
      <c r="Q168" s="2678"/>
      <c r="R168" s="2680"/>
    </row>
    <row r="169" spans="2:18" s="2668" customFormat="1">
      <c r="B169" s="2678"/>
      <c r="C169" s="2678"/>
      <c r="D169" s="2678"/>
      <c r="E169" s="2678"/>
      <c r="F169" s="2678"/>
      <c r="G169" s="2679"/>
      <c r="H169" s="2678"/>
      <c r="I169" s="2679"/>
      <c r="J169" s="2678"/>
      <c r="K169" s="2678"/>
      <c r="L169" s="2679"/>
      <c r="M169" s="2678"/>
      <c r="N169" s="2678"/>
      <c r="O169" s="2679"/>
      <c r="P169" s="2678"/>
      <c r="Q169" s="2678"/>
      <c r="R169" s="2680"/>
    </row>
    <row r="170" spans="2:18" s="2668" customFormat="1">
      <c r="B170" s="2678"/>
      <c r="C170" s="2678"/>
      <c r="D170" s="2678"/>
      <c r="E170" s="2678"/>
      <c r="F170" s="2678"/>
      <c r="G170" s="2679"/>
      <c r="H170" s="2678"/>
      <c r="I170" s="2679"/>
      <c r="J170" s="2678"/>
      <c r="K170" s="2678"/>
      <c r="L170" s="2679"/>
      <c r="M170" s="2678"/>
      <c r="N170" s="2678"/>
      <c r="O170" s="2679"/>
      <c r="P170" s="2678"/>
      <c r="Q170" s="2678"/>
      <c r="R170" s="2680"/>
    </row>
    <row r="171" spans="2:18" s="2668" customFormat="1">
      <c r="B171" s="2678"/>
      <c r="C171" s="2678"/>
      <c r="D171" s="2678"/>
      <c r="E171" s="2678"/>
      <c r="F171" s="2678"/>
      <c r="G171" s="2679"/>
      <c r="H171" s="2678"/>
      <c r="I171" s="2679"/>
      <c r="J171" s="2678"/>
      <c r="K171" s="2678"/>
      <c r="L171" s="2679"/>
      <c r="M171" s="2678"/>
      <c r="N171" s="2678"/>
      <c r="O171" s="2679"/>
      <c r="P171" s="2678"/>
      <c r="Q171" s="2678"/>
      <c r="R171" s="2680"/>
    </row>
    <row r="172" spans="2:18" s="2668" customFormat="1">
      <c r="B172" s="2678"/>
      <c r="C172" s="2678"/>
      <c r="D172" s="2678"/>
      <c r="E172" s="2678"/>
      <c r="F172" s="2678"/>
      <c r="G172" s="2679"/>
      <c r="H172" s="2678"/>
      <c r="I172" s="2679"/>
      <c r="J172" s="2678"/>
      <c r="K172" s="2678"/>
      <c r="L172" s="2679"/>
      <c r="M172" s="2678"/>
      <c r="N172" s="2678"/>
      <c r="O172" s="2679"/>
      <c r="P172" s="2678"/>
      <c r="Q172" s="2678"/>
      <c r="R172" s="2680"/>
    </row>
    <row r="173" spans="2:18" s="2668" customFormat="1">
      <c r="B173" s="2678"/>
      <c r="C173" s="2678"/>
      <c r="D173" s="2678"/>
      <c r="E173" s="2678"/>
      <c r="F173" s="2678"/>
      <c r="G173" s="2679"/>
      <c r="H173" s="2678"/>
      <c r="I173" s="2679"/>
      <c r="J173" s="2678"/>
      <c r="K173" s="2678"/>
      <c r="L173" s="2679"/>
      <c r="M173" s="2678"/>
      <c r="N173" s="2678"/>
      <c r="O173" s="2679"/>
      <c r="P173" s="2678"/>
      <c r="Q173" s="2678"/>
      <c r="R173" s="2680"/>
    </row>
    <row r="174" spans="2:18" s="2668" customFormat="1">
      <c r="B174" s="2678"/>
      <c r="C174" s="2678"/>
      <c r="D174" s="2678"/>
      <c r="E174" s="2678"/>
      <c r="F174" s="2678"/>
      <c r="G174" s="2679"/>
      <c r="H174" s="2678"/>
      <c r="I174" s="2679"/>
      <c r="J174" s="2678"/>
      <c r="K174" s="2678"/>
      <c r="L174" s="2679"/>
      <c r="M174" s="2678"/>
      <c r="N174" s="2678"/>
      <c r="O174" s="2679"/>
      <c r="P174" s="2678"/>
      <c r="Q174" s="2678"/>
      <c r="R174" s="2680"/>
    </row>
    <row r="175" spans="2:18" s="2668" customFormat="1">
      <c r="B175" s="2678"/>
      <c r="C175" s="2678"/>
      <c r="D175" s="2678"/>
      <c r="E175" s="2678"/>
      <c r="F175" s="2678"/>
      <c r="G175" s="2679"/>
      <c r="H175" s="2678"/>
      <c r="I175" s="2679"/>
      <c r="J175" s="2678"/>
      <c r="K175" s="2678"/>
      <c r="L175" s="2679"/>
      <c r="M175" s="2678"/>
      <c r="N175" s="2678"/>
      <c r="O175" s="2679"/>
      <c r="P175" s="2678"/>
      <c r="Q175" s="2678"/>
      <c r="R175" s="2680"/>
    </row>
    <row r="176" spans="2:18" s="2668" customFormat="1">
      <c r="B176" s="2678"/>
      <c r="C176" s="2678"/>
      <c r="D176" s="2678"/>
      <c r="E176" s="2678"/>
      <c r="F176" s="2678"/>
      <c r="G176" s="2679"/>
      <c r="H176" s="2678"/>
      <c r="I176" s="2679"/>
      <c r="J176" s="2678"/>
      <c r="K176" s="2678"/>
      <c r="L176" s="2679"/>
      <c r="M176" s="2678"/>
      <c r="N176" s="2678"/>
      <c r="O176" s="2679"/>
      <c r="P176" s="2678"/>
      <c r="Q176" s="2678"/>
      <c r="R176" s="2680"/>
    </row>
    <row r="177" spans="1:18" s="2668" customFormat="1">
      <c r="B177" s="2678"/>
      <c r="C177" s="2678"/>
      <c r="D177" s="2678"/>
      <c r="E177" s="2678"/>
      <c r="F177" s="2678"/>
      <c r="G177" s="2679"/>
      <c r="H177" s="2678"/>
      <c r="I177" s="2679"/>
      <c r="J177" s="2678"/>
      <c r="K177" s="2678"/>
      <c r="L177" s="2679"/>
      <c r="M177" s="2678"/>
      <c r="N177" s="2678"/>
      <c r="O177" s="2679"/>
      <c r="P177" s="2678"/>
      <c r="Q177" s="2678"/>
      <c r="R177" s="2680"/>
    </row>
    <row r="178" spans="1:18" s="2668" customFormat="1">
      <c r="B178" s="2678"/>
      <c r="C178" s="2678"/>
      <c r="D178" s="2678"/>
      <c r="E178" s="2678"/>
      <c r="F178" s="2678"/>
      <c r="G178" s="2679"/>
      <c r="H178" s="2678"/>
      <c r="I178" s="2679"/>
      <c r="J178" s="2678"/>
      <c r="K178" s="2678"/>
      <c r="L178" s="2679"/>
      <c r="M178" s="2678"/>
      <c r="N178" s="2678"/>
      <c r="O178" s="2679"/>
      <c r="P178" s="2678"/>
      <c r="Q178" s="2678"/>
      <c r="R178" s="2680"/>
    </row>
    <row r="179" spans="1:18" s="2668" customFormat="1">
      <c r="B179" s="2678"/>
      <c r="C179" s="2678"/>
      <c r="D179" s="2678"/>
      <c r="E179" s="2678"/>
      <c r="F179" s="2678"/>
      <c r="G179" s="2679"/>
      <c r="H179" s="2678"/>
      <c r="I179" s="2679"/>
      <c r="J179" s="2678"/>
      <c r="K179" s="2678"/>
      <c r="L179" s="2679"/>
      <c r="M179" s="2678"/>
      <c r="N179" s="2678"/>
      <c r="O179" s="2679"/>
      <c r="P179" s="2678"/>
      <c r="Q179" s="2678"/>
      <c r="R179" s="2680"/>
    </row>
    <row r="180" spans="1:18" s="2668" customFormat="1">
      <c r="B180" s="2678"/>
      <c r="C180" s="2678"/>
      <c r="D180" s="2678"/>
      <c r="E180" s="2678"/>
      <c r="F180" s="2678"/>
      <c r="G180" s="2679"/>
      <c r="H180" s="2678"/>
      <c r="I180" s="2679"/>
      <c r="J180" s="2678"/>
      <c r="K180" s="2678"/>
      <c r="L180" s="2679"/>
      <c r="M180" s="2678"/>
      <c r="N180" s="2678"/>
      <c r="O180" s="2679"/>
      <c r="P180" s="2678"/>
      <c r="Q180" s="2678"/>
      <c r="R180" s="2680"/>
    </row>
    <row r="181" spans="1:18" s="2668" customFormat="1">
      <c r="B181" s="2678"/>
      <c r="C181" s="2678"/>
      <c r="D181" s="2678"/>
      <c r="E181" s="2678"/>
      <c r="F181" s="2678"/>
      <c r="G181" s="2679"/>
      <c r="H181" s="2678"/>
      <c r="I181" s="2679"/>
      <c r="J181" s="2678"/>
      <c r="K181" s="2678"/>
      <c r="L181" s="2679"/>
      <c r="M181" s="2678"/>
      <c r="N181" s="2678"/>
      <c r="O181" s="2679"/>
      <c r="P181" s="2678"/>
      <c r="Q181" s="2678"/>
      <c r="R181" s="2680"/>
    </row>
    <row r="182" spans="1:18" s="2668" customFormat="1">
      <c r="B182" s="2678"/>
      <c r="C182" s="2678"/>
      <c r="D182" s="2678"/>
      <c r="E182" s="2678"/>
      <c r="F182" s="2678"/>
      <c r="G182" s="2679"/>
      <c r="H182" s="2678"/>
      <c r="I182" s="2679"/>
      <c r="J182" s="2678"/>
      <c r="K182" s="2678"/>
      <c r="L182" s="2679"/>
      <c r="M182" s="2678"/>
      <c r="N182" s="2678"/>
      <c r="O182" s="2679"/>
      <c r="P182" s="2678"/>
      <c r="Q182" s="2678"/>
      <c r="R182" s="2680"/>
    </row>
    <row r="183" spans="1:18" s="2668" customFormat="1">
      <c r="B183" s="2678"/>
      <c r="C183" s="2678"/>
      <c r="D183" s="2678"/>
      <c r="E183" s="2678"/>
      <c r="F183" s="2678"/>
      <c r="G183" s="2679"/>
      <c r="H183" s="2678"/>
      <c r="I183" s="2679"/>
      <c r="J183" s="2678"/>
      <c r="K183" s="2678"/>
      <c r="L183" s="2679"/>
      <c r="M183" s="2678"/>
      <c r="N183" s="2678"/>
      <c r="O183" s="2679"/>
      <c r="P183" s="2678"/>
      <c r="Q183" s="2678"/>
      <c r="R183" s="2680"/>
    </row>
    <row r="184" spans="1:18" s="2668" customFormat="1">
      <c r="B184" s="2678"/>
      <c r="C184" s="2678"/>
      <c r="D184" s="2678"/>
      <c r="E184" s="2678"/>
      <c r="F184" s="2678"/>
      <c r="G184" s="2679"/>
      <c r="H184" s="2678"/>
      <c r="I184" s="2679"/>
      <c r="J184" s="2678"/>
      <c r="K184" s="2678"/>
      <c r="L184" s="2679"/>
      <c r="M184" s="2678"/>
      <c r="N184" s="2678"/>
      <c r="O184" s="2679"/>
      <c r="P184" s="2678"/>
      <c r="Q184" s="2678"/>
      <c r="R184" s="2680"/>
    </row>
    <row r="185" spans="1:18" s="2668" customFormat="1">
      <c r="B185" s="2678"/>
      <c r="C185" s="2678"/>
      <c r="D185" s="2678"/>
      <c r="E185" s="2678"/>
      <c r="F185" s="2678"/>
      <c r="G185" s="2679"/>
      <c r="H185" s="2678"/>
      <c r="I185" s="2679"/>
      <c r="J185" s="2678"/>
      <c r="K185" s="2678"/>
      <c r="L185" s="2679"/>
      <c r="M185" s="2678"/>
      <c r="N185" s="2678"/>
      <c r="O185" s="2679"/>
      <c r="P185" s="2678"/>
      <c r="Q185" s="2678"/>
      <c r="R185" s="2680"/>
    </row>
    <row r="186" spans="1:18">
      <c r="A186" s="2668"/>
      <c r="B186" s="2678"/>
      <c r="C186" s="2678"/>
      <c r="E186" s="2678"/>
      <c r="F186" s="2678"/>
      <c r="G186" s="2679"/>
    </row>
    <row r="187" spans="1:18">
      <c r="A187" s="2668"/>
      <c r="B187" s="2678"/>
      <c r="C187" s="2678"/>
      <c r="E187" s="2678"/>
      <c r="F187" s="2678"/>
      <c r="G187" s="267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33"/>
  <sheetViews>
    <sheetView view="pageBreakPreview" zoomScale="80" zoomScaleNormal="100" zoomScaleSheetLayoutView="80" workbookViewId="0">
      <selection activeCell="G38" sqref="G38"/>
    </sheetView>
  </sheetViews>
  <sheetFormatPr defaultColWidth="14.625" defaultRowHeight="13.5"/>
  <cols>
    <col min="1" max="1" width="24.375" style="2553" customWidth="1"/>
    <col min="2" max="16384" width="14.625" style="2553"/>
  </cols>
  <sheetData>
    <row r="1" spans="1:9" ht="16.5">
      <c r="A1" s="2551" t="s">
        <v>1155</v>
      </c>
      <c r="B1" s="2551">
        <f>SUM(B14:B23)</f>
        <v>240.88</v>
      </c>
      <c r="C1" s="1604"/>
      <c r="D1" s="1604"/>
      <c r="E1" s="1604"/>
      <c r="F1" s="1604"/>
      <c r="G1" s="2552"/>
    </row>
    <row r="2" spans="1:9" ht="16.5">
      <c r="A2" s="2551" t="s">
        <v>1156</v>
      </c>
      <c r="B2" s="2551">
        <f>SUM(C14:C23)</f>
        <v>0</v>
      </c>
      <c r="C2" s="1604"/>
      <c r="D2" s="1604"/>
      <c r="E2" s="1604"/>
      <c r="F2" s="1604"/>
      <c r="G2" s="2552"/>
    </row>
    <row r="3" spans="1:9" ht="16.5">
      <c r="A3" s="2551" t="s">
        <v>1157</v>
      </c>
      <c r="B3" s="2554">
        <f>项目基本情况!D2</f>
        <v>44645</v>
      </c>
      <c r="C3" s="1604"/>
      <c r="D3" s="1604"/>
      <c r="E3" s="1604"/>
      <c r="F3" s="1604"/>
      <c r="G3" s="2552"/>
    </row>
    <row r="4" spans="1:9" ht="33">
      <c r="A4" s="2551" t="s">
        <v>1158</v>
      </c>
      <c r="B4" s="2551" t="s">
        <v>1159</v>
      </c>
      <c r="C4" s="2551" t="s">
        <v>1160</v>
      </c>
      <c r="D4" s="2551" t="s">
        <v>1161</v>
      </c>
      <c r="E4" s="1604"/>
      <c r="F4" s="2552"/>
      <c r="G4" s="2552"/>
    </row>
    <row r="5" spans="1:9" ht="16.5">
      <c r="A5" s="2551" t="s">
        <v>1162</v>
      </c>
      <c r="B5" s="2551">
        <f ca="1">SUM(D14:D23)</f>
        <v>1067</v>
      </c>
      <c r="C5" s="2551">
        <f ca="1">ROUND(B5*10000/$B$1,0)</f>
        <v>44296</v>
      </c>
      <c r="D5" s="2551" t="e">
        <f ca="1">ROUND(B5*10000/$B$2,0)</f>
        <v>#DIV/0!</v>
      </c>
      <c r="E5" s="1604"/>
      <c r="F5" s="2552"/>
      <c r="G5" s="2552"/>
    </row>
    <row r="6" spans="1:9" ht="16.5">
      <c r="A6" s="2551" t="s">
        <v>1163</v>
      </c>
      <c r="B6" s="2551">
        <f ca="1">SUM(G14:G23)</f>
        <v>1067</v>
      </c>
      <c r="C6" s="2551">
        <f t="shared" ref="C6:C8" ca="1" si="0">ROUND(B6*10000/$B$1,0)</f>
        <v>44296</v>
      </c>
      <c r="D6" s="2551" t="e">
        <f t="shared" ref="D6:D8" ca="1" si="1">ROUND(B6*10000/$B$2,0)</f>
        <v>#DIV/0!</v>
      </c>
      <c r="E6" s="1604"/>
      <c r="F6" s="2552"/>
      <c r="G6" s="2552"/>
    </row>
    <row r="7" spans="1:9" ht="16.5">
      <c r="A7" s="2551" t="s">
        <v>1164</v>
      </c>
      <c r="B7" s="2551">
        <f>SUM(H14:H23)</f>
        <v>0</v>
      </c>
      <c r="C7" s="2551">
        <f>ROUND(B7*10000/$B$1,0)</f>
        <v>0</v>
      </c>
      <c r="D7" s="2551" t="e">
        <f t="shared" si="1"/>
        <v>#DIV/0!</v>
      </c>
      <c r="E7" s="1604"/>
      <c r="F7" s="2552"/>
      <c r="G7" s="2552"/>
    </row>
    <row r="8" spans="1:9" ht="16.5">
      <c r="A8" s="2551" t="s">
        <v>1165</v>
      </c>
      <c r="B8" s="2551">
        <f>SUM(I14:I23)</f>
        <v>0</v>
      </c>
      <c r="C8" s="2551">
        <f t="shared" si="0"/>
        <v>0</v>
      </c>
      <c r="D8" s="2551" t="e">
        <f t="shared" si="1"/>
        <v>#DIV/0!</v>
      </c>
      <c r="E8" s="1604"/>
      <c r="F8" s="2552"/>
      <c r="G8" s="2552"/>
    </row>
    <row r="9" spans="1:9" ht="16.5">
      <c r="A9" s="2551" t="s">
        <v>1166</v>
      </c>
      <c r="B9" s="2555"/>
      <c r="C9" s="1604"/>
      <c r="D9" s="1604"/>
      <c r="E9" s="1604"/>
      <c r="F9" s="2552"/>
      <c r="G9" s="2552"/>
    </row>
    <row r="10" spans="1:9" ht="16.5">
      <c r="A10" s="2551" t="s">
        <v>1167</v>
      </c>
      <c r="B10" s="2555"/>
      <c r="C10" s="1604"/>
      <c r="D10" s="1604"/>
      <c r="E10" s="1604"/>
      <c r="F10" s="2552"/>
      <c r="G10" s="2552"/>
    </row>
    <row r="11" spans="1:9" ht="16.5">
      <c r="A11" s="2551" t="s">
        <v>1182</v>
      </c>
      <c r="B11" s="2555"/>
      <c r="C11" s="1604"/>
      <c r="D11" s="1604"/>
      <c r="E11" s="1604"/>
      <c r="F11" s="2552"/>
      <c r="G11" s="2552"/>
    </row>
    <row r="12" spans="1:9" ht="16.5">
      <c r="A12" s="1604"/>
      <c r="B12" s="1604"/>
      <c r="C12" s="1604"/>
      <c r="D12" s="1604"/>
      <c r="E12" s="1604"/>
      <c r="F12" s="2552"/>
      <c r="G12" s="2552"/>
    </row>
    <row r="13" spans="1:9" ht="33">
      <c r="A13" s="2556" t="s">
        <v>1181</v>
      </c>
      <c r="B13" s="2557" t="s">
        <v>1155</v>
      </c>
      <c r="C13" s="2557" t="s">
        <v>1156</v>
      </c>
      <c r="D13" s="2557" t="s">
        <v>1168</v>
      </c>
      <c r="E13" s="2551" t="s">
        <v>1160</v>
      </c>
      <c r="F13" s="2551" t="s">
        <v>1161</v>
      </c>
      <c r="G13" s="2557" t="s">
        <v>1169</v>
      </c>
      <c r="H13" s="2557" t="s">
        <v>1170</v>
      </c>
      <c r="I13" s="2557" t="s">
        <v>1171</v>
      </c>
    </row>
    <row r="14" spans="1:9" ht="16.5">
      <c r="A14" s="2857" t="s">
        <v>2986</v>
      </c>
      <c r="B14" s="2887">
        <f>项目基本情况!C12</f>
        <v>240.88</v>
      </c>
      <c r="C14" s="2887">
        <f>项目基本情况!C13</f>
        <v>0</v>
      </c>
      <c r="D14" s="2887">
        <f ca="1">IF('数据-取费表'!B3="万元",IF(A14="估价对象1（结果表）",结果表!H121,'结果表 (1修多)'!H125),IF(A14="估价对象1（结果表）",结果表!H121,'结果表 (1修多)'!H125)/10000)</f>
        <v>1067</v>
      </c>
      <c r="E14" s="2887">
        <f ca="1">ROUND(D14*10000/B14,0)</f>
        <v>44296</v>
      </c>
      <c r="F14" s="2887" t="e">
        <f ca="1">ROUND(D14*10000/C14,0)</f>
        <v>#DIV/0!</v>
      </c>
      <c r="G14" s="2887">
        <f ca="1">IF('数据-取费表'!B3="万元",IF(A14="估价对象1（结果表）",结果表!D125,'结果表 (1修多)'!D129),IF(A14="估价对象1（结果表）",结果表!D125,'结果表 (1修多)'!D129)/10000)</f>
        <v>1067</v>
      </c>
      <c r="H14" s="2887" t="str">
        <f>IF('数据-取费表'!B3="万元",IF(A14="估价对象1（结果表）",结果表!D127,'结果表 (1修多)'!D131),IF(A14="估价对象1（结果表）",结果表!D127,'结果表 (1修多)'!D131)/10000)</f>
        <v>——</v>
      </c>
      <c r="I14" s="2887" t="str">
        <f>IF('数据-取费表'!B3="万元",IF(A14="估价对象1（结果表）",结果表!D129,'结果表 (1修多)'!D133),IF(A14="估价对象1（结果表）",结果表!D129,'结果表 (1修多)'!D133)/10000)</f>
        <v>——</v>
      </c>
    </row>
    <row r="15" spans="1:9" ht="16.5">
      <c r="A15" s="2558" t="s">
        <v>1172</v>
      </c>
      <c r="B15" s="2559"/>
      <c r="C15" s="2559"/>
      <c r="D15" s="2559"/>
      <c r="E15" s="2887" t="e">
        <f t="shared" ref="E15:E23" si="2">ROUND(D15*10000/B15,0)</f>
        <v>#DIV/0!</v>
      </c>
      <c r="F15" s="2887" t="e">
        <f t="shared" ref="F15:F23" si="3">ROUND(D15*10000/C15,0)</f>
        <v>#DIV/0!</v>
      </c>
      <c r="G15" s="1275"/>
      <c r="H15" s="1275"/>
      <c r="I15" s="2559"/>
    </row>
    <row r="16" spans="1:9" ht="16.5">
      <c r="A16" s="2558" t="s">
        <v>1173</v>
      </c>
      <c r="B16" s="2559"/>
      <c r="C16" s="2559"/>
      <c r="D16" s="2559"/>
      <c r="E16" s="2887" t="e">
        <f t="shared" si="2"/>
        <v>#DIV/0!</v>
      </c>
      <c r="F16" s="2887" t="e">
        <f t="shared" si="3"/>
        <v>#DIV/0!</v>
      </c>
      <c r="G16" s="1275"/>
      <c r="H16" s="1275"/>
      <c r="I16" s="2559"/>
    </row>
    <row r="17" spans="1:9" ht="16.5">
      <c r="A17" s="2558" t="s">
        <v>1174</v>
      </c>
      <c r="B17" s="2559"/>
      <c r="C17" s="2559"/>
      <c r="D17" s="2559"/>
      <c r="E17" s="2887" t="e">
        <f t="shared" si="2"/>
        <v>#DIV/0!</v>
      </c>
      <c r="F17" s="2887" t="e">
        <f t="shared" si="3"/>
        <v>#DIV/0!</v>
      </c>
      <c r="G17" s="1275"/>
      <c r="H17" s="1275"/>
      <c r="I17" s="2559"/>
    </row>
    <row r="18" spans="1:9" ht="16.5">
      <c r="A18" s="2558" t="s">
        <v>1175</v>
      </c>
      <c r="B18" s="2559"/>
      <c r="C18" s="2559"/>
      <c r="D18" s="2559"/>
      <c r="E18" s="2887" t="e">
        <f t="shared" si="2"/>
        <v>#DIV/0!</v>
      </c>
      <c r="F18" s="2887" t="e">
        <f t="shared" si="3"/>
        <v>#DIV/0!</v>
      </c>
      <c r="G18" s="2559"/>
      <c r="H18" s="2559"/>
      <c r="I18" s="2559"/>
    </row>
    <row r="19" spans="1:9" ht="16.5">
      <c r="A19" s="2558" t="s">
        <v>1176</v>
      </c>
      <c r="B19" s="2559"/>
      <c r="C19" s="2559"/>
      <c r="D19" s="2559"/>
      <c r="E19" s="2887" t="e">
        <f t="shared" si="2"/>
        <v>#DIV/0!</v>
      </c>
      <c r="F19" s="2887" t="e">
        <f t="shared" si="3"/>
        <v>#DIV/0!</v>
      </c>
      <c r="G19" s="2559"/>
      <c r="H19" s="2559"/>
      <c r="I19" s="2559"/>
    </row>
    <row r="20" spans="1:9" ht="16.5">
      <c r="A20" s="2558" t="s">
        <v>1177</v>
      </c>
      <c r="B20" s="2559"/>
      <c r="C20" s="2559"/>
      <c r="D20" s="2559"/>
      <c r="E20" s="2887" t="e">
        <f t="shared" si="2"/>
        <v>#DIV/0!</v>
      </c>
      <c r="F20" s="2887" t="e">
        <f t="shared" si="3"/>
        <v>#DIV/0!</v>
      </c>
      <c r="G20" s="2559"/>
      <c r="H20" s="2559"/>
      <c r="I20" s="2559"/>
    </row>
    <row r="21" spans="1:9" ht="16.5">
      <c r="A21" s="2558" t="s">
        <v>1178</v>
      </c>
      <c r="B21" s="2559"/>
      <c r="C21" s="2559"/>
      <c r="D21" s="2559"/>
      <c r="E21" s="2887" t="e">
        <f t="shared" si="2"/>
        <v>#DIV/0!</v>
      </c>
      <c r="F21" s="2887" t="e">
        <f t="shared" si="3"/>
        <v>#DIV/0!</v>
      </c>
      <c r="G21" s="2559"/>
      <c r="H21" s="2559"/>
      <c r="I21" s="2559"/>
    </row>
    <row r="22" spans="1:9" ht="16.5">
      <c r="A22" s="2558" t="s">
        <v>1179</v>
      </c>
      <c r="B22" s="2559"/>
      <c r="C22" s="2559"/>
      <c r="D22" s="2559"/>
      <c r="E22" s="2887" t="e">
        <f t="shared" si="2"/>
        <v>#DIV/0!</v>
      </c>
      <c r="F22" s="2887" t="e">
        <f t="shared" si="3"/>
        <v>#DIV/0!</v>
      </c>
      <c r="G22" s="2559"/>
      <c r="H22" s="2559"/>
      <c r="I22" s="2559"/>
    </row>
    <row r="23" spans="1:9" ht="16.5">
      <c r="A23" s="2558" t="s">
        <v>1180</v>
      </c>
      <c r="B23" s="2559"/>
      <c r="C23" s="2559"/>
      <c r="D23" s="2559"/>
      <c r="E23" s="2888" t="e">
        <f t="shared" si="2"/>
        <v>#DIV/0!</v>
      </c>
      <c r="F23" s="2888" t="e">
        <f t="shared" si="3"/>
        <v>#DIV/0!</v>
      </c>
      <c r="G23" s="2559"/>
      <c r="H23" s="2559"/>
      <c r="I23" s="2559"/>
    </row>
    <row r="31" spans="1:9">
      <c r="D31" s="2553">
        <f>1066*0.9</f>
        <v>959.4</v>
      </c>
    </row>
    <row r="32" spans="1:9">
      <c r="D32" s="2553">
        <f>1066/B14</f>
        <v>4.4254400531384919</v>
      </c>
    </row>
    <row r="33" spans="4:4">
      <c r="D33" s="2553">
        <f>D32*0.9</f>
        <v>3.9828960478246427</v>
      </c>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tabSelected="1" view="pageBreakPreview" zoomScale="80" zoomScaleNormal="100" zoomScaleSheetLayoutView="80" zoomScalePageLayoutView="80" workbookViewId="0">
      <selection activeCell="E26" sqref="E26"/>
    </sheetView>
  </sheetViews>
  <sheetFormatPr defaultColWidth="12.625" defaultRowHeight="21.75" customHeight="1"/>
  <cols>
    <col min="1" max="2" width="12.625" style="1432"/>
    <col min="3" max="4" width="12.625" style="1432" customWidth="1"/>
    <col min="5" max="9" width="12.625" style="1432"/>
    <col min="10" max="10" width="3.6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1652</v>
      </c>
      <c r="B1" s="1431"/>
      <c r="C1" s="1431"/>
      <c r="D1" s="1431"/>
      <c r="E1" s="1431"/>
      <c r="F1" s="1431"/>
      <c r="G1" s="1431"/>
      <c r="H1" s="1431"/>
      <c r="I1" s="1431"/>
    </row>
    <row r="2" spans="1:15" ht="21.75" customHeight="1">
      <c r="A2" s="3466" t="str">
        <f>项目基本情况!B1</f>
        <v>北京市预评估</v>
      </c>
      <c r="B2" s="3466"/>
      <c r="C2" s="3466"/>
      <c r="D2" s="3466"/>
      <c r="E2" s="3466"/>
      <c r="F2" s="3466"/>
      <c r="G2" s="3466"/>
      <c r="H2" s="3466"/>
      <c r="I2" s="3466"/>
      <c r="J2" s="2814"/>
    </row>
    <row r="3" spans="1:15" ht="12.75">
      <c r="A3" s="3469" t="s">
        <v>1653</v>
      </c>
      <c r="B3" s="3470"/>
      <c r="C3" s="3470"/>
      <c r="D3" s="3470"/>
      <c r="E3" s="3470"/>
      <c r="F3" s="3470"/>
      <c r="G3" s="3470"/>
      <c r="H3" s="3470"/>
      <c r="I3" s="3470"/>
      <c r="J3" s="2815"/>
    </row>
    <row r="4" spans="1:15" ht="14.25">
      <c r="A4" s="2683" t="s">
        <v>1654</v>
      </c>
      <c r="B4" s="2683" t="s">
        <v>1655</v>
      </c>
      <c r="C4" s="2684" t="s">
        <v>2984</v>
      </c>
      <c r="D4" s="2684" t="s">
        <v>2985</v>
      </c>
      <c r="E4" s="3415" t="s">
        <v>1656</v>
      </c>
      <c r="F4" s="3453"/>
      <c r="G4" s="3453"/>
      <c r="H4" s="3453"/>
      <c r="I4" s="3454"/>
      <c r="J4" s="2816"/>
      <c r="L4" s="1431" t="str">
        <f>IF(ISNUMBER(FIND("比较法",结果表!C4)),"比较法",IF(ISNUMBER(FIND("成本法",结果表!C4)),"成本法",IF(ISNUMBER(FIND("假设开发法",结果表!C4)),"假设开发法",IF(ISNUMBER(FIND("收益法",结果表!C4)),"收益法","基准地价系数修正法"))))</f>
        <v>比较法</v>
      </c>
      <c r="M4" s="1431" t="str">
        <f>IF(ISNUMBER(FIND("比较法",结果表!D4)),"比较法",IF(ISNUMBER(FIND("成本法",结果表!D4)),"成本法",IF(ISNUMBER(FIND("假设开发法",结果表!D4)),"假设开发法",IF(ISNUMBER(FIND("收益法",结果表!D4)),"收益法","基准地价系数修正法"))))</f>
        <v>收益法</v>
      </c>
      <c r="N4" s="1431"/>
      <c r="O4" s="1431"/>
    </row>
    <row r="5" spans="1:15" ht="12.75">
      <c r="A5" s="3446" t="s">
        <v>1657</v>
      </c>
      <c r="B5" s="3446">
        <v>25</v>
      </c>
      <c r="C5" s="3455"/>
      <c r="D5" s="3468"/>
      <c r="E5" s="12" t="s">
        <v>1658</v>
      </c>
      <c r="F5" s="2059"/>
      <c r="G5" s="2059"/>
      <c r="H5" s="2059"/>
      <c r="I5" s="2054"/>
      <c r="J5" s="2816"/>
    </row>
    <row r="6" spans="1:15" ht="12.75">
      <c r="A6" s="3446"/>
      <c r="B6" s="3446"/>
      <c r="C6" s="3471"/>
      <c r="D6" s="3468"/>
      <c r="E6" s="12" t="s">
        <v>1659</v>
      </c>
      <c r="F6" s="2059"/>
      <c r="G6" s="2059"/>
      <c r="H6" s="2059"/>
      <c r="I6" s="2054"/>
      <c r="J6" s="2816"/>
    </row>
    <row r="7" spans="1:15" ht="12.75">
      <c r="A7" s="3446"/>
      <c r="B7" s="3446"/>
      <c r="C7" s="3456"/>
      <c r="D7" s="3468"/>
      <c r="E7" s="12" t="s">
        <v>1660</v>
      </c>
      <c r="F7" s="2059"/>
      <c r="G7" s="2059"/>
      <c r="H7" s="2059"/>
      <c r="I7" s="2054"/>
      <c r="J7" s="2816"/>
    </row>
    <row r="8" spans="1:15" ht="12.75">
      <c r="A8" s="3446" t="s">
        <v>1661</v>
      </c>
      <c r="B8" s="3446">
        <v>15</v>
      </c>
      <c r="C8" s="3455"/>
      <c r="D8" s="3468"/>
      <c r="E8" s="12" t="s">
        <v>1662</v>
      </c>
      <c r="F8" s="2059"/>
      <c r="G8" s="2059"/>
      <c r="H8" s="2059"/>
      <c r="I8" s="2054"/>
      <c r="J8" s="2816"/>
    </row>
    <row r="9" spans="1:15" ht="12.75">
      <c r="A9" s="3446"/>
      <c r="B9" s="3446"/>
      <c r="C9" s="3456"/>
      <c r="D9" s="3468"/>
      <c r="E9" s="12" t="s">
        <v>1663</v>
      </c>
      <c r="F9" s="2059"/>
      <c r="G9" s="2059"/>
      <c r="H9" s="2059"/>
      <c r="I9" s="2054"/>
      <c r="J9" s="2816"/>
    </row>
    <row r="10" spans="1:15" ht="12.75">
      <c r="A10" s="3446" t="s">
        <v>1664</v>
      </c>
      <c r="B10" s="3446">
        <v>15</v>
      </c>
      <c r="C10" s="3455"/>
      <c r="D10" s="3468"/>
      <c r="E10" s="12" t="s">
        <v>1665</v>
      </c>
      <c r="F10" s="2059"/>
      <c r="G10" s="2059"/>
      <c r="H10" s="2059"/>
      <c r="I10" s="2054"/>
      <c r="J10" s="2816"/>
    </row>
    <row r="11" spans="1:15" ht="12.75">
      <c r="A11" s="3446"/>
      <c r="B11" s="3446"/>
      <c r="C11" s="3456"/>
      <c r="D11" s="3468"/>
      <c r="E11" s="12" t="s">
        <v>1666</v>
      </c>
      <c r="F11" s="2059"/>
      <c r="G11" s="2059"/>
      <c r="H11" s="2059"/>
      <c r="I11" s="2054"/>
      <c r="J11" s="2816"/>
    </row>
    <row r="12" spans="1:15" ht="12.75">
      <c r="A12" s="3446" t="s">
        <v>1667</v>
      </c>
      <c r="B12" s="3446">
        <v>15</v>
      </c>
      <c r="C12" s="3455"/>
      <c r="D12" s="3468"/>
      <c r="E12" s="12" t="s">
        <v>1668</v>
      </c>
      <c r="F12" s="2059"/>
      <c r="G12" s="2059"/>
      <c r="H12" s="2059"/>
      <c r="I12" s="2054"/>
      <c r="J12" s="2816"/>
    </row>
    <row r="13" spans="1:15" ht="12.75">
      <c r="A13" s="3446"/>
      <c r="B13" s="3446"/>
      <c r="C13" s="3456"/>
      <c r="D13" s="3468"/>
      <c r="E13" s="12" t="s">
        <v>1669</v>
      </c>
      <c r="F13" s="2059"/>
      <c r="G13" s="2059"/>
      <c r="H13" s="2059"/>
      <c r="I13" s="2054"/>
      <c r="J13" s="2816"/>
    </row>
    <row r="14" spans="1:15" ht="12.75">
      <c r="A14" s="3446" t="s">
        <v>1670</v>
      </c>
      <c r="B14" s="3446">
        <v>30</v>
      </c>
      <c r="C14" s="3455">
        <v>5</v>
      </c>
      <c r="D14" s="3468">
        <f>10-C14</f>
        <v>5</v>
      </c>
      <c r="E14" s="12" t="s">
        <v>1671</v>
      </c>
      <c r="F14" s="2059"/>
      <c r="G14" s="2059"/>
      <c r="H14" s="2059"/>
      <c r="I14" s="2054"/>
      <c r="J14" s="2816"/>
    </row>
    <row r="15" spans="1:15" ht="12.75">
      <c r="A15" s="3446"/>
      <c r="B15" s="3446"/>
      <c r="C15" s="3471"/>
      <c r="D15" s="3468"/>
      <c r="E15" s="12" t="s">
        <v>1672</v>
      </c>
      <c r="F15" s="2059"/>
      <c r="G15" s="2059"/>
      <c r="H15" s="2059"/>
      <c r="I15" s="2054"/>
      <c r="J15" s="2816"/>
    </row>
    <row r="16" spans="1:15" ht="12.75">
      <c r="A16" s="3446"/>
      <c r="B16" s="3446"/>
      <c r="C16" s="3456"/>
      <c r="D16" s="3468"/>
      <c r="E16" s="12" t="s">
        <v>1673</v>
      </c>
      <c r="F16" s="2059"/>
      <c r="G16" s="2059"/>
      <c r="H16" s="2059"/>
      <c r="I16" s="2054"/>
      <c r="J16" s="2816"/>
    </row>
    <row r="17" spans="1:36" ht="15">
      <c r="A17" s="2685" t="s">
        <v>1674</v>
      </c>
      <c r="B17" s="2064"/>
      <c r="C17" s="2686">
        <f>SUM(C5:C16)</f>
        <v>5</v>
      </c>
      <c r="D17" s="2686">
        <f>SUM(D5:D16)</f>
        <v>5</v>
      </c>
      <c r="E17" s="2533"/>
      <c r="F17" s="2533"/>
      <c r="G17" s="2533"/>
      <c r="H17" s="2533"/>
      <c r="I17" s="2533"/>
      <c r="J17" s="2817"/>
    </row>
    <row r="18" spans="1:36" ht="30" customHeight="1" thickBot="1">
      <c r="A18" s="2687" t="s">
        <v>1675</v>
      </c>
      <c r="B18" s="2688"/>
      <c r="C18" s="2689">
        <f>ROUND(C17/SUM(C17:D17),2)</f>
        <v>0.5</v>
      </c>
      <c r="D18" s="2689">
        <f>1-C18</f>
        <v>0.5</v>
      </c>
      <c r="E18" s="3464" t="s">
        <v>2760</v>
      </c>
      <c r="F18" s="3465"/>
      <c r="G18" s="3465"/>
      <c r="H18" s="3465"/>
      <c r="I18" s="3465"/>
      <c r="J18" s="2817"/>
    </row>
    <row r="19" spans="1:36" ht="15">
      <c r="A19" s="2690" t="s">
        <v>1676</v>
      </c>
      <c r="B19" s="2691" t="s">
        <v>1677</v>
      </c>
      <c r="C19" s="2692">
        <f ca="1">SUMIF(INDIRECT("'"&amp;C4&amp;"'"&amp;"!A:A"),结果表!B19,INDIRECT("'"&amp;C4&amp;"'"&amp;"!B:B"))</f>
        <v>1083</v>
      </c>
      <c r="D19" s="2693">
        <f ca="1">SUMIF(INDIRECT("'"&amp;D4&amp;"'"&amp;"!A:A"),结果表!B19,INDIRECT("'"&amp;D4&amp;"'"&amp;"!B:B"))</f>
        <v>1051</v>
      </c>
      <c r="E19" s="2690" t="s">
        <v>1678</v>
      </c>
      <c r="F19" s="2691" t="s">
        <v>1677</v>
      </c>
      <c r="G19" s="2694">
        <f ca="1">ROUND(C19*$C$18+D19*$D$18,0)</f>
        <v>1067</v>
      </c>
      <c r="H19" s="2695" t="str">
        <f>'数据-取费表'!B3</f>
        <v>万元</v>
      </c>
      <c r="I19" s="2743"/>
      <c r="J19" s="2818"/>
    </row>
    <row r="20" spans="1:36" ht="15">
      <c r="A20" s="2696"/>
      <c r="B20" s="1664" t="s">
        <v>1679</v>
      </c>
      <c r="C20" s="1889">
        <f ca="1">SUMIF(INDIRECT("'"&amp;C4&amp;"'"&amp;"!A:A"),结果表!B20,INDIRECT("'"&amp;C4&amp;"'"&amp;"!B:B"))</f>
        <v>44956</v>
      </c>
      <c r="D20" s="1892">
        <f ca="1">SUMIF(INDIRECT("'"&amp;D4&amp;"'"&amp;"!A:A"),结果表!B20,INDIRECT("'"&amp;D4&amp;"'"&amp;"!B:B"))</f>
        <v>43645</v>
      </c>
      <c r="E20" s="2696"/>
      <c r="F20" s="1664" t="s">
        <v>1679</v>
      </c>
      <c r="G20" s="2063">
        <f ca="1">ROUND(C20*$C$18+D20*$D$18,0)</f>
        <v>44301</v>
      </c>
      <c r="H20" s="2697" t="s">
        <v>1680</v>
      </c>
      <c r="I20" s="2533"/>
      <c r="J20" s="2817"/>
    </row>
    <row r="21" spans="1:36" ht="15" customHeight="1" thickBot="1">
      <c r="A21" s="2698"/>
      <c r="B21" s="2699"/>
      <c r="C21" s="2699"/>
      <c r="D21" s="2700"/>
      <c r="E21" s="2698"/>
      <c r="F21" s="2699"/>
      <c r="G21" s="2701"/>
      <c r="H21" s="2702"/>
      <c r="I21" s="2533"/>
      <c r="J21" s="2817"/>
    </row>
    <row r="22" spans="1:36" ht="15" thickBot="1">
      <c r="A22" s="2703" t="s">
        <v>1681</v>
      </c>
      <c r="B22" s="2704"/>
      <c r="C22" s="2617"/>
      <c r="D22" s="2705">
        <f ca="1">IF(C19&lt;D19,D19/C19-1,C19/D19-1)</f>
        <v>3.0447193149381491E-2</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57" t="s">
        <v>1682</v>
      </c>
      <c r="B24" s="2691" t="s">
        <v>1677</v>
      </c>
      <c r="C24" s="2694">
        <f>D30</f>
        <v>0</v>
      </c>
      <c r="D24" s="2646"/>
      <c r="E24" s="947"/>
      <c r="F24" s="947"/>
      <c r="G24" s="947"/>
      <c r="H24" s="947"/>
      <c r="I24" s="947"/>
      <c r="J24" s="2817"/>
    </row>
    <row r="25" spans="1:36" ht="21.75" customHeight="1">
      <c r="A25" s="3474"/>
      <c r="B25" s="1664" t="s">
        <v>1679</v>
      </c>
      <c r="C25" s="2706">
        <f>IF(B30=0,0,C30)</f>
        <v>0</v>
      </c>
      <c r="D25" s="2707"/>
      <c r="E25" s="947"/>
      <c r="F25" s="947"/>
      <c r="G25" s="947"/>
      <c r="H25" s="947"/>
      <c r="I25" s="947"/>
      <c r="J25" s="2817"/>
    </row>
    <row r="26" spans="1:36" ht="13.5" customHeight="1">
      <c r="A26" s="2708" t="s">
        <v>1683</v>
      </c>
      <c r="B26" s="2709" t="s">
        <v>1684</v>
      </c>
      <c r="C26" s="2709" t="s">
        <v>1685</v>
      </c>
      <c r="D26" s="2710" t="s">
        <v>1686</v>
      </c>
      <c r="E26" s="947"/>
      <c r="F26" s="947"/>
      <c r="G26" s="947"/>
      <c r="H26" s="947"/>
      <c r="I26" s="947"/>
      <c r="J26" s="2817"/>
    </row>
    <row r="27" spans="1:36" ht="14.25">
      <c r="A27" s="2711"/>
      <c r="B27" s="2709">
        <v>0</v>
      </c>
      <c r="C27" s="2709">
        <v>0</v>
      </c>
      <c r="D27" s="2710">
        <f>ROUND(C27*B27/10000,0)</f>
        <v>0</v>
      </c>
      <c r="E27" s="947"/>
      <c r="F27" s="947"/>
      <c r="G27" s="947"/>
      <c r="H27" s="947"/>
      <c r="I27" s="947"/>
      <c r="J27" s="2817"/>
    </row>
    <row r="28" spans="1:36" ht="14.25">
      <c r="A28" s="2708"/>
      <c r="B28" s="2709"/>
      <c r="C28" s="2709"/>
      <c r="D28" s="2710">
        <f t="shared" ref="D28:D29" si="0">ROUND(C28*B28/10000,0)</f>
        <v>0</v>
      </c>
      <c r="E28" s="947"/>
      <c r="F28" s="947"/>
      <c r="G28" s="947"/>
      <c r="H28" s="947"/>
      <c r="I28" s="947"/>
      <c r="J28" s="2817"/>
    </row>
    <row r="29" spans="1:36" ht="14.25">
      <c r="A29" s="2708"/>
      <c r="B29" s="2709"/>
      <c r="C29" s="2709"/>
      <c r="D29" s="2710">
        <f t="shared" si="0"/>
        <v>0</v>
      </c>
      <c r="E29" s="947"/>
      <c r="F29" s="947"/>
      <c r="G29" s="947"/>
      <c r="H29" s="947"/>
      <c r="I29" s="947"/>
      <c r="J29" s="2817"/>
    </row>
    <row r="30" spans="1:36" ht="15" thickBot="1">
      <c r="A30" s="2745" t="s">
        <v>1687</v>
      </c>
      <c r="B30" s="2745"/>
      <c r="C30" s="2745"/>
      <c r="D30" s="2745"/>
      <c r="E30" s="2712" t="s">
        <v>2764</v>
      </c>
      <c r="F30" s="2533"/>
      <c r="G30" s="2533"/>
      <c r="H30" s="2533"/>
      <c r="I30" s="2533"/>
      <c r="J30" s="2817"/>
    </row>
    <row r="31" spans="1:36" s="2810" customFormat="1" ht="26.45" customHeight="1" thickTop="1" thickBot="1">
      <c r="A31" s="2805"/>
      <c r="B31" s="2806"/>
      <c r="C31" s="2806"/>
      <c r="D31" s="2806"/>
      <c r="E31" s="2806"/>
      <c r="F31" s="2806"/>
      <c r="G31" s="2806"/>
      <c r="H31" s="2806"/>
      <c r="I31" s="2807" t="s">
        <v>2765</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2804" customFormat="1" ht="16.5" thickTop="1" thickBot="1">
      <c r="A32" s="2798" t="s">
        <v>1688</v>
      </c>
      <c r="B32" s="2799" t="str">
        <f>'数据-取费表'!B4</f>
        <v>总价</v>
      </c>
      <c r="C32" s="2800">
        <f ca="1">IF(B32="总价",G19-C24,G20-C25)</f>
        <v>1067</v>
      </c>
      <c r="D32" s="2801" t="str">
        <f>IF(B32="楼面单价","元/平方米",H19)</f>
        <v>万元</v>
      </c>
      <c r="E32" s="2948"/>
      <c r="F32" s="2948"/>
      <c r="G32" s="2948"/>
      <c r="H32" s="2948"/>
      <c r="I32" s="2948"/>
      <c r="J32" s="2820"/>
      <c r="K32" s="2802"/>
      <c r="L32" s="2802"/>
      <c r="M32" s="2802"/>
      <c r="N32" s="2802"/>
      <c r="O32" s="2802"/>
      <c r="P32" s="2802"/>
      <c r="Q32" s="2802"/>
      <c r="R32" s="2802"/>
      <c r="S32" s="2802"/>
      <c r="T32" s="2802"/>
      <c r="U32" s="2802"/>
      <c r="V32" s="2802"/>
      <c r="W32" s="2802"/>
      <c r="X32" s="2802"/>
      <c r="Y32" s="2802"/>
      <c r="Z32" s="2802"/>
      <c r="AA32" s="2802"/>
      <c r="AB32" s="2803"/>
      <c r="AC32" s="2803"/>
      <c r="AD32" s="2803"/>
      <c r="AE32" s="2803"/>
      <c r="AF32" s="2803"/>
      <c r="AG32" s="2803"/>
      <c r="AH32" s="2803"/>
      <c r="AI32" s="2803"/>
      <c r="AJ32" s="2803"/>
    </row>
    <row r="33" spans="1:17" ht="15">
      <c r="A33" s="2713" t="s">
        <v>1689</v>
      </c>
      <c r="B33" s="255"/>
      <c r="C33" s="2714"/>
      <c r="D33" s="2715" t="s">
        <v>3007</v>
      </c>
      <c r="E33" s="2716" t="s">
        <v>1690</v>
      </c>
      <c r="F33" s="2717" t="str">
        <f>IF(B32="楼面单价","取值（单价）","取值（总价）")</f>
        <v>取值（总价）</v>
      </c>
      <c r="G33" s="947"/>
      <c r="H33" s="947"/>
      <c r="I33" s="947"/>
      <c r="J33" s="2817"/>
    </row>
    <row r="34" spans="1:17" ht="15">
      <c r="A34" s="1436"/>
      <c r="B34" s="2718" t="s">
        <v>1691</v>
      </c>
      <c r="C34" s="2719">
        <f ca="1">IF(D33="自定义",F34,C32-C35)</f>
        <v>845</v>
      </c>
      <c r="D34" s="2720">
        <f ca="1">IF(D33="自定义",ROUND(C34/C32,3),1-D35)</f>
        <v>0.79200000000000004</v>
      </c>
      <c r="E34" s="1405" t="s">
        <v>1692</v>
      </c>
      <c r="F34" s="2721"/>
      <c r="G34" s="947"/>
      <c r="H34" s="947"/>
      <c r="I34" s="947"/>
      <c r="J34" s="2817"/>
    </row>
    <row r="35" spans="1:17" ht="15.75" thickBot="1">
      <c r="A35" s="1437"/>
      <c r="B35" s="2722" t="s">
        <v>1693</v>
      </c>
      <c r="C35" s="2723">
        <f ca="1">IF(D33="自定义",F35,ROUND(C32*D35,0))</f>
        <v>222</v>
      </c>
      <c r="D35" s="2724">
        <f ca="1">IF(D33="自定义",ROUND(C35/C32,3),IF(D33="成本法成本比率",成本法!C56,IF(D33="收益法收益比率",收益法!J38,收益法!J41)))</f>
        <v>0.20799999999999999</v>
      </c>
      <c r="E35" s="2725" t="s">
        <v>1694</v>
      </c>
      <c r="F35" s="2726"/>
      <c r="G35" s="947"/>
      <c r="H35" s="947"/>
      <c r="I35" s="947"/>
      <c r="J35" s="2817"/>
    </row>
    <row r="36" spans="1:17" ht="15.75" thickBot="1">
      <c r="A36" s="3457" t="s">
        <v>1695</v>
      </c>
      <c r="B36" s="1438" t="s">
        <v>1696</v>
      </c>
      <c r="C36" s="2727">
        <v>0</v>
      </c>
      <c r="D36" s="2728"/>
      <c r="E36" s="1650"/>
      <c r="F36" s="1650"/>
      <c r="G36" s="947"/>
      <c r="H36" s="947"/>
      <c r="I36" s="947"/>
      <c r="J36" s="2817"/>
    </row>
    <row r="37" spans="1:17" ht="15.75" thickBot="1">
      <c r="A37" s="3458"/>
      <c r="B37" s="2064" t="s">
        <v>1697</v>
      </c>
      <c r="C37" s="2729">
        <v>0</v>
      </c>
      <c r="D37" s="1281"/>
      <c r="E37" s="1281"/>
      <c r="F37" s="1650"/>
      <c r="G37" s="1281"/>
      <c r="H37" s="1281"/>
      <c r="I37" s="1281"/>
      <c r="J37" s="2821"/>
    </row>
    <row r="38" spans="1:17" ht="15.75" thickBot="1">
      <c r="A38" s="3459"/>
      <c r="B38" s="1439" t="s">
        <v>1698</v>
      </c>
      <c r="C38" s="2730">
        <v>0</v>
      </c>
      <c r="D38" s="2731" t="s">
        <v>1699</v>
      </c>
      <c r="E38" s="1281"/>
      <c r="F38" s="1650"/>
      <c r="G38" s="1281"/>
      <c r="H38" s="1281"/>
      <c r="I38" s="1281"/>
      <c r="J38" s="2821"/>
    </row>
    <row r="39" spans="1:17" ht="15">
      <c r="A39" s="2696" t="s">
        <v>1700</v>
      </c>
      <c r="B39" s="2732" t="s">
        <v>1684</v>
      </c>
      <c r="C39" s="2733" t="s">
        <v>1685</v>
      </c>
      <c r="D39" s="2733" t="s">
        <v>1701</v>
      </c>
      <c r="E39" s="2734" t="s">
        <v>1686</v>
      </c>
      <c r="F39" s="1650"/>
      <c r="G39" s="1281"/>
      <c r="H39" s="1281"/>
      <c r="I39" s="1281"/>
      <c r="J39" s="2821"/>
    </row>
    <row r="40" spans="1:17" ht="14.25">
      <c r="A40" s="2735" t="s">
        <v>1702</v>
      </c>
      <c r="B40" s="2736"/>
      <c r="C40" s="2737"/>
      <c r="D40" s="2737"/>
      <c r="E40" s="2738"/>
      <c r="F40" s="1650"/>
      <c r="G40" s="1281"/>
      <c r="H40" s="1281"/>
      <c r="I40" s="1281"/>
      <c r="J40" s="2821"/>
    </row>
    <row r="41" spans="1:17" ht="14.25">
      <c r="A41" s="2735" t="s">
        <v>1703</v>
      </c>
      <c r="B41" s="2736"/>
      <c r="C41" s="2737"/>
      <c r="D41" s="2737"/>
      <c r="E41" s="2738"/>
      <c r="F41" s="1650"/>
      <c r="G41" s="1281"/>
      <c r="H41" s="1281"/>
      <c r="I41" s="1281"/>
      <c r="J41" s="2821"/>
    </row>
    <row r="42" spans="1:17" ht="15" thickBot="1">
      <c r="A42" s="2739"/>
      <c r="B42" s="2740"/>
      <c r="C42" s="2741"/>
      <c r="D42" s="2741"/>
      <c r="E42" s="2726"/>
      <c r="F42" s="1650"/>
      <c r="G42" s="1281"/>
      <c r="H42" s="1281"/>
      <c r="I42" s="1281"/>
      <c r="J42" s="2821"/>
    </row>
    <row r="43" spans="1:17" ht="12.75">
      <c r="A43" s="2947"/>
      <c r="B43" s="2947"/>
      <c r="C43" s="2947"/>
      <c r="D43" s="2947"/>
      <c r="E43" s="2947"/>
      <c r="F43" s="2946"/>
      <c r="G43" s="2946"/>
      <c r="H43" s="2946"/>
      <c r="I43" s="2633"/>
      <c r="J43" s="2822"/>
    </row>
    <row r="44" spans="1:17" ht="18.75">
      <c r="A44" s="1441" t="s">
        <v>1704</v>
      </c>
      <c r="B44" s="1442"/>
      <c r="C44" s="1442"/>
      <c r="D44" s="1443"/>
      <c r="E44" s="1443"/>
      <c r="F44" s="1444"/>
      <c r="G44" s="1444"/>
      <c r="H44" s="1444"/>
      <c r="I44" s="2811" t="s">
        <v>2759</v>
      </c>
      <c r="J44" s="2823"/>
      <c r="K44" s="1445" t="s">
        <v>1705</v>
      </c>
      <c r="L44" s="1446"/>
      <c r="M44" s="1446"/>
      <c r="N44" s="1446"/>
      <c r="O44" s="1446"/>
      <c r="P44" s="1446"/>
      <c r="Q44" s="1278"/>
    </row>
    <row r="45" spans="1:17" ht="14.25" customHeight="1" thickBot="1">
      <c r="A45" s="3461" t="s">
        <v>1706</v>
      </c>
      <c r="B45" s="3462"/>
      <c r="C45" s="3421"/>
      <c r="D45" s="246">
        <f ca="1">ROUND(I102*F45,0)</f>
        <v>1067</v>
      </c>
      <c r="E45" s="1512" t="s">
        <v>1707</v>
      </c>
      <c r="F45" s="2531">
        <v>1</v>
      </c>
      <c r="G45" s="2532" t="s">
        <v>1708</v>
      </c>
      <c r="H45" s="947"/>
      <c r="I45" s="947"/>
      <c r="J45" s="2817"/>
      <c r="K45" s="3515" t="s">
        <v>2689</v>
      </c>
      <c r="L45" s="3515"/>
      <c r="M45" s="3515"/>
      <c r="N45" s="3515"/>
      <c r="O45" s="3515"/>
      <c r="P45" s="3515"/>
      <c r="Q45" s="1278"/>
    </row>
    <row r="46" spans="1:17" ht="14.25" customHeight="1">
      <c r="A46" s="3450" t="s">
        <v>1710</v>
      </c>
      <c r="B46" s="3451"/>
      <c r="C46" s="3451"/>
      <c r="D46" s="3451"/>
      <c r="E46" s="3451"/>
      <c r="F46" s="3451"/>
      <c r="G46" s="3452"/>
      <c r="H46" s="2949"/>
      <c r="I46" s="947"/>
      <c r="J46" s="2817"/>
      <c r="K46" s="2506">
        <v>1</v>
      </c>
      <c r="L46" s="3516" t="s">
        <v>2690</v>
      </c>
      <c r="M46" s="3516"/>
      <c r="N46" s="3517" t="str">
        <f>项目基本情况!B1</f>
        <v>北京市预评估</v>
      </c>
      <c r="O46" s="3517"/>
      <c r="P46" s="3517"/>
      <c r="Q46" s="1278"/>
    </row>
    <row r="47" spans="1:17" ht="12" customHeight="1">
      <c r="A47" s="38" t="s">
        <v>1712</v>
      </c>
      <c r="B47" s="39"/>
      <c r="C47" s="40"/>
      <c r="D47" s="1070" t="s">
        <v>1713</v>
      </c>
      <c r="E47" s="235" t="s">
        <v>1714</v>
      </c>
      <c r="F47" s="41" t="s">
        <v>1715</v>
      </c>
      <c r="G47" s="2534" t="s">
        <v>1716</v>
      </c>
      <c r="H47" s="2949"/>
      <c r="I47" s="947"/>
      <c r="J47" s="2817"/>
      <c r="K47" s="2506">
        <v>2</v>
      </c>
      <c r="L47" s="3516" t="s">
        <v>2691</v>
      </c>
      <c r="M47" s="3516"/>
      <c r="N47" s="3518">
        <f>'数据-取费表'!B2</f>
        <v>44645</v>
      </c>
      <c r="O47" s="3518"/>
      <c r="P47" s="3518"/>
      <c r="Q47" s="1278"/>
    </row>
    <row r="48" spans="1:17" ht="25.5">
      <c r="A48" s="3460" t="s">
        <v>1718</v>
      </c>
      <c r="B48" s="3414"/>
      <c r="C48" s="3414"/>
      <c r="D48" s="12">
        <f ca="1">IF(H48="情况1",0,IF(H48="情况2",D52,IF(H48="情况3",D53,IF(H48="情况4",D54))))</f>
        <v>57</v>
      </c>
      <c r="E48" s="2062" t="str">
        <f>IF(H48="情况4","(销售额-原购置价)×税（费）率","销售额×税（费）率")</f>
        <v>销售额×税（费）率</v>
      </c>
      <c r="F48" s="2535">
        <f>IF(H48="情况1","免征",'数据-取费表'!E29)</f>
        <v>5.6000000000000001E-2</v>
      </c>
      <c r="G48" s="2536" t="s">
        <v>1719</v>
      </c>
      <c r="H48" s="2537" t="s">
        <v>1720</v>
      </c>
      <c r="I48" s="2949"/>
      <c r="J48" s="2824"/>
      <c r="K48" s="2506">
        <v>3</v>
      </c>
      <c r="L48" s="3516" t="s">
        <v>2692</v>
      </c>
      <c r="M48" s="3516"/>
      <c r="N48" s="3517">
        <f ca="1">I102</f>
        <v>1067</v>
      </c>
      <c r="O48" s="3517"/>
      <c r="P48" s="3517"/>
      <c r="Q48" s="1278"/>
    </row>
    <row r="49" spans="1:17" ht="25.5" customHeight="1">
      <c r="A49" s="2061" t="s">
        <v>1722</v>
      </c>
      <c r="B49" s="3453" t="s">
        <v>1723</v>
      </c>
      <c r="C49" s="3453"/>
      <c r="D49" s="2538">
        <v>0</v>
      </c>
      <c r="E49" s="261" t="s">
        <v>1724</v>
      </c>
      <c r="F49" s="2539" t="s">
        <v>48</v>
      </c>
      <c r="G49" s="3510"/>
      <c r="H49" s="2540" t="s">
        <v>2766</v>
      </c>
      <c r="I49" s="2541"/>
      <c r="J49" s="2825"/>
      <c r="K49" s="2506">
        <v>4</v>
      </c>
      <c r="L49" s="3516" t="str">
        <f>IF(项目基本情况!F5="房地产抵押价值","房地产抵押价值","抵押担保权已注销时的房地产抵押价值")</f>
        <v>抵押担保权已注销时的房地产抵押价值</v>
      </c>
      <c r="M49" s="3516"/>
      <c r="N49" s="3517" t="str">
        <f>IF(项目基本情况!F5="房地产抵押价值",I110,I112)</f>
        <v>——</v>
      </c>
      <c r="O49" s="3517"/>
      <c r="P49" s="3517"/>
      <c r="Q49" s="1278"/>
    </row>
    <row r="50" spans="1:17" ht="25.5" customHeight="1">
      <c r="A50" s="2051"/>
      <c r="B50" s="3453" t="s">
        <v>1725</v>
      </c>
      <c r="C50" s="3453"/>
      <c r="D50" s="2542"/>
      <c r="E50" s="269"/>
      <c r="F50" s="2539"/>
      <c r="G50" s="3511"/>
      <c r="H50" s="2543" t="s">
        <v>2685</v>
      </c>
      <c r="I50" s="2541"/>
      <c r="J50" s="2825"/>
      <c r="K50" s="3516" t="s">
        <v>2693</v>
      </c>
      <c r="L50" s="3516"/>
      <c r="M50" s="3516"/>
      <c r="N50" s="3516"/>
      <c r="O50" s="3516"/>
      <c r="P50" s="3516"/>
      <c r="Q50" s="1278"/>
    </row>
    <row r="51" spans="1:17" ht="20.45" customHeight="1">
      <c r="A51" s="2544"/>
      <c r="B51" s="3453" t="s">
        <v>1727</v>
      </c>
      <c r="C51" s="3453"/>
      <c r="D51" s="1070"/>
      <c r="E51" s="264"/>
      <c r="F51" s="2539"/>
      <c r="G51" s="3512"/>
      <c r="H51" s="2543" t="s">
        <v>2686</v>
      </c>
      <c r="I51" s="2541"/>
      <c r="J51" s="2825"/>
      <c r="K51" s="2507" t="s">
        <v>2694</v>
      </c>
      <c r="L51" s="3516" t="s">
        <v>2695</v>
      </c>
      <c r="M51" s="3516"/>
      <c r="N51" s="2507" t="s">
        <v>2696</v>
      </c>
      <c r="O51" s="2507" t="s">
        <v>2697</v>
      </c>
      <c r="P51" s="2507" t="s">
        <v>2698</v>
      </c>
      <c r="Q51" s="1278"/>
    </row>
    <row r="52" spans="1:17" ht="24" customHeight="1">
      <c r="A52" s="2052" t="s">
        <v>1733</v>
      </c>
      <c r="B52" s="3453" t="s">
        <v>1734</v>
      </c>
      <c r="C52" s="3453"/>
      <c r="D52" s="1070">
        <f ca="1">ROUND(D45*'数据-取费表'!E29/(1+'数据-取费表'!F30),0)</f>
        <v>57</v>
      </c>
      <c r="E52" s="2062" t="s">
        <v>1735</v>
      </c>
      <c r="F52" s="2545">
        <f>'数据-取费表'!E29</f>
        <v>5.6000000000000001E-2</v>
      </c>
      <c r="G52" s="2546"/>
      <c r="H52" s="947"/>
      <c r="I52" s="2950"/>
      <c r="J52" s="2825"/>
      <c r="K52" s="2506">
        <v>1</v>
      </c>
      <c r="L52" s="3483" t="s">
        <v>2699</v>
      </c>
      <c r="M52" s="3483"/>
      <c r="N52" s="2508">
        <f ca="1">D48</f>
        <v>57</v>
      </c>
      <c r="O52" s="2506" t="str">
        <f>E48</f>
        <v>销售额×税（费）率</v>
      </c>
      <c r="P52" s="2509">
        <f>F48</f>
        <v>5.6000000000000001E-2</v>
      </c>
      <c r="Q52" s="1278"/>
    </row>
    <row r="53" spans="1:17" ht="12" customHeight="1">
      <c r="A53" s="2052" t="s">
        <v>1737</v>
      </c>
      <c r="B53" s="3415" t="s">
        <v>2778</v>
      </c>
      <c r="C53" s="3454"/>
      <c r="D53" s="1070">
        <f ca="1">ROUND(D45*'数据-取费表'!E29/(1+'数据-取费表'!F30),0)</f>
        <v>57</v>
      </c>
      <c r="E53" s="2062" t="s">
        <v>1735</v>
      </c>
      <c r="F53" s="2545">
        <f>'数据-取费表'!E29</f>
        <v>5.6000000000000001E-2</v>
      </c>
      <c r="G53" s="2546"/>
      <c r="H53" s="947"/>
      <c r="I53" s="2950"/>
      <c r="J53" s="2825"/>
      <c r="K53" s="2506">
        <v>2</v>
      </c>
      <c r="L53" s="3483" t="s">
        <v>2700</v>
      </c>
      <c r="M53" s="3483"/>
      <c r="N53" s="2508">
        <f t="shared" ref="N53:P54" si="1">D55</f>
        <v>0</v>
      </c>
      <c r="O53" s="2506" t="str">
        <f t="shared" si="1"/>
        <v>销售额×税（费）率</v>
      </c>
      <c r="P53" s="2509" t="str">
        <f t="shared" si="1"/>
        <v>免征</v>
      </c>
      <c r="Q53" s="1278"/>
    </row>
    <row r="54" spans="1:17" ht="12" customHeight="1">
      <c r="A54" s="2052" t="s">
        <v>1739</v>
      </c>
      <c r="B54" s="3415" t="s">
        <v>2779</v>
      </c>
      <c r="C54" s="3454"/>
      <c r="D54" s="1070">
        <f ca="1">C68</f>
        <v>57</v>
      </c>
      <c r="E54" s="264" t="s">
        <v>1740</v>
      </c>
      <c r="F54" s="2545">
        <f>'数据-取费表'!E29</f>
        <v>5.6000000000000001E-2</v>
      </c>
      <c r="G54" s="2546"/>
      <c r="H54" s="2951"/>
      <c r="I54" s="2950"/>
      <c r="J54" s="2825"/>
      <c r="K54" s="2506">
        <v>3</v>
      </c>
      <c r="L54" s="3483" t="s">
        <v>2701</v>
      </c>
      <c r="M54" s="3483"/>
      <c r="N54" s="2508">
        <f t="shared" si="1"/>
        <v>0</v>
      </c>
      <c r="O54" s="2506" t="str">
        <f t="shared" si="1"/>
        <v>增值额×税（费）率</v>
      </c>
      <c r="P54" s="2510" t="str">
        <f t="shared" si="1"/>
        <v>免征</v>
      </c>
      <c r="Q54" s="1278"/>
    </row>
    <row r="55" spans="1:17" ht="24" customHeight="1">
      <c r="A55" s="3413" t="s">
        <v>1742</v>
      </c>
      <c r="B55" s="3414"/>
      <c r="C55" s="3414"/>
      <c r="D55" s="12">
        <f>IF(H55="个人住宅",0,ROUND(D45*I55,0))</f>
        <v>0</v>
      </c>
      <c r="E55" s="2062" t="s">
        <v>1743</v>
      </c>
      <c r="F55" s="2545" t="str">
        <f>IF(H55="正常",I55,"免征")</f>
        <v>免征</v>
      </c>
      <c r="G55" s="2546"/>
      <c r="H55" s="2537" t="s">
        <v>2682</v>
      </c>
      <c r="I55" s="74">
        <f>'数据-取费表'!E37</f>
        <v>5.0000000000000001E-4</v>
      </c>
      <c r="J55" s="2825"/>
      <c r="K55" s="2506" t="str">
        <f>IF(H59="非个人房产","",4)</f>
        <v/>
      </c>
      <c r="L55" s="3483" t="str">
        <f>IF(H59="非个人房产","——","个人所得税")</f>
        <v>——</v>
      </c>
      <c r="M55" s="3483"/>
      <c r="N55" s="2511" t="str">
        <f>D59</f>
        <v>——</v>
      </c>
      <c r="O55" s="2512" t="str">
        <f>E59</f>
        <v>——</v>
      </c>
      <c r="P55" s="2513" t="str">
        <f>F59</f>
        <v>——</v>
      </c>
      <c r="Q55" s="1278"/>
    </row>
    <row r="56" spans="1:17" ht="24.75">
      <c r="A56" s="3413" t="s">
        <v>1745</v>
      </c>
      <c r="B56" s="3414"/>
      <c r="C56" s="3414"/>
      <c r="D56" s="12">
        <f>IF(H56="个人住宅",D57,D58)</f>
        <v>0</v>
      </c>
      <c r="E56" s="2062" t="s">
        <v>1746</v>
      </c>
      <c r="F56" s="2545" t="str">
        <f>IF(H56="正常",F58,"免征")</f>
        <v>免征</v>
      </c>
      <c r="G56" s="2547" t="s">
        <v>1747</v>
      </c>
      <c r="H56" s="2548" t="s">
        <v>2682</v>
      </c>
      <c r="I56" s="2952"/>
      <c r="J56" s="2825"/>
      <c r="K56" s="2506" t="str">
        <f>IF(项目基本情况!I6="上海银行",IF(K55="",4,K55+1),"")</f>
        <v/>
      </c>
      <c r="L56" s="3497" t="str">
        <f>IF(项目基本情况!I6="上海银行","其他处置费用","")</f>
        <v/>
      </c>
      <c r="M56" s="3498"/>
      <c r="N56" s="2508" t="str">
        <f>IF(项目基本情况!I6="上海银行",N69,"")</f>
        <v/>
      </c>
      <c r="O56" s="3497" t="str">
        <f>IF(项目基本情况!I6="上海银行","包含处置中涉及的律师、诉讼、拍卖、评估等费用","")</f>
        <v/>
      </c>
      <c r="P56" s="3509"/>
      <c r="Q56" s="1278"/>
    </row>
    <row r="57" spans="1:17" ht="12.75">
      <c r="A57" s="2052" t="s">
        <v>1722</v>
      </c>
      <c r="B57" s="3415" t="s">
        <v>1748</v>
      </c>
      <c r="C57" s="3454"/>
      <c r="D57" s="2538">
        <v>0</v>
      </c>
      <c r="E57" s="261" t="s">
        <v>1724</v>
      </c>
      <c r="F57" s="235"/>
      <c r="G57" s="2546"/>
      <c r="H57" s="2952"/>
      <c r="I57" s="2952"/>
      <c r="J57" s="2825"/>
      <c r="K57" s="3483">
        <f>IF(AND(K55="",K56=""),4,IF(项目基本情况!I6="上海银行",K56+1,K55+1))</f>
        <v>4</v>
      </c>
      <c r="L57" s="3483" t="s">
        <v>2702</v>
      </c>
      <c r="M57" s="2514" t="s">
        <v>2703</v>
      </c>
      <c r="N57" s="2515"/>
      <c r="O57" s="2516">
        <f ca="1">SUMIF(N52:N56,"&lt;9e307")</f>
        <v>57</v>
      </c>
      <c r="P57" s="2517"/>
      <c r="Q57" s="1276" t="e">
        <f ca="1">O57/N49</f>
        <v>#VALUE!</v>
      </c>
    </row>
    <row r="58" spans="1:17" ht="24.75">
      <c r="A58" s="2052" t="s">
        <v>1733</v>
      </c>
      <c r="B58" s="3415" t="s">
        <v>1751</v>
      </c>
      <c r="C58" s="3453"/>
      <c r="D58" s="12">
        <f ca="1">IF(H58="转让取得",C81,C97)</f>
        <v>604</v>
      </c>
      <c r="E58" s="2062" t="s">
        <v>1746</v>
      </c>
      <c r="F58" s="235" t="s">
        <v>48</v>
      </c>
      <c r="G58" s="2546"/>
      <c r="H58" s="2548" t="s">
        <v>1752</v>
      </c>
      <c r="I58" s="2952"/>
      <c r="J58" s="2825"/>
      <c r="K58" s="3483"/>
      <c r="L58" s="3483"/>
      <c r="M58" s="2514" t="s">
        <v>2704</v>
      </c>
      <c r="N58" s="2518"/>
      <c r="O58" s="2519" t="str">
        <f ca="1">IF(H19="元",NUMBERSTRING(INT(O57),2)&amp;"元整",NUMBERSTRING(INT(O57*10000),2)&amp;"元整")</f>
        <v>伍拾柒万元整</v>
      </c>
      <c r="P58" s="2520"/>
      <c r="Q58" s="1278"/>
    </row>
    <row r="59" spans="1:17" ht="24.75" thickBot="1">
      <c r="A59" s="3437" t="s">
        <v>1754</v>
      </c>
      <c r="B59" s="3438"/>
      <c r="C59" s="3438"/>
      <c r="D59" s="2549" t="str">
        <f>IF(H59="非个人房产","——",IF(H59="个人住宅（满五唯一有凭证）",0,IF(H59="个人其他（无凭证）",ROUND(D45*F59,0),ROUND(C67*F59,0))))</f>
        <v>——</v>
      </c>
      <c r="E59" s="2053" t="str">
        <f>IF(H59="非个人房产","——",IF(H59="个人其他（无凭证）","销售额×税（费）率",IF(H59="个人住宅（满五唯一有凭证）","免征","差额计税")))</f>
        <v>——</v>
      </c>
      <c r="F59" s="2550" t="str">
        <f>IF(OR(H59="非个人房产",H59="个人住宅（满五唯一有凭证）"),"——",IF(H59="个人其他（有凭证）",20%,1%))</f>
        <v>——</v>
      </c>
      <c r="G59" s="2795" t="s">
        <v>2757</v>
      </c>
      <c r="H59" s="2066" t="s">
        <v>2767</v>
      </c>
      <c r="I59" s="2854" t="s">
        <v>2768</v>
      </c>
      <c r="J59" s="2825"/>
      <c r="K59" s="3481">
        <f>K57+1</f>
        <v>5</v>
      </c>
      <c r="L59" s="3483" t="s">
        <v>2705</v>
      </c>
      <c r="M59" s="2506" t="s">
        <v>2703</v>
      </c>
      <c r="N59" s="2521"/>
      <c r="O59" s="2522" t="e">
        <f ca="1">N49-O57</f>
        <v>#VALUE!</v>
      </c>
      <c r="P59" s="2523"/>
      <c r="Q59" s="1278"/>
    </row>
    <row r="60" spans="1:17" ht="12" customHeight="1">
      <c r="A60" s="1427"/>
      <c r="B60" s="1431"/>
      <c r="C60" s="1431"/>
      <c r="D60" s="1431"/>
      <c r="E60" s="812"/>
      <c r="F60" s="2953"/>
      <c r="G60" s="2953"/>
      <c r="H60" s="2954"/>
      <c r="I60" s="31"/>
      <c r="K60" s="3482"/>
      <c r="L60" s="3483"/>
      <c r="M60" s="2514" t="s">
        <v>2704</v>
      </c>
      <c r="N60" s="2518"/>
      <c r="O60" s="2519" t="e">
        <f ca="1">IF(H19="元",NUMBERSTRING(INT(O59),2)&amp;"元整",NUMBERSTRING(INT(O59*10000),2)&amp;"元整")</f>
        <v>#VALUE!</v>
      </c>
      <c r="P60" s="2520"/>
      <c r="Q60" s="1278"/>
    </row>
    <row r="61" spans="1:17" ht="13.5" thickBot="1">
      <c r="A61" s="3463" t="s">
        <v>1756</v>
      </c>
      <c r="B61" s="3463"/>
      <c r="C61" s="3463"/>
      <c r="D61" s="3463"/>
      <c r="E61" s="3463"/>
      <c r="F61" s="2953"/>
      <c r="G61" s="2953"/>
      <c r="H61" s="2955"/>
      <c r="I61" s="31"/>
      <c r="K61" s="2506">
        <f>K59+1</f>
        <v>6</v>
      </c>
      <c r="L61" s="3483" t="s">
        <v>2706</v>
      </c>
      <c r="M61" s="3483"/>
      <c r="N61" s="2524"/>
      <c r="O61" s="2525" t="e">
        <f ca="1">IF(H19="元",ROUND(O59/项目基本情况!C12,0),ROUND(O59*10000/项目基本情况!C12,0))</f>
        <v>#VALUE!</v>
      </c>
      <c r="P61" s="2526"/>
      <c r="Q61" s="1278"/>
    </row>
    <row r="62" spans="1:17" ht="12.75">
      <c r="A62" s="3472" t="s">
        <v>1758</v>
      </c>
      <c r="B62" s="3473"/>
      <c r="C62" s="1577"/>
      <c r="D62" s="1577" t="s">
        <v>1759</v>
      </c>
      <c r="E62" s="45" t="s">
        <v>1760</v>
      </c>
      <c r="F62" s="2953"/>
      <c r="G62" s="2953"/>
      <c r="H62" s="2955"/>
      <c r="I62" s="31"/>
      <c r="K62" s="2527"/>
      <c r="L62" s="2527"/>
      <c r="M62" s="2527"/>
      <c r="N62" s="2527"/>
      <c r="O62" s="2527"/>
      <c r="P62" s="2527"/>
      <c r="Q62" s="1278"/>
    </row>
    <row r="63" spans="1:17" ht="12.75">
      <c r="A63" s="46">
        <v>1</v>
      </c>
      <c r="B63" s="47" t="s">
        <v>1761</v>
      </c>
      <c r="C63" s="2756">
        <f ca="1">ROUND((C64+C65)/(1+'数据-取费表'!F30),0)</f>
        <v>1016</v>
      </c>
      <c r="D63" s="47"/>
      <c r="E63" s="48"/>
      <c r="F63" s="2953"/>
      <c r="G63" s="2953"/>
      <c r="H63" s="2955"/>
      <c r="I63" s="31"/>
      <c r="K63" s="3499" t="s">
        <v>2707</v>
      </c>
      <c r="L63" s="2528" t="s">
        <v>2708</v>
      </c>
      <c r="M63" s="2528" t="e">
        <f>IF(N49&gt;10000,N49*0.5%,IF(AND(N49&gt;1000,N49&lt;=10000),N49*1%,IF(AND(N49&gt;100,N49&lt;=1000),N49*3%,IF(AND(N49&gt;10,N49&lt;=100),N49*5%,N49*8%))))</f>
        <v>#VALUE!</v>
      </c>
      <c r="N63" s="2529" t="e">
        <f>ROUND(M63,1)</f>
        <v>#VALUE!</v>
      </c>
      <c r="O63" s="2527"/>
      <c r="P63" s="2527"/>
      <c r="Q63" s="1278"/>
    </row>
    <row r="64" spans="1:17" ht="12.75">
      <c r="A64" s="49" t="s">
        <v>71</v>
      </c>
      <c r="B64" s="50" t="s">
        <v>1764</v>
      </c>
      <c r="C64" s="2757">
        <f ca="1">D45</f>
        <v>1067</v>
      </c>
      <c r="D64" s="50" t="s">
        <v>41</v>
      </c>
      <c r="E64" s="52"/>
      <c r="F64" s="2953"/>
      <c r="G64" s="2953"/>
      <c r="H64" s="2955"/>
      <c r="I64" s="31"/>
      <c r="K64" s="3499"/>
      <c r="L64" s="2528" t="s">
        <v>2709</v>
      </c>
      <c r="M64" s="2528" t="e">
        <f>IF(N49&gt;2000,N49*0.5%,IF(AND(N49&gt;1000,N49&lt;=2000),N49*0.6%,IF(AND(N49&gt;500,N49&lt;=1000),N49*0.7%,IF(AND(N49&gt;200,N49&lt;=500),N49*0.8%,IF(AND(N49&gt;100,N49&lt;=200),N49*0.9%,IF(AND(N49&gt;50,N49&lt;=100),N49*1%,IF(AND(N49&gt;20,N49&lt;=50),N49*1.5%,IF(AND(N49&gt;10,N49&lt;=20),N49*2%,IF(AND(N49&gt;1,N49&lt;=10),N49*2.5%)))))))))</f>
        <v>#VALUE!</v>
      </c>
      <c r="N64" s="2529" t="e">
        <f t="shared" ref="N64:N65" si="2">ROUND(M64,1)</f>
        <v>#VALUE!</v>
      </c>
      <c r="O64" s="2527" t="s">
        <v>2710</v>
      </c>
      <c r="P64" s="2527"/>
      <c r="Q64" s="1278"/>
    </row>
    <row r="65" spans="1:36" ht="12.75">
      <c r="A65" s="49" t="s">
        <v>72</v>
      </c>
      <c r="B65" s="50" t="s">
        <v>1767</v>
      </c>
      <c r="C65" s="2758"/>
      <c r="D65" s="50"/>
      <c r="E65" s="52"/>
      <c r="F65" s="2953"/>
      <c r="G65" s="2953"/>
      <c r="H65" s="2955"/>
      <c r="I65" s="31"/>
      <c r="K65" s="3499"/>
      <c r="L65" s="2528" t="s">
        <v>2711</v>
      </c>
      <c r="M65" s="2528" t="e">
        <f>IF(N49&gt;1000,N49*0.1%,IF(AND(N49&gt;500,N49&lt;=1000),N49*0.5%,IF(AND(N49&gt;50,N49&lt;=500),N49*1%,IF(AND(N49&gt;1,N49&lt;=50),N49*1.5%))))</f>
        <v>#VALUE!</v>
      </c>
      <c r="N65" s="2529" t="e">
        <f t="shared" si="2"/>
        <v>#VALUE!</v>
      </c>
      <c r="O65" s="2527" t="s">
        <v>2710</v>
      </c>
      <c r="P65" s="2527"/>
      <c r="Q65" s="1278"/>
    </row>
    <row r="66" spans="1:36" ht="12.75">
      <c r="A66" s="53" t="s">
        <v>47</v>
      </c>
      <c r="B66" s="54" t="s">
        <v>1769</v>
      </c>
      <c r="C66" s="2759"/>
      <c r="D66" s="54" t="s">
        <v>41</v>
      </c>
      <c r="E66" s="1286" t="s">
        <v>1770</v>
      </c>
      <c r="F66" s="2953"/>
      <c r="G66" s="2953"/>
      <c r="H66" s="2955"/>
      <c r="I66" s="31"/>
      <c r="K66" s="3499"/>
      <c r="L66" s="2528" t="s">
        <v>2712</v>
      </c>
      <c r="M66" s="2528" t="e">
        <f>N49*0.5%</f>
        <v>#VALUE!</v>
      </c>
      <c r="N66" s="2529" t="e">
        <f>IF(M66&gt;0.5,0.5,ROUND(M66,0))</f>
        <v>#VALUE!</v>
      </c>
      <c r="O66" s="2527" t="s">
        <v>2713</v>
      </c>
      <c r="P66" s="2527"/>
      <c r="Q66" s="1278"/>
    </row>
    <row r="67" spans="1:36" ht="12.75">
      <c r="A67" s="53" t="s">
        <v>42</v>
      </c>
      <c r="B67" s="54" t="s">
        <v>1773</v>
      </c>
      <c r="C67" s="2760">
        <f ca="1">C63-C66</f>
        <v>1016</v>
      </c>
      <c r="D67" s="50" t="s">
        <v>41</v>
      </c>
      <c r="E67" s="52"/>
      <c r="F67" s="2953"/>
      <c r="G67" s="2953"/>
      <c r="H67" s="2955"/>
      <c r="I67" s="31"/>
      <c r="K67" s="3499"/>
      <c r="L67" s="2528" t="s">
        <v>2714</v>
      </c>
      <c r="M67" s="2528" t="e">
        <f>IF(N49&gt;=10000,(8.25+(N49-10000)*0.01%),IF(AND(N49&gt;=8000,N49&lt;10000),(7.85+(N49-8000)*0.02%),IF(AND(N49&gt;=5000,N49&lt;8000),(6.65+(N49-5000)*0.04%),IF(AND(N49&gt;=2000,N49&lt;5000),(4.25+(PN49-2000)*0.08%),IF(AND(N49&gt;=1000,N49&lt;2000),(2.75+(N49-1000)*0.15%),IF(AND(N49&gt;=100,N49&lt;1000),(0.5+(N49-100)*0.25%),IF(AND(N49&gt;0,N49&lt;100),N49*0.5%)))))))</f>
        <v>#VALUE!</v>
      </c>
      <c r="N67" s="2529" t="e">
        <f>ROUND(M67*0.9,1)</f>
        <v>#VALUE!</v>
      </c>
      <c r="O67" s="2527"/>
      <c r="P67" s="2527"/>
      <c r="Q67" s="1278"/>
    </row>
    <row r="68" spans="1:36" ht="13.5" thickBot="1">
      <c r="A68" s="55" t="s">
        <v>46</v>
      </c>
      <c r="B68" s="56" t="s">
        <v>1775</v>
      </c>
      <c r="C68" s="2761">
        <f ca="1">IF(C67&lt;=0,0,ROUND(C67*D68,0))</f>
        <v>57</v>
      </c>
      <c r="D68" s="2212">
        <f>'数据-取费表'!E29</f>
        <v>5.6000000000000001E-2</v>
      </c>
      <c r="E68" s="57"/>
      <c r="F68" s="2953"/>
      <c r="G68" s="2953"/>
      <c r="H68" s="2955"/>
      <c r="I68" s="31"/>
      <c r="K68" s="3499"/>
      <c r="L68" s="2528" t="s">
        <v>2715</v>
      </c>
      <c r="M68" s="2528" t="e">
        <f>IF(N49&gt;10000,N49*0.5%,IF(AND(N49&gt;5000,N49&lt;=10000),N49*1%,IF(AND(N49&gt;1000,N49&lt;=5000),N49*2%,IF(AND(N49&gt;200,N49&lt;=1000),N49*3%,N49*5%))))</f>
        <v>#VALUE!</v>
      </c>
      <c r="N68" s="2529" t="e">
        <f>ROUND(M68,1)</f>
        <v>#VALUE!</v>
      </c>
      <c r="O68" s="2527"/>
      <c r="P68" s="2527"/>
      <c r="Q68" s="1278"/>
    </row>
    <row r="69" spans="1:36" s="1435" customFormat="1" ht="7.5" customHeight="1">
      <c r="A69" s="1447"/>
      <c r="B69" s="1448"/>
      <c r="C69" s="1449"/>
      <c r="D69" s="1450"/>
      <c r="E69" s="1451"/>
      <c r="F69" s="812"/>
      <c r="G69" s="812"/>
      <c r="H69" s="1440"/>
      <c r="I69" s="1431"/>
      <c r="J69" s="2813"/>
      <c r="K69" s="3499"/>
      <c r="L69" s="2528" t="s">
        <v>54</v>
      </c>
      <c r="M69" s="2528"/>
      <c r="N69" s="2529" t="e">
        <f>ROUND(SUM(N63:N68),0)</f>
        <v>#VALUE!</v>
      </c>
      <c r="O69" s="2530" t="e">
        <f>N69/N49</f>
        <v>#VALUE!</v>
      </c>
      <c r="P69" s="2527"/>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75" t="s">
        <v>1778</v>
      </c>
      <c r="B70" s="3476"/>
      <c r="C70" s="3476"/>
      <c r="D70" s="3476"/>
      <c r="E70" s="3476"/>
      <c r="F70" s="3476"/>
      <c r="G70" s="3476"/>
      <c r="H70" s="3476"/>
      <c r="I70" s="1452"/>
      <c r="J70" s="2826"/>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72" t="s">
        <v>1758</v>
      </c>
      <c r="B71" s="3473"/>
      <c r="C71" s="1577"/>
      <c r="D71" s="1577" t="s">
        <v>1759</v>
      </c>
      <c r="E71" s="58" t="s">
        <v>1760</v>
      </c>
      <c r="F71" s="59"/>
      <c r="G71" s="59"/>
      <c r="H71" s="60"/>
      <c r="I71" s="1455"/>
      <c r="J71" s="2827"/>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1779</v>
      </c>
      <c r="C72" s="2760">
        <f ca="1">ROUND(D45/(1+'数据-取费表'!F30),0)</f>
        <v>1016</v>
      </c>
      <c r="D72" s="50" t="s">
        <v>41</v>
      </c>
      <c r="E72" s="12" t="s">
        <v>1780</v>
      </c>
      <c r="F72" s="2059"/>
      <c r="G72" s="2059"/>
      <c r="H72" s="62"/>
      <c r="I72" s="1455"/>
      <c r="J72" s="2827"/>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1781</v>
      </c>
      <c r="C73" s="2760">
        <f ca="1">C74+C78</f>
        <v>6</v>
      </c>
      <c r="D73" s="50" t="s">
        <v>41</v>
      </c>
      <c r="E73" s="2058"/>
      <c r="F73" s="2059"/>
      <c r="G73" s="2059"/>
      <c r="H73" s="62"/>
      <c r="I73" s="1455"/>
      <c r="J73" s="2827"/>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1782</v>
      </c>
      <c r="C74" s="50">
        <f>ROUND(IF(G77="2016年5月1日后购买",C75/(1+'数据-取费表'!F30)+C76+C77,C75+C76+C77),0)</f>
        <v>0</v>
      </c>
      <c r="D74" s="50" t="s">
        <v>41</v>
      </c>
      <c r="E74" s="2058"/>
      <c r="F74" s="2059"/>
      <c r="G74" s="2059"/>
      <c r="H74" s="62"/>
      <c r="I74" s="1455"/>
      <c r="J74" s="2827"/>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1783</v>
      </c>
      <c r="C75" s="2238"/>
      <c r="D75" s="50" t="s">
        <v>41</v>
      </c>
      <c r="E75" s="64" t="s">
        <v>1784</v>
      </c>
      <c r="F75" s="2764" t="s">
        <v>1785</v>
      </c>
      <c r="G75" s="64" t="s">
        <v>1786</v>
      </c>
      <c r="H75" s="2765"/>
      <c r="I75" s="9"/>
      <c r="J75" s="2828"/>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1787</v>
      </c>
      <c r="C76" s="50">
        <f>IF(F75="购房发票",ROUND(C75*H75*D76,0),0)</f>
        <v>0</v>
      </c>
      <c r="D76" s="2766">
        <v>0.05</v>
      </c>
      <c r="E76" s="3415" t="s">
        <v>1788</v>
      </c>
      <c r="F76" s="3453"/>
      <c r="G76" s="3453"/>
      <c r="H76" s="3467"/>
      <c r="I76" s="1455"/>
      <c r="J76" s="2827"/>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1789</v>
      </c>
      <c r="C77" s="50">
        <f>ROUND(IF(G77="个人住宅",0,IF(G77="2016年5月1日前购买",C75*D77,C75*D77/(1+'数据-取费表'!F30))),0)</f>
        <v>0</v>
      </c>
      <c r="D77" s="2767">
        <f>'数据-取费表'!E36+'数据-取费表'!E37</f>
        <v>3.0499999999999999E-2</v>
      </c>
      <c r="E77" s="12" t="s">
        <v>1790</v>
      </c>
      <c r="F77" s="2065"/>
      <c r="G77" s="1456" t="s">
        <v>1791</v>
      </c>
      <c r="H77" s="2060" t="str">
        <f>IF(G77="个人买卖住房","免征印花税"," ")</f>
        <v xml:space="preserve"> </v>
      </c>
      <c r="I77" s="1455"/>
      <c r="J77" s="2827"/>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1792</v>
      </c>
      <c r="C78" s="2768">
        <f ca="1">ROUND(D45*D78/(1+'数据-取费表'!F30),0)</f>
        <v>6</v>
      </c>
      <c r="D78" s="2769">
        <f>'数据-取费表'!E31</f>
        <v>6.000000000000001E-3</v>
      </c>
      <c r="E78" s="3447" t="s">
        <v>1793</v>
      </c>
      <c r="F78" s="3448"/>
      <c r="G78" s="3448"/>
      <c r="H78" s="3449"/>
      <c r="I78" s="1457"/>
      <c r="J78" s="2829"/>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1794</v>
      </c>
      <c r="C79" s="2760">
        <f ca="1">C72-C73</f>
        <v>1010</v>
      </c>
      <c r="D79" s="50" t="s">
        <v>41</v>
      </c>
      <c r="E79" s="2058"/>
      <c r="F79" s="2059"/>
      <c r="G79" s="2059"/>
      <c r="H79" s="62"/>
      <c r="I79" s="1455"/>
      <c r="J79" s="2827"/>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1795</v>
      </c>
      <c r="C80" s="2770">
        <f ca="1">IF(C79&lt;=0,0,C79/C73)</f>
        <v>168.33333333333334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9"/>
      <c r="G80" s="2059"/>
      <c r="H80" s="62"/>
      <c r="I80" s="1455"/>
      <c r="J80" s="2827"/>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1796</v>
      </c>
      <c r="C81" s="2771">
        <f ca="1">ROUND(IF(C79&lt;=0,0,IF(C80&gt;=200%,C79*60%-C73*35%,IF(C80&gt;=100%,C79*50%-C73*15%,IF(C80&gt;=50%,C79*40%-C73*5%,IF(C80&lt;50%,C79*30%,0))))),0)</f>
        <v>604</v>
      </c>
      <c r="D81" s="214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7"/>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9"/>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75" t="s">
        <v>1797</v>
      </c>
      <c r="B83" s="3476"/>
      <c r="C83" s="3476"/>
      <c r="D83" s="3476"/>
      <c r="E83" s="3476"/>
      <c r="F83" s="3476"/>
      <c r="G83" s="3476"/>
      <c r="H83" s="3476"/>
      <c r="I83" s="9"/>
      <c r="J83" s="282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72" t="s">
        <v>1758</v>
      </c>
      <c r="B84" s="3473"/>
      <c r="C84" s="1577"/>
      <c r="D84" s="1577" t="s">
        <v>1759</v>
      </c>
      <c r="E84" s="58" t="s">
        <v>1760</v>
      </c>
      <c r="F84" s="59"/>
      <c r="G84" s="59"/>
      <c r="H84" s="72"/>
      <c r="I84" s="9"/>
      <c r="J84" s="2828"/>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1779</v>
      </c>
      <c r="C85" s="2760">
        <f ca="1">ROUND(D45/(1+'数据-取费表'!F30),0)</f>
        <v>1016</v>
      </c>
      <c r="D85" s="50" t="s">
        <v>41</v>
      </c>
      <c r="E85" s="2058" t="s">
        <v>1780</v>
      </c>
      <c r="F85" s="2059"/>
      <c r="G85" s="2059"/>
      <c r="H85" s="73"/>
      <c r="I85" s="9"/>
      <c r="J85" s="2828"/>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1781</v>
      </c>
      <c r="C86" s="2760">
        <f ca="1">IF(H88="仅含出让金",C87+C90+C91+C92+C93+C94,C87+C91+C92+C93+C94)</f>
        <v>6</v>
      </c>
      <c r="D86" s="2772"/>
      <c r="E86" s="2058"/>
      <c r="F86" s="2059"/>
      <c r="G86" s="2059"/>
      <c r="H86" s="73"/>
      <c r="I86" s="9"/>
      <c r="J86" s="2828"/>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1798</v>
      </c>
      <c r="C87" s="2768">
        <f>C88+C89</f>
        <v>0</v>
      </c>
      <c r="D87" s="2769"/>
      <c r="E87" s="2055"/>
      <c r="F87" s="2056"/>
      <c r="G87" s="2056"/>
      <c r="H87" s="2057"/>
      <c r="I87" s="9"/>
      <c r="J87" s="2828"/>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1799</v>
      </c>
      <c r="C88" s="2773"/>
      <c r="D88" s="2769"/>
      <c r="E88" s="74" t="s">
        <v>1800</v>
      </c>
      <c r="F88" s="2056"/>
      <c r="G88" s="75" t="s">
        <v>1801</v>
      </c>
      <c r="H88" s="1458"/>
      <c r="I88" s="9"/>
      <c r="J88" s="2828"/>
      <c r="K88" s="2944" t="s">
        <v>2761</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1789</v>
      </c>
      <c r="C89" s="2768">
        <f>ROUND(C88*D89,0)</f>
        <v>0</v>
      </c>
      <c r="D89" s="2769">
        <f>'数据-取费表'!E36+'数据-取费表'!E37</f>
        <v>3.0499999999999999E-2</v>
      </c>
      <c r="E89" s="74" t="s">
        <v>1802</v>
      </c>
      <c r="F89" s="2056"/>
      <c r="G89" s="2056"/>
      <c r="H89" s="2057"/>
      <c r="I89" s="9"/>
      <c r="J89" s="2828"/>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1803</v>
      </c>
      <c r="C90" s="2773"/>
      <c r="D90" s="2769"/>
      <c r="E90" s="74" t="str">
        <f>IF(H88="-","土地取得成本中已包含该笔费用"," ")</f>
        <v xml:space="preserve"> </v>
      </c>
      <c r="F90" s="2056"/>
      <c r="G90" s="3508" t="s">
        <v>2677</v>
      </c>
      <c r="H90" s="3508"/>
      <c r="I90" s="9"/>
      <c r="J90" s="2828"/>
      <c r="K90" s="2944" t="s">
        <v>2762</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1804</v>
      </c>
      <c r="C91" s="2768">
        <f>IF(H91="——",成本法!C33,I91)</f>
        <v>0</v>
      </c>
      <c r="D91" s="2769"/>
      <c r="E91" s="3447" t="s">
        <v>1805</v>
      </c>
      <c r="F91" s="3448"/>
      <c r="G91" s="3448"/>
      <c r="H91" s="1459" t="s">
        <v>1806</v>
      </c>
      <c r="I91" s="1460"/>
      <c r="J91" s="2830"/>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1807</v>
      </c>
      <c r="C92" s="2768">
        <f>ROUND((C87+C90+C91)*D92,0)</f>
        <v>0</v>
      </c>
      <c r="D92" s="2812">
        <v>0.1</v>
      </c>
      <c r="E92" s="3447" t="s">
        <v>1808</v>
      </c>
      <c r="F92" s="3448"/>
      <c r="G92" s="3448"/>
      <c r="H92" s="3449"/>
      <c r="I92" s="9"/>
      <c r="J92" s="2828"/>
      <c r="K92" s="2945" t="s">
        <v>2763</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1792</v>
      </c>
      <c r="C93" s="2768">
        <f ca="1">ROUND(D45*D93/(1+'数据-取费表'!F30),0)</f>
        <v>6</v>
      </c>
      <c r="D93" s="2769">
        <f>'数据-取费表'!E31</f>
        <v>6.000000000000001E-3</v>
      </c>
      <c r="E93" s="3447" t="s">
        <v>1793</v>
      </c>
      <c r="F93" s="3448"/>
      <c r="G93" s="3448"/>
      <c r="H93" s="3449"/>
      <c r="I93" s="9"/>
      <c r="J93" s="2828"/>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1809</v>
      </c>
      <c r="C94" s="2768">
        <f>ROUND((C87+C90+C91)*D94,0)</f>
        <v>0</v>
      </c>
      <c r="D94" s="2769">
        <v>0.2</v>
      </c>
      <c r="E94" s="3447" t="s">
        <v>1810</v>
      </c>
      <c r="F94" s="3448"/>
      <c r="G94" s="3448"/>
      <c r="H94" s="3449"/>
      <c r="I94" s="9"/>
      <c r="J94" s="2828"/>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1794</v>
      </c>
      <c r="C95" s="2760">
        <f ca="1">ROUND(C85-C86,0)</f>
        <v>1010</v>
      </c>
      <c r="D95" s="50" t="s">
        <v>41</v>
      </c>
      <c r="E95" s="2058"/>
      <c r="F95" s="2059"/>
      <c r="G95" s="2059"/>
      <c r="H95" s="73"/>
      <c r="I95" s="9"/>
      <c r="J95" s="2828"/>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1795</v>
      </c>
      <c r="C96" s="2770">
        <f ca="1">IF(C95&lt;=0,0,C95/C86)</f>
        <v>168.33333333333334</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9"/>
      <c r="G96" s="2059"/>
      <c r="H96" s="73"/>
      <c r="I96" s="9"/>
      <c r="J96" s="2828"/>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1796</v>
      </c>
      <c r="C97" s="2771">
        <f ca="1">ROUND(IF(C95&lt;=0,0,IF(C96&gt;=200%,C95*60%-C86*35%,IF(C96&gt;=100%,C95*50%-C86*15%,IF(C96&gt;=50%,C95*40%-C86*5%,IF(C96&lt;50%,C95*30%,0))))),0)</f>
        <v>604</v>
      </c>
      <c r="D97" s="214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8"/>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1811</v>
      </c>
      <c r="B98" s="1431"/>
      <c r="C98" s="1431"/>
      <c r="D98" s="1431"/>
      <c r="E98" s="812"/>
      <c r="F98" s="812"/>
      <c r="G98" s="812"/>
      <c r="H98" s="1440"/>
      <c r="I98" s="1431"/>
    </row>
    <row r="99" spans="1:36" ht="15.75">
      <c r="A99" s="3494" t="s">
        <v>1812</v>
      </c>
      <c r="B99" s="3495"/>
      <c r="C99" s="3495"/>
      <c r="D99" s="3496"/>
      <c r="E99" s="1431"/>
      <c r="F99" s="3503" t="s">
        <v>1813</v>
      </c>
      <c r="G99" s="3504"/>
      <c r="H99" s="3504"/>
      <c r="I99" s="3505"/>
      <c r="J99" s="2831"/>
    </row>
    <row r="100" spans="1:36" ht="15">
      <c r="A100" s="3506" t="s">
        <v>1814</v>
      </c>
      <c r="B100" s="3507"/>
      <c r="C100" s="1277" t="str">
        <f>C4</f>
        <v>比较法-办公</v>
      </c>
      <c r="D100" s="2779" t="str">
        <f>D4</f>
        <v>收益法</v>
      </c>
      <c r="E100" s="1431"/>
      <c r="F100" s="3418" t="s">
        <v>2721</v>
      </c>
      <c r="G100" s="3419"/>
      <c r="H100" s="3418" t="s">
        <v>2722</v>
      </c>
      <c r="I100" s="3417"/>
      <c r="J100" s="2832"/>
    </row>
    <row r="101" spans="1:36" ht="12.75">
      <c r="A101" s="3486" t="s">
        <v>2754</v>
      </c>
      <c r="B101" s="2277" t="str">
        <f>IF(H19="元","总价（元）","总价（万元）")</f>
        <v>总价（万元）</v>
      </c>
      <c r="C101" s="1277">
        <f ca="1">C19</f>
        <v>1083</v>
      </c>
      <c r="D101" s="2779">
        <f ca="1">D19</f>
        <v>1051</v>
      </c>
      <c r="E101" s="1431"/>
      <c r="F101" s="3418" t="str">
        <f>项目基本情况!I1</f>
        <v>北京市房地产</v>
      </c>
      <c r="G101" s="3419"/>
      <c r="H101" s="3416">
        <f>项目基本情况!C12</f>
        <v>240.88</v>
      </c>
      <c r="I101" s="3417"/>
      <c r="J101" s="2832"/>
    </row>
    <row r="102" spans="1:36" ht="12.75">
      <c r="A102" s="3486"/>
      <c r="B102" s="2277" t="s">
        <v>2755</v>
      </c>
      <c r="C102" s="2780">
        <f ca="1">C20</f>
        <v>44956</v>
      </c>
      <c r="D102" s="2781">
        <f ca="1">D20</f>
        <v>43645</v>
      </c>
      <c r="E102" s="1431"/>
      <c r="F102" s="3428" t="s">
        <v>2751</v>
      </c>
      <c r="G102" s="3429"/>
      <c r="H102" s="2789" t="str">
        <f>C106</f>
        <v>总价（万元）</v>
      </c>
      <c r="I102" s="2790">
        <f ca="1">H121</f>
        <v>1067</v>
      </c>
      <c r="J102" s="2832"/>
    </row>
    <row r="103" spans="1:36" ht="12.75">
      <c r="A103" s="3486" t="s">
        <v>2756</v>
      </c>
      <c r="B103" s="2215" t="str">
        <f>B101</f>
        <v>总价（万元）</v>
      </c>
      <c r="C103" s="2784">
        <f ca="1">H121</f>
        <v>1067</v>
      </c>
      <c r="D103" s="2782"/>
      <c r="E103" s="1431"/>
      <c r="F103" s="3428"/>
      <c r="G103" s="3429"/>
      <c r="H103" s="2789" t="s">
        <v>2724</v>
      </c>
      <c r="I103" s="52">
        <f ca="1">I121</f>
        <v>44296</v>
      </c>
      <c r="J103" s="2816"/>
    </row>
    <row r="104" spans="1:36" ht="13.5" thickBot="1">
      <c r="A104" s="3487"/>
      <c r="B104" s="2786" t="s">
        <v>2755</v>
      </c>
      <c r="C104" s="2787">
        <f ca="1">I121</f>
        <v>44296</v>
      </c>
      <c r="D104" s="2788"/>
      <c r="E104" s="1431"/>
      <c r="F104" s="3428"/>
      <c r="G104" s="3429"/>
      <c r="H104" s="3488"/>
      <c r="I104" s="3489"/>
      <c r="J104" s="2833"/>
    </row>
    <row r="105" spans="1:36" ht="15">
      <c r="A105" s="3494" t="s">
        <v>1815</v>
      </c>
      <c r="B105" s="3495"/>
      <c r="C105" s="3495"/>
      <c r="D105" s="3496"/>
      <c r="E105" s="1431"/>
      <c r="F105" s="3492" t="s">
        <v>2725</v>
      </c>
      <c r="G105" s="3493"/>
      <c r="H105" s="2791" t="str">
        <f>C108</f>
        <v>总额（万元）</v>
      </c>
      <c r="I105" s="2790">
        <f>SUMIF(I106:I108,"&lt;9E307")</f>
        <v>0</v>
      </c>
      <c r="J105" s="2832"/>
    </row>
    <row r="106" spans="1:36" ht="14.25">
      <c r="A106" s="3428" t="s">
        <v>2748</v>
      </c>
      <c r="B106" s="3429"/>
      <c r="C106" s="2789" t="str">
        <f>B101</f>
        <v>总价（万元）</v>
      </c>
      <c r="D106" s="2790">
        <f ca="1">H121</f>
        <v>1067</v>
      </c>
      <c r="E106" s="1431"/>
      <c r="F106" s="3430" t="s">
        <v>2726</v>
      </c>
      <c r="G106" s="3431"/>
      <c r="H106" s="2791" t="str">
        <f>C109</f>
        <v>总额（万元）</v>
      </c>
      <c r="I106" s="2792">
        <f>IF(D36="同一抵押权人同一抵押物续贷",C36&amp;"（续贷，未扣减，详见特别提示）",C36)</f>
        <v>0</v>
      </c>
      <c r="J106" s="2816"/>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28"/>
      <c r="B107" s="3429"/>
      <c r="C107" s="2789" t="s">
        <v>2749</v>
      </c>
      <c r="D107" s="52">
        <f ca="1">I121</f>
        <v>44296</v>
      </c>
      <c r="E107" s="1431"/>
      <c r="F107" s="3430" t="s">
        <v>2727</v>
      </c>
      <c r="G107" s="3431"/>
      <c r="H107" s="2791" t="str">
        <f>C110</f>
        <v>总额（万元）</v>
      </c>
      <c r="I107" s="52">
        <f>C37</f>
        <v>0</v>
      </c>
      <c r="J107" s="2816"/>
    </row>
    <row r="108" spans="1:36" ht="12.75">
      <c r="A108" s="3435" t="s">
        <v>2725</v>
      </c>
      <c r="B108" s="3436"/>
      <c r="C108" s="2791" t="str">
        <f>IF(H19="元","总额（元）","总额（万元）")</f>
        <v>总额（万元）</v>
      </c>
      <c r="D108" s="2790">
        <f>IF(D36="正常操作",I106+I107+I108,I107+I108)</f>
        <v>0</v>
      </c>
      <c r="E108" s="1431"/>
      <c r="F108" s="3430" t="s">
        <v>2752</v>
      </c>
      <c r="G108" s="3431"/>
      <c r="H108" s="2791" t="str">
        <f>C111</f>
        <v>总额（万元）</v>
      </c>
      <c r="I108" s="52">
        <f>C38</f>
        <v>0</v>
      </c>
      <c r="J108" s="2816"/>
    </row>
    <row r="109" spans="1:36" ht="12.75">
      <c r="A109" s="3430" t="s">
        <v>2726</v>
      </c>
      <c r="B109" s="3431"/>
      <c r="C109" s="2791" t="str">
        <f>C108</f>
        <v>总额（万元）</v>
      </c>
      <c r="D109" s="52">
        <f>IF(D36="同一抵押权人同一抵押物续贷",C36&amp;"（未扣减，详见特别提示）",C36)</f>
        <v>0</v>
      </c>
      <c r="E109" s="1431"/>
      <c r="F109" s="3428"/>
      <c r="G109" s="3429"/>
      <c r="H109" s="3490"/>
      <c r="I109" s="3491"/>
      <c r="J109" s="2834"/>
    </row>
    <row r="110" spans="1:36" ht="28.5" customHeight="1">
      <c r="A110" s="3430" t="s">
        <v>2750</v>
      </c>
      <c r="B110" s="3431"/>
      <c r="C110" s="2791" t="str">
        <f>C108</f>
        <v>总额（万元）</v>
      </c>
      <c r="D110" s="52">
        <f>C37</f>
        <v>0</v>
      </c>
      <c r="E110" s="1431"/>
      <c r="F110" s="3420" t="str">
        <f>IF(项目基本情况!F5="已注销","——","3.房地产抵押价值")</f>
        <v>3.房地产抵押价值</v>
      </c>
      <c r="G110" s="3421"/>
      <c r="H110" s="2777" t="str">
        <f>C112</f>
        <v>总价（万元）</v>
      </c>
      <c r="I110" s="2790">
        <f ca="1">IF(F110="——","——",I102-I105)</f>
        <v>1067</v>
      </c>
      <c r="J110" s="2832"/>
    </row>
    <row r="111" spans="1:36" ht="12.75">
      <c r="A111" s="3430" t="s">
        <v>2729</v>
      </c>
      <c r="B111" s="3431"/>
      <c r="C111" s="2791" t="str">
        <f>C108</f>
        <v>总额（万元）</v>
      </c>
      <c r="D111" s="52">
        <f>C38</f>
        <v>0</v>
      </c>
      <c r="E111" s="1431"/>
      <c r="F111" s="3519"/>
      <c r="G111" s="3520"/>
      <c r="H111" s="2789" t="s">
        <v>2724</v>
      </c>
      <c r="I111" s="2793">
        <f ca="1">D113</f>
        <v>44296</v>
      </c>
      <c r="J111" s="2835"/>
    </row>
    <row r="112" spans="1:36" ht="26.25" customHeight="1">
      <c r="A112" s="3428" t="str">
        <f>IF(项目基本情况!F5="已注销","——","3.房地产抵押价值")</f>
        <v>3.房地产抵押价值</v>
      </c>
      <c r="B112" s="3429"/>
      <c r="C112" s="2789" t="str">
        <f>B101</f>
        <v>总价（万元）</v>
      </c>
      <c r="D112" s="2790">
        <f ca="1">IF(A112="——","——",D106-D108)</f>
        <v>1067</v>
      </c>
      <c r="E112" s="1431"/>
      <c r="F112" s="3420" t="str">
        <f>IF(项目基本情况!F5="已注销及未注销","4.抵押担保权已注销时的房地产抵押价值",IF(项目基本情况!F5="已注销","3.抵押担保权已注销时的房地产抵押价值","——"))</f>
        <v>——</v>
      </c>
      <c r="G112" s="3421"/>
      <c r="H112" s="2777" t="str">
        <f>C114</f>
        <v>总价（万元）</v>
      </c>
      <c r="I112" s="2790" t="str">
        <f>IF(F112="——","——",I102-I107-I108)</f>
        <v>——</v>
      </c>
      <c r="J112" s="2832"/>
    </row>
    <row r="113" spans="1:16" ht="12.75">
      <c r="A113" s="3428"/>
      <c r="B113" s="3429"/>
      <c r="C113" s="2789" t="s">
        <v>2717</v>
      </c>
      <c r="D113" s="52">
        <f ca="1">ROUND(IF(D112=D106,D107,IF(H19="元",D112/项目基本情况!C12,D112*10000/项目基本情况!C12)),0)</f>
        <v>44296</v>
      </c>
      <c r="E113" s="1431"/>
      <c r="F113" s="3519"/>
      <c r="G113" s="3520"/>
      <c r="H113" s="2789" t="s">
        <v>2753</v>
      </c>
      <c r="I113" s="52" t="str">
        <f>D115</f>
        <v>——</v>
      </c>
      <c r="J113" s="2816"/>
    </row>
    <row r="114" spans="1:16" ht="12.75">
      <c r="A114" s="3428" t="str">
        <f>IF(项目基本情况!F5="已注销及未注销","4.抵押担保权已注销时的房地产抵押价值",IF(项目基本情况!F5="已注销","3.抵押担保权已注销时的房地产抵押价值","——"))</f>
        <v>——</v>
      </c>
      <c r="B114" s="3429"/>
      <c r="C114" s="2789" t="str">
        <f>B101</f>
        <v>总价（万元）</v>
      </c>
      <c r="D114" s="2790" t="str">
        <f>IF(A114="——","——",D106-D110-D111)</f>
        <v>——</v>
      </c>
      <c r="E114" s="1431"/>
      <c r="F114" s="3420" t="str">
        <f>IF(项目基本情况!G5="抵押净值",IF(OR(项目基本情况!F5="已注销",项目基本情况!F5="房地产抵押价值"),"4.抵押净值","5.抵押净值"),"——")</f>
        <v>——</v>
      </c>
      <c r="G114" s="3421"/>
      <c r="H114" s="2789" t="str">
        <f>C116</f>
        <v>总价（万元）</v>
      </c>
      <c r="I114" s="2790" t="str">
        <f>IF(F114="——","——",O59)</f>
        <v>——</v>
      </c>
      <c r="J114" s="2832"/>
    </row>
    <row r="115" spans="1:16" ht="13.5" thickBot="1">
      <c r="A115" s="3428"/>
      <c r="B115" s="3429"/>
      <c r="C115" s="2789" t="s">
        <v>2717</v>
      </c>
      <c r="D115" s="52" t="str">
        <f>IF(A114="——","——",ROUND(IF(D114=D106,D107,IF(H19="元",D114/项目基本情况!C12,D114*10000/项目基本情况!C12)),0))</f>
        <v>——</v>
      </c>
      <c r="E115" s="1431"/>
      <c r="F115" s="3422"/>
      <c r="G115" s="3423"/>
      <c r="H115" s="2794" t="s">
        <v>2717</v>
      </c>
      <c r="I115" s="2778" t="str">
        <f ca="1">D117</f>
        <v>——</v>
      </c>
      <c r="J115" s="2816"/>
    </row>
    <row r="116" spans="1:16" ht="15.75">
      <c r="A116" s="3428" t="str">
        <f>IF(项目基本情况!G5="抵押净值",IF(OR(项目基本情况!F5="已注销",项目基本情况!F5="房地产抵押价值"),"4.抵押净值","5.抵押净值"),"——")</f>
        <v>——</v>
      </c>
      <c r="B116" s="3429"/>
      <c r="C116" s="2789" t="str">
        <f>B101</f>
        <v>总价（万元）</v>
      </c>
      <c r="D116" s="2790" t="str">
        <f>IF(A116="——","——",O59)</f>
        <v>——</v>
      </c>
      <c r="E116" s="1431"/>
      <c r="F116" s="3514"/>
      <c r="G116" s="3514"/>
      <c r="H116" s="3478"/>
      <c r="I116" s="3478"/>
      <c r="J116" s="2836"/>
      <c r="O116" s="32"/>
      <c r="P116" s="32"/>
    </row>
    <row r="117" spans="1:16" ht="13.5" thickBot="1">
      <c r="A117" s="3433"/>
      <c r="B117" s="3434"/>
      <c r="C117" s="2794" t="s">
        <v>2717</v>
      </c>
      <c r="D117" s="2778" t="str">
        <f ca="1">IF(D116=D112,D113,IF(A116="——","——",O61))</f>
        <v>——</v>
      </c>
      <c r="E117" s="1431"/>
      <c r="F117" s="3412" t="str">
        <f>IF(B32="总价","（以上估价结果中单价为总价除以建筑面积得出）","（以上估价结果中总价为楼面单价乘以建筑面积得出）")</f>
        <v>（以上估价结果中单价为总价除以建筑面积得出）</v>
      </c>
      <c r="G117" s="3412"/>
      <c r="H117" s="3412"/>
      <c r="I117" s="3412"/>
      <c r="J117" s="2837"/>
      <c r="O117" s="32"/>
      <c r="P117" s="32"/>
    </row>
    <row r="118" spans="1:16" ht="15">
      <c r="A118" s="3479" t="s">
        <v>1816</v>
      </c>
      <c r="B118" s="3480"/>
      <c r="C118" s="3480"/>
      <c r="D118" s="3480"/>
      <c r="E118" s="3480"/>
      <c r="F118" s="3480"/>
      <c r="G118" s="3480"/>
      <c r="H118" s="3480"/>
      <c r="I118" s="3480"/>
      <c r="J118" s="2838"/>
    </row>
    <row r="119" spans="1:16" ht="12.75">
      <c r="A119" s="3413" t="s">
        <v>2735</v>
      </c>
      <c r="B119" s="3439" t="s">
        <v>2745</v>
      </c>
      <c r="C119" s="3439" t="s">
        <v>2746</v>
      </c>
      <c r="D119" s="3501" t="s">
        <v>2737</v>
      </c>
      <c r="E119" s="3502"/>
      <c r="F119" s="3414" t="s">
        <v>2747</v>
      </c>
      <c r="G119" s="3414"/>
      <c r="H119" s="3414" t="s">
        <v>2738</v>
      </c>
      <c r="I119" s="3500"/>
      <c r="J119" s="2816"/>
    </row>
    <row r="120" spans="1:16" ht="12.75">
      <c r="A120" s="3413"/>
      <c r="B120" s="3440"/>
      <c r="C120" s="3440"/>
      <c r="D120" s="2062" t="s">
        <v>2739</v>
      </c>
      <c r="E120" s="2062" t="s">
        <v>2744</v>
      </c>
      <c r="F120" s="2062" t="s">
        <v>2739</v>
      </c>
      <c r="G120" s="2062" t="s">
        <v>2740</v>
      </c>
      <c r="H120" s="2062" t="s">
        <v>2739</v>
      </c>
      <c r="I120" s="52" t="s">
        <v>2740</v>
      </c>
      <c r="J120" s="2816"/>
    </row>
    <row r="121" spans="1:16" ht="12.75">
      <c r="A121" s="2052" t="str">
        <f>项目基本情况!I1</f>
        <v>北京市房地产</v>
      </c>
      <c r="B121" s="2062">
        <f>项目基本情况!C12</f>
        <v>240.88</v>
      </c>
      <c r="C121" s="2062">
        <f>项目基本情况!C13</f>
        <v>0</v>
      </c>
      <c r="D121" s="2062">
        <f ca="1">ROUND(IF(B32="总价",C34,IF('数据-取费表'!B3="万元",E121*B121/10000,E121*B121)),0)</f>
        <v>845</v>
      </c>
      <c r="E121" s="2062">
        <f ca="1">ROUND(IF(B32="楼面单价",C34,IF(H19="元",D121/B121,D121*10000/B121)),0)</f>
        <v>35080</v>
      </c>
      <c r="F121" s="2062">
        <f ca="1">ROUND(IF(B32="总价",C35,IF('数据-取费表'!B3="万元",G121*B121/10000,G121*B121)),0)</f>
        <v>222</v>
      </c>
      <c r="G121" s="2062">
        <f ca="1">ROUND(IF(B32="楼面单价",C35,IF(H19="元",F121/B121,F121*10000/B121)),0)</f>
        <v>9216</v>
      </c>
      <c r="H121" s="2062">
        <f ca="1">ROUND(IF(B32="总价",C32,IF('数据-取费表'!B3="万元",I121*B121/10000,I121*B121)),0)</f>
        <v>1067</v>
      </c>
      <c r="I121" s="52">
        <f ca="1">ROUND(IF(B32="楼面单价",C32,IF(H19="元",H121/B121,H121*10000/B121)),0)</f>
        <v>44296</v>
      </c>
      <c r="J121" s="2816"/>
    </row>
    <row r="122" spans="1:16" ht="12.75">
      <c r="A122" s="3413" t="s">
        <v>2741</v>
      </c>
      <c r="B122" s="3414"/>
      <c r="C122" s="3414"/>
      <c r="D122" s="3441" t="str">
        <f ca="1">IF(H19="元",NUMBERSTRING(INT(D121),2)&amp;"元整",NUMBERSTRING(INT(D121*10000),2)&amp;"元整")</f>
        <v>捌佰肆拾伍万元整</v>
      </c>
      <c r="E122" s="3484"/>
      <c r="F122" s="3441" t="str">
        <f ca="1">IF(H19="元",NUMBERSTRING(INT(F121),2)&amp;"元整",NUMBERSTRING(INT(F121*10000),2)&amp;"元整")</f>
        <v>贰佰贰拾贰万元整</v>
      </c>
      <c r="G122" s="3484"/>
      <c r="H122" s="3441" t="str">
        <f ca="1">IF(H19="元",NUMBERSTRING(INT(H121),2)&amp;"元整",NUMBERSTRING(INT(H121*10000),2)&amp;"元整")</f>
        <v>壹仟零陆拾柒万元整</v>
      </c>
      <c r="I122" s="3442"/>
      <c r="J122" s="2839"/>
    </row>
    <row r="123" spans="1:16" ht="12.75">
      <c r="A123" s="3418" t="str">
        <f>IF(项目基本情况!D5="房地产市场价值","——",MID(A108,3,LEN(A108)-2))</f>
        <v>估价师所知悉的法定优先受偿款</v>
      </c>
      <c r="B123" s="3424"/>
      <c r="C123" s="3419"/>
      <c r="D123" s="3416">
        <f>I105</f>
        <v>0</v>
      </c>
      <c r="E123" s="3424"/>
      <c r="F123" s="3424"/>
      <c r="G123" s="3424"/>
      <c r="H123" s="3424"/>
      <c r="I123" s="3417"/>
      <c r="J123" s="2832"/>
    </row>
    <row r="124" spans="1:16" ht="12.75">
      <c r="A124" s="3485" t="s">
        <v>2741</v>
      </c>
      <c r="B124" s="3453"/>
      <c r="C124" s="3454"/>
      <c r="D124" s="3425">
        <f>H109</f>
        <v>0</v>
      </c>
      <c r="E124" s="3426"/>
      <c r="F124" s="3426"/>
      <c r="G124" s="3426"/>
      <c r="H124" s="3426"/>
      <c r="I124" s="3427"/>
      <c r="J124" s="2840"/>
    </row>
    <row r="125" spans="1:16" ht="12.75">
      <c r="A125" s="3428" t="str">
        <f>IF(项目基本情况!D5="房地产市场价值","——",MID(A112,3,LEN(A112)-2))</f>
        <v>房地产抵押价值</v>
      </c>
      <c r="B125" s="3429"/>
      <c r="C125" s="3429"/>
      <c r="D125" s="3416">
        <f ca="1">I110</f>
        <v>1067</v>
      </c>
      <c r="E125" s="3424"/>
      <c r="F125" s="3424"/>
      <c r="G125" s="3424"/>
      <c r="H125" s="3424"/>
      <c r="I125" s="3417"/>
      <c r="J125" s="2832"/>
    </row>
    <row r="126" spans="1:16" ht="12.75">
      <c r="A126" s="3413" t="s">
        <v>2741</v>
      </c>
      <c r="B126" s="3414"/>
      <c r="C126" s="3414"/>
      <c r="D126" s="3425">
        <f ca="1">I111</f>
        <v>44296</v>
      </c>
      <c r="E126" s="3426"/>
      <c r="F126" s="3426"/>
      <c r="G126" s="3426"/>
      <c r="H126" s="3426"/>
      <c r="I126" s="3427"/>
      <c r="J126" s="2840"/>
    </row>
    <row r="127" spans="1:16" ht="13.5" thickBot="1">
      <c r="A127" s="3428" t="str">
        <f>IF(项目基本情况!D5="房地产市场价值","——",MID(A114,3,LEN(A114)-2))</f>
        <v/>
      </c>
      <c r="B127" s="3429"/>
      <c r="C127" s="3429"/>
      <c r="D127" s="3461" t="str">
        <f>I112</f>
        <v>——</v>
      </c>
      <c r="E127" s="3462"/>
      <c r="F127" s="3462"/>
      <c r="G127" s="3462"/>
      <c r="H127" s="3462"/>
      <c r="I127" s="3513"/>
      <c r="J127" s="2832"/>
    </row>
    <row r="128" spans="1:16" ht="14.25" thickTop="1" thickBot="1">
      <c r="A128" s="3413" t="s">
        <v>2741</v>
      </c>
      <c r="B128" s="3414"/>
      <c r="C128" s="3415"/>
      <c r="D128" s="3477" t="str">
        <f>I113</f>
        <v>——</v>
      </c>
      <c r="E128" s="3477"/>
      <c r="F128" s="3477"/>
      <c r="G128" s="3477"/>
      <c r="H128" s="3477"/>
      <c r="I128" s="3477"/>
      <c r="J128" s="2840"/>
    </row>
    <row r="129" spans="1:10" ht="14.25" thickTop="1" thickBot="1">
      <c r="A129" s="3428" t="str">
        <f>IF(项目基本情况!D5="房地产市场价值","——",MID(F114,3,LEN(F114)-2))</f>
        <v/>
      </c>
      <c r="B129" s="3429"/>
      <c r="C129" s="3416"/>
      <c r="D129" s="3432" t="str">
        <f>I114</f>
        <v>——</v>
      </c>
      <c r="E129" s="3432"/>
      <c r="F129" s="3432"/>
      <c r="G129" s="3432"/>
      <c r="H129" s="3432"/>
      <c r="I129" s="3432"/>
      <c r="J129" s="2832"/>
    </row>
    <row r="130" spans="1:10" ht="14.25" thickTop="1" thickBot="1">
      <c r="A130" s="3437" t="s">
        <v>2741</v>
      </c>
      <c r="B130" s="3438"/>
      <c r="C130" s="3438"/>
      <c r="D130" s="3443">
        <f>H116</f>
        <v>0</v>
      </c>
      <c r="E130" s="3444"/>
      <c r="F130" s="3444"/>
      <c r="G130" s="3444"/>
      <c r="H130" s="3444"/>
      <c r="I130" s="3445"/>
      <c r="J130" s="2840"/>
    </row>
    <row r="131" spans="1:10" ht="12.75">
      <c r="A131" s="1451" t="str">
        <f>IF(H19="元","单位：平方米、元、元/平方米（币种：人民币）","单位：平方米、万元、元/平方米（币种：人民币）")</f>
        <v>单位：平方米、万元、元/平方米（币种：人民币）</v>
      </c>
      <c r="B131" s="1451"/>
      <c r="C131" s="1451"/>
      <c r="D131" s="1451"/>
      <c r="E131" s="1451"/>
      <c r="F131" s="1451"/>
      <c r="G131" s="1451"/>
      <c r="H131" s="1451"/>
      <c r="I131" s="1451"/>
      <c r="J131" s="2841"/>
    </row>
    <row r="132" spans="1:10" ht="13.5" thickBot="1">
      <c r="A132" s="3411" t="str">
        <f>IF(B32="总价","（以上估价结果中楼面单价为总价除以建筑面积得出）","（以上估价结果中总价为楼面单价乘以建筑面积得出）")</f>
        <v>（以上估价结果中楼面单价为总价除以建筑面积得出）</v>
      </c>
      <c r="B132" s="3411"/>
      <c r="C132" s="3411"/>
      <c r="D132" s="3411"/>
      <c r="E132" s="3411"/>
      <c r="F132" s="3411"/>
      <c r="G132" s="3411"/>
      <c r="H132" s="3411"/>
      <c r="I132" s="3411"/>
      <c r="J132" s="2834"/>
    </row>
    <row r="133" spans="1:10" ht="21.75" customHeight="1">
      <c r="A133" s="1461" t="s">
        <v>1817</v>
      </c>
      <c r="B133" s="1462"/>
      <c r="C133" s="1463" t="s">
        <v>1818</v>
      </c>
      <c r="D133" s="1464"/>
      <c r="E133" s="1464"/>
      <c r="F133" s="1464"/>
      <c r="G133" s="1464"/>
      <c r="H133" s="1465"/>
      <c r="I133" s="1466"/>
      <c r="J133" s="2842"/>
    </row>
    <row r="134" spans="1:10" ht="21.75" customHeight="1">
      <c r="A134" s="1467">
        <v>1</v>
      </c>
      <c r="B134" s="1468"/>
      <c r="C134" s="1468"/>
      <c r="D134" s="1464"/>
      <c r="E134" s="1464"/>
      <c r="F134" s="1464"/>
      <c r="G134" s="1464"/>
      <c r="H134" s="1465"/>
      <c r="I134" s="1466"/>
      <c r="J134" s="2842"/>
    </row>
    <row r="135" spans="1:10" ht="21.75" customHeight="1">
      <c r="A135" s="1467">
        <v>2</v>
      </c>
      <c r="B135" s="1468"/>
      <c r="C135" s="1468"/>
      <c r="D135" s="1464"/>
      <c r="E135" s="1464"/>
      <c r="F135" s="1464"/>
      <c r="G135" s="1464"/>
      <c r="H135" s="1465"/>
      <c r="I135" s="1466"/>
      <c r="J135" s="2842"/>
    </row>
    <row r="136" spans="1:10" ht="21.75" customHeight="1">
      <c r="A136" s="1467">
        <v>3</v>
      </c>
      <c r="B136" s="1468"/>
      <c r="C136" s="1468"/>
      <c r="D136" s="1464"/>
      <c r="E136" s="1464"/>
      <c r="F136" s="32"/>
      <c r="G136" s="32"/>
      <c r="H136" s="32"/>
      <c r="I136" s="32"/>
      <c r="J136" s="2843"/>
    </row>
    <row r="137" spans="1:10" ht="21.75" customHeight="1">
      <c r="A137" s="1469"/>
      <c r="B137" s="1470"/>
      <c r="C137" s="1470"/>
      <c r="D137" s="1471"/>
      <c r="E137" s="1471"/>
      <c r="F137" s="1471"/>
      <c r="G137" s="1471"/>
      <c r="H137" s="1472"/>
      <c r="I137" s="1473"/>
      <c r="J137" s="2842"/>
    </row>
    <row r="138" spans="1:10" ht="21.75" customHeight="1">
      <c r="A138" s="1468"/>
      <c r="B138" s="1468"/>
      <c r="C138" s="1468"/>
      <c r="D138" s="1464"/>
      <c r="E138" s="1464"/>
      <c r="F138" s="1464"/>
      <c r="G138" s="1464"/>
      <c r="H138" s="1465"/>
      <c r="I138" s="659"/>
      <c r="J138" s="2843"/>
    </row>
    <row r="139" spans="1:10" ht="21.75" customHeight="1">
      <c r="A139" s="659"/>
      <c r="B139" s="659"/>
      <c r="C139" s="659"/>
      <c r="D139" s="659"/>
      <c r="E139" s="659"/>
      <c r="F139" s="1474" t="s">
        <v>1819</v>
      </c>
      <c r="G139" s="1475"/>
      <c r="H139" s="1475"/>
      <c r="I139" s="1476" t="s">
        <v>1820</v>
      </c>
      <c r="J139" s="2844"/>
    </row>
    <row r="140" spans="1:10" ht="21.75" customHeight="1">
      <c r="A140" s="659"/>
      <c r="B140" s="1477" t="s">
        <v>1821</v>
      </c>
      <c r="C140" s="659"/>
      <c r="D140" s="659"/>
      <c r="E140" s="659"/>
      <c r="F140" s="659"/>
      <c r="G140" s="659"/>
      <c r="H140" s="659"/>
      <c r="I140" s="659"/>
      <c r="J140" s="2843"/>
    </row>
    <row r="141" spans="1:10" ht="21.75" customHeight="1">
      <c r="A141" s="659"/>
      <c r="B141" s="659"/>
      <c r="C141" s="659"/>
      <c r="D141" s="659"/>
      <c r="E141" s="659"/>
      <c r="F141" s="659"/>
      <c r="G141" s="659"/>
      <c r="H141" s="659"/>
      <c r="I141" s="659"/>
      <c r="J141" s="2843"/>
    </row>
    <row r="142" spans="1:10" ht="21.75" customHeight="1">
      <c r="A142" s="659"/>
      <c r="B142" s="1475"/>
      <c r="C142" s="1475"/>
      <c r="D142" s="1475"/>
      <c r="E142" s="1475"/>
      <c r="F142" s="1475"/>
      <c r="G142" s="1475"/>
      <c r="H142" s="1475"/>
      <c r="I142" s="1476" t="s">
        <v>1822</v>
      </c>
      <c r="J142" s="2844"/>
    </row>
    <row r="143" spans="1:10" ht="21.75" customHeight="1">
      <c r="A143" s="659"/>
      <c r="B143" s="1477" t="s">
        <v>1823</v>
      </c>
      <c r="C143" s="659"/>
      <c r="D143" s="659"/>
      <c r="E143" s="659"/>
      <c r="F143" s="659"/>
      <c r="G143" s="659"/>
      <c r="H143" s="659"/>
      <c r="I143" s="659"/>
      <c r="J143" s="2843"/>
    </row>
    <row r="144" spans="1:10" ht="21.75" customHeight="1">
      <c r="A144" s="659"/>
      <c r="B144" s="1477"/>
      <c r="C144" s="659"/>
      <c r="D144" s="659"/>
      <c r="E144" s="659"/>
      <c r="F144" s="659"/>
      <c r="G144" s="659"/>
      <c r="H144" s="659"/>
      <c r="I144" s="659"/>
      <c r="J144" s="2843"/>
    </row>
    <row r="145" spans="1:36" ht="21.75" customHeight="1">
      <c r="A145" s="659"/>
      <c r="B145" s="1475"/>
      <c r="C145" s="1475"/>
      <c r="D145" s="1475"/>
      <c r="E145" s="1475"/>
      <c r="F145" s="1475"/>
      <c r="G145" s="1475"/>
      <c r="H145" s="1475"/>
      <c r="I145" s="1476" t="s">
        <v>1822</v>
      </c>
      <c r="J145" s="2844"/>
    </row>
    <row r="146" spans="1:36" ht="21.75" customHeight="1">
      <c r="A146" s="659"/>
      <c r="B146" s="1477"/>
      <c r="C146" s="1478"/>
      <c r="D146" s="1479"/>
      <c r="E146" s="1479"/>
      <c r="F146" s="1480"/>
      <c r="G146" s="659"/>
      <c r="H146" s="659"/>
      <c r="I146" s="659"/>
      <c r="J146" s="2843"/>
    </row>
    <row r="147" spans="1:36" s="32" customFormat="1" ht="21.75" customHeight="1">
      <c r="A147" s="659"/>
      <c r="B147" s="1477"/>
      <c r="C147" s="1478"/>
      <c r="D147" s="1479"/>
      <c r="E147" s="147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3"/>
    </row>
    <row r="151" spans="1:36" s="659" customFormat="1" ht="21.75" customHeight="1">
      <c r="J151" s="2843"/>
    </row>
    <row r="152" spans="1:36" s="659" customFormat="1" ht="21.75" customHeight="1">
      <c r="J152" s="2843"/>
    </row>
    <row r="153" spans="1:36" s="659" customFormat="1" ht="21.75" customHeight="1">
      <c r="J153" s="2843"/>
    </row>
    <row r="154" spans="1:36" s="659" customFormat="1" ht="21.75" customHeight="1">
      <c r="J154" s="2843"/>
    </row>
    <row r="155" spans="1:36" s="659" customFormat="1" ht="21.75" customHeight="1">
      <c r="J155" s="2843"/>
    </row>
    <row r="156" spans="1:36" s="659" customFormat="1" ht="21.75" customHeight="1">
      <c r="J156" s="2843"/>
    </row>
    <row r="157" spans="1:36" s="659" customFormat="1" ht="21.75" customHeight="1">
      <c r="J157" s="2843"/>
    </row>
    <row r="158" spans="1:36" s="659" customFormat="1" ht="21.75" customHeight="1">
      <c r="J158" s="2843"/>
    </row>
    <row r="159" spans="1:36" s="659" customFormat="1" ht="21.75" customHeight="1">
      <c r="J159" s="2843"/>
    </row>
    <row r="160" spans="1:36"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10" s="659" customFormat="1" ht="21.75" customHeight="1">
      <c r="J369" s="2843"/>
    </row>
    <row r="370" spans="10:10" s="659" customFormat="1" ht="21.75" customHeight="1">
      <c r="J370" s="2843"/>
    </row>
    <row r="371" spans="10:10" s="659" customFormat="1" ht="21.75" customHeight="1">
      <c r="J371" s="2843"/>
    </row>
    <row r="372" spans="10:10" s="659" customFormat="1" ht="21.75" customHeight="1">
      <c r="J372" s="2843"/>
    </row>
    <row r="373" spans="10:10" s="659" customFormat="1" ht="21.75" customHeight="1">
      <c r="J373" s="2843"/>
    </row>
    <row r="374" spans="10:10" s="659" customFormat="1" ht="21.75" customHeight="1">
      <c r="J374" s="2843"/>
    </row>
    <row r="375" spans="10:10" s="659" customFormat="1" ht="21.75" customHeight="1">
      <c r="J375" s="2843"/>
    </row>
    <row r="376" spans="10:10" s="659" customFormat="1" ht="21.75" customHeight="1">
      <c r="J376" s="2843"/>
    </row>
    <row r="377" spans="10:10" s="659" customFormat="1" ht="21.75" customHeight="1">
      <c r="J377" s="2843"/>
    </row>
    <row r="378" spans="10:10" s="659" customFormat="1" ht="21.75" customHeight="1">
      <c r="J378" s="2843"/>
    </row>
    <row r="379" spans="10:10" s="659" customFormat="1" ht="21.75" customHeight="1">
      <c r="J379" s="2843"/>
    </row>
    <row r="380" spans="10:10" s="659" customFormat="1" ht="21.75" customHeight="1">
      <c r="J380" s="2843"/>
    </row>
    <row r="381" spans="10:10" s="659" customFormat="1" ht="21.75" customHeight="1">
      <c r="J381" s="2843"/>
    </row>
    <row r="382" spans="10:10" s="659" customFormat="1" ht="21.75" customHeight="1">
      <c r="J382" s="2843"/>
    </row>
    <row r="383" spans="10:10" s="659" customFormat="1" ht="21.75" customHeight="1">
      <c r="J383" s="2843"/>
    </row>
    <row r="384" spans="10:10" s="659" customFormat="1" ht="21.75" customHeight="1">
      <c r="J384" s="2843"/>
    </row>
    <row r="385" spans="10:10" s="659" customFormat="1" ht="21.75" customHeight="1">
      <c r="J385" s="2843"/>
    </row>
    <row r="386" spans="10:10" s="659" customFormat="1" ht="21.75" customHeight="1">
      <c r="J386" s="2843"/>
    </row>
    <row r="387" spans="10:10" s="659" customFormat="1" ht="21.75" customHeight="1">
      <c r="J387" s="2843"/>
    </row>
    <row r="388" spans="10:10" s="659" customFormat="1" ht="21.75" customHeight="1">
      <c r="J388" s="2843"/>
    </row>
    <row r="389" spans="10:10" s="659" customFormat="1" ht="21.75" customHeight="1">
      <c r="J389" s="2843"/>
    </row>
    <row r="390" spans="10:10" s="659" customFormat="1" ht="21.75" customHeight="1">
      <c r="J390" s="2843"/>
    </row>
    <row r="391" spans="10:10" s="659" customFormat="1" ht="21.75" customHeight="1">
      <c r="J391" s="2843"/>
    </row>
    <row r="392" spans="10:10" s="659" customFormat="1" ht="21.75" customHeight="1">
      <c r="J392" s="2843"/>
    </row>
    <row r="393" spans="10:10" s="659" customFormat="1" ht="21.75" customHeight="1">
      <c r="J393" s="2843"/>
    </row>
    <row r="394" spans="10:10" s="659" customFormat="1" ht="21.75" customHeight="1">
      <c r="J394" s="2843"/>
    </row>
    <row r="395" spans="10:10" s="659" customFormat="1" ht="21.75" customHeight="1">
      <c r="J395" s="2843"/>
    </row>
    <row r="396" spans="10:10" s="659" customFormat="1" ht="21.75" customHeight="1">
      <c r="J396" s="2843"/>
    </row>
    <row r="397" spans="10:10" s="659" customFormat="1" ht="21.75" customHeight="1">
      <c r="J397" s="2843"/>
    </row>
    <row r="398" spans="10:10" s="659" customFormat="1" ht="21.75" customHeight="1">
      <c r="J398" s="2843"/>
    </row>
    <row r="399" spans="10:10" s="659" customFormat="1" ht="21.75" customHeight="1">
      <c r="J399" s="2843"/>
    </row>
    <row r="400" spans="10:10" s="659" customFormat="1" ht="21.75" customHeight="1">
      <c r="J400" s="2843"/>
    </row>
    <row r="401" spans="10:27" s="659" customFormat="1" ht="21.75" customHeight="1">
      <c r="J401" s="2843"/>
    </row>
    <row r="402" spans="10:27" s="659" customFormat="1" ht="21.75" customHeight="1">
      <c r="J402" s="2843"/>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"100%,80%,60%,64%"</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1824</v>
      </c>
      <c r="B1" s="1431"/>
      <c r="C1" s="1431"/>
      <c r="D1" s="1431"/>
      <c r="E1" s="1431"/>
      <c r="F1" s="1431"/>
      <c r="G1" s="1431"/>
      <c r="H1" s="1431"/>
      <c r="I1" s="1431"/>
    </row>
    <row r="2" spans="1:15" ht="21.75" customHeight="1">
      <c r="A2" s="3545" t="s">
        <v>1825</v>
      </c>
      <c r="B2" s="3545"/>
      <c r="C2" s="3545"/>
      <c r="D2" s="3545"/>
      <c r="E2" s="3545"/>
      <c r="F2" s="3545"/>
      <c r="G2" s="3545"/>
      <c r="H2" s="3545"/>
      <c r="I2" s="3545"/>
      <c r="J2" s="2845"/>
    </row>
    <row r="3" spans="1:15" ht="12.75">
      <c r="A3" s="3469" t="s">
        <v>1653</v>
      </c>
      <c r="B3" s="3470"/>
      <c r="C3" s="3470"/>
      <c r="D3" s="3470"/>
      <c r="E3" s="3470"/>
      <c r="F3" s="3470"/>
      <c r="G3" s="3470"/>
      <c r="H3" s="3470"/>
      <c r="I3" s="3470"/>
      <c r="J3" s="2815"/>
    </row>
    <row r="4" spans="1:15" ht="14.25">
      <c r="A4" s="2683" t="s">
        <v>1654</v>
      </c>
      <c r="B4" s="2683" t="s">
        <v>1655</v>
      </c>
      <c r="C4" s="2684"/>
      <c r="D4" s="2684"/>
      <c r="E4" s="3415" t="s">
        <v>1826</v>
      </c>
      <c r="F4" s="3453"/>
      <c r="G4" s="3453"/>
      <c r="H4" s="3453"/>
      <c r="I4" s="3454"/>
      <c r="J4" s="2816"/>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2.75">
      <c r="A5" s="3446" t="s">
        <v>1657</v>
      </c>
      <c r="B5" s="3446">
        <v>25</v>
      </c>
      <c r="C5" s="3455"/>
      <c r="D5" s="3468"/>
      <c r="E5" s="12" t="s">
        <v>1658</v>
      </c>
      <c r="F5" s="2059"/>
      <c r="G5" s="2059"/>
      <c r="H5" s="2059"/>
      <c r="I5" s="2054"/>
      <c r="J5" s="2816"/>
    </row>
    <row r="6" spans="1:15" ht="12.75">
      <c r="A6" s="3446"/>
      <c r="B6" s="3446"/>
      <c r="C6" s="3471"/>
      <c r="D6" s="3468"/>
      <c r="E6" s="12" t="s">
        <v>1659</v>
      </c>
      <c r="F6" s="2059"/>
      <c r="G6" s="2059"/>
      <c r="H6" s="2059"/>
      <c r="I6" s="2054"/>
      <c r="J6" s="2816"/>
    </row>
    <row r="7" spans="1:15" ht="12.75">
      <c r="A7" s="3446"/>
      <c r="B7" s="3446"/>
      <c r="C7" s="3456"/>
      <c r="D7" s="3468"/>
      <c r="E7" s="12" t="s">
        <v>1660</v>
      </c>
      <c r="F7" s="2059"/>
      <c r="G7" s="2059"/>
      <c r="H7" s="2059"/>
      <c r="I7" s="2054"/>
      <c r="J7" s="2816"/>
    </row>
    <row r="8" spans="1:15" ht="12.75">
      <c r="A8" s="3446" t="s">
        <v>1661</v>
      </c>
      <c r="B8" s="3446">
        <v>15</v>
      </c>
      <c r="C8" s="3455"/>
      <c r="D8" s="3468"/>
      <c r="E8" s="12" t="s">
        <v>1662</v>
      </c>
      <c r="F8" s="2059"/>
      <c r="G8" s="2059"/>
      <c r="H8" s="2059"/>
      <c r="I8" s="2054"/>
      <c r="J8" s="2816"/>
    </row>
    <row r="9" spans="1:15" ht="12.75">
      <c r="A9" s="3446"/>
      <c r="B9" s="3446"/>
      <c r="C9" s="3456"/>
      <c r="D9" s="3468"/>
      <c r="E9" s="12" t="s">
        <v>1663</v>
      </c>
      <c r="F9" s="2059"/>
      <c r="G9" s="2059"/>
      <c r="H9" s="2059"/>
      <c r="I9" s="2054"/>
      <c r="J9" s="2816"/>
    </row>
    <row r="10" spans="1:15" ht="12.75">
      <c r="A10" s="3446" t="s">
        <v>1664</v>
      </c>
      <c r="B10" s="3446">
        <v>15</v>
      </c>
      <c r="C10" s="3455"/>
      <c r="D10" s="3468"/>
      <c r="E10" s="12" t="s">
        <v>1665</v>
      </c>
      <c r="F10" s="2059"/>
      <c r="G10" s="2059"/>
      <c r="H10" s="2059"/>
      <c r="I10" s="2054"/>
      <c r="J10" s="2816"/>
    </row>
    <row r="11" spans="1:15" ht="12.75">
      <c r="A11" s="3446"/>
      <c r="B11" s="3446"/>
      <c r="C11" s="3456"/>
      <c r="D11" s="3468"/>
      <c r="E11" s="12" t="s">
        <v>1666</v>
      </c>
      <c r="F11" s="2059"/>
      <c r="G11" s="2059"/>
      <c r="H11" s="2059"/>
      <c r="I11" s="2054"/>
      <c r="J11" s="2816"/>
    </row>
    <row r="12" spans="1:15" ht="12.75">
      <c r="A12" s="3446" t="s">
        <v>1667</v>
      </c>
      <c r="B12" s="3446">
        <v>15</v>
      </c>
      <c r="C12" s="3455"/>
      <c r="D12" s="3468"/>
      <c r="E12" s="12" t="s">
        <v>1668</v>
      </c>
      <c r="F12" s="2059"/>
      <c r="G12" s="2059"/>
      <c r="H12" s="2059"/>
      <c r="I12" s="2054"/>
      <c r="J12" s="2816"/>
    </row>
    <row r="13" spans="1:15" ht="12.75">
      <c r="A13" s="3446"/>
      <c r="B13" s="3446"/>
      <c r="C13" s="3456"/>
      <c r="D13" s="3468"/>
      <c r="E13" s="12" t="s">
        <v>1669</v>
      </c>
      <c r="F13" s="2059"/>
      <c r="G13" s="2059"/>
      <c r="H13" s="2059"/>
      <c r="I13" s="2054"/>
      <c r="J13" s="2816"/>
    </row>
    <row r="14" spans="1:15" ht="12.75">
      <c r="A14" s="3446" t="s">
        <v>1670</v>
      </c>
      <c r="B14" s="3446">
        <v>30</v>
      </c>
      <c r="C14" s="3455"/>
      <c r="D14" s="3468"/>
      <c r="E14" s="12" t="s">
        <v>1671</v>
      </c>
      <c r="F14" s="2059"/>
      <c r="G14" s="2059"/>
      <c r="H14" s="2059"/>
      <c r="I14" s="2054"/>
      <c r="J14" s="2816"/>
    </row>
    <row r="15" spans="1:15" ht="12.75">
      <c r="A15" s="3446"/>
      <c r="B15" s="3446"/>
      <c r="C15" s="3471"/>
      <c r="D15" s="3468"/>
      <c r="E15" s="12" t="s">
        <v>1672</v>
      </c>
      <c r="F15" s="2059"/>
      <c r="G15" s="2059"/>
      <c r="H15" s="2059"/>
      <c r="I15" s="2054"/>
      <c r="J15" s="2816"/>
    </row>
    <row r="16" spans="1:15" ht="12.75">
      <c r="A16" s="3446"/>
      <c r="B16" s="3446"/>
      <c r="C16" s="3456"/>
      <c r="D16" s="3468"/>
      <c r="E16" s="12" t="s">
        <v>1673</v>
      </c>
      <c r="F16" s="2059"/>
      <c r="G16" s="2059"/>
      <c r="H16" s="2059"/>
      <c r="I16" s="2054"/>
      <c r="J16" s="2816"/>
    </row>
    <row r="17" spans="1:36" ht="15">
      <c r="A17" s="2685" t="s">
        <v>1674</v>
      </c>
      <c r="B17" s="2064"/>
      <c r="C17" s="2686">
        <f>SUM(C5:C16)</f>
        <v>0</v>
      </c>
      <c r="D17" s="2686">
        <f>SUM(D5:D16)</f>
        <v>0</v>
      </c>
      <c r="E17" s="2533"/>
      <c r="F17" s="2533"/>
      <c r="G17" s="2533"/>
      <c r="H17" s="2533"/>
      <c r="I17" s="2533"/>
      <c r="J17" s="2817"/>
    </row>
    <row r="18" spans="1:36" ht="32.450000000000003" customHeight="1" thickBot="1">
      <c r="A18" s="2687" t="s">
        <v>1675</v>
      </c>
      <c r="B18" s="2688"/>
      <c r="C18" s="2689" t="e">
        <f>ROUND(C17/SUM(C17:D17),2)</f>
        <v>#DIV/0!</v>
      </c>
      <c r="D18" s="2689" t="e">
        <f>1-C18</f>
        <v>#DIV/0!</v>
      </c>
      <c r="E18" s="3464" t="s">
        <v>2760</v>
      </c>
      <c r="F18" s="3465"/>
      <c r="G18" s="3465"/>
      <c r="H18" s="3465"/>
      <c r="I18" s="3465"/>
      <c r="J18" s="2817"/>
    </row>
    <row r="19" spans="1:36" ht="15">
      <c r="A19" s="2690" t="s">
        <v>1676</v>
      </c>
      <c r="B19" s="2691" t="s">
        <v>1677</v>
      </c>
      <c r="C19" s="2692" t="e">
        <f ca="1">SUMIF(INDIRECT("'"&amp;C4&amp;"'"&amp;"!A:A"),'结果表 (1修多)'!B19,INDIRECT("'"&amp;C4&amp;"'"&amp;"!B:B"))</f>
        <v>#REF!</v>
      </c>
      <c r="D19" s="2693" t="e">
        <f ca="1">SUMIF(INDIRECT("'"&amp;D4&amp;"'"&amp;"!A:A"),'结果表 (1修多)'!B19,INDIRECT("'"&amp;D4&amp;"'"&amp;"!B:B"))</f>
        <v>#REF!</v>
      </c>
      <c r="E19" s="2690" t="s">
        <v>1678</v>
      </c>
      <c r="F19" s="2691" t="s">
        <v>1677</v>
      </c>
      <c r="G19" s="2694" t="e">
        <f ca="1">ROUND(C19*$C$18+D19*$D$18,0)</f>
        <v>#REF!</v>
      </c>
      <c r="H19" s="2695" t="str">
        <f>'数据-取费表'!B3</f>
        <v>万元</v>
      </c>
      <c r="I19" s="2533"/>
      <c r="J19" s="2817"/>
    </row>
    <row r="20" spans="1:36" ht="15">
      <c r="A20" s="2696"/>
      <c r="B20" s="1664" t="s">
        <v>1679</v>
      </c>
      <c r="C20" s="1889" t="e">
        <f ca="1">SUMIF(INDIRECT("'"&amp;C4&amp;"'"&amp;"!A:A"),'结果表 (1修多)'!B20,INDIRECT("'"&amp;C4&amp;"'"&amp;"!B:B"))</f>
        <v>#REF!</v>
      </c>
      <c r="D20" s="1892" t="e">
        <f ca="1">SUMIF(INDIRECT("'"&amp;D4&amp;"'"&amp;"!A:A"),'结果表 (1修多)'!B20,INDIRECT("'"&amp;D4&amp;"'"&amp;"!B:B"))</f>
        <v>#REF!</v>
      </c>
      <c r="E20" s="2696"/>
      <c r="F20" s="1664" t="s">
        <v>1679</v>
      </c>
      <c r="G20" s="2063" t="e">
        <f ca="1">ROUND(C20*$C$18+D20*$D$18,0)</f>
        <v>#REF!</v>
      </c>
      <c r="H20" s="2697" t="s">
        <v>1680</v>
      </c>
      <c r="I20" s="2533"/>
      <c r="J20" s="2817"/>
    </row>
    <row r="21" spans="1:36" ht="15" customHeight="1" thickBot="1">
      <c r="A21" s="2698"/>
      <c r="B21" s="2699"/>
      <c r="C21" s="2699"/>
      <c r="D21" s="2700"/>
      <c r="E21" s="2698"/>
      <c r="F21" s="2699"/>
      <c r="G21" s="2701"/>
      <c r="H21" s="2702"/>
      <c r="I21" s="2533"/>
      <c r="J21" s="2817"/>
    </row>
    <row r="22" spans="1:36" ht="15" thickBot="1">
      <c r="A22" s="2703" t="s">
        <v>1681</v>
      </c>
      <c r="B22" s="2704"/>
      <c r="C22" s="2617"/>
      <c r="D22" s="2705" t="e">
        <f ca="1">IF(C19&lt;D19,D19/C19-1,C19/D19-1)</f>
        <v>#REF!</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57" t="s">
        <v>1682</v>
      </c>
      <c r="B24" s="2691" t="s">
        <v>1677</v>
      </c>
      <c r="C24" s="2694">
        <f>D30</f>
        <v>0</v>
      </c>
      <c r="D24" s="2646"/>
      <c r="E24" s="947"/>
      <c r="F24" s="947"/>
      <c r="G24" s="947"/>
      <c r="H24" s="947"/>
      <c r="I24" s="947"/>
      <c r="J24" s="2817"/>
    </row>
    <row r="25" spans="1:36" ht="21.75" customHeight="1">
      <c r="A25" s="3474"/>
      <c r="B25" s="1664" t="s">
        <v>1679</v>
      </c>
      <c r="C25" s="2706">
        <f>IF(B30=0,0,C30)</f>
        <v>0</v>
      </c>
      <c r="D25" s="2707"/>
      <c r="E25" s="947"/>
      <c r="F25" s="947"/>
      <c r="G25" s="947"/>
      <c r="H25" s="947"/>
      <c r="I25" s="947"/>
      <c r="J25" s="2817"/>
    </row>
    <row r="26" spans="1:36" ht="13.5" customHeight="1">
      <c r="A26" s="2708" t="s">
        <v>1683</v>
      </c>
      <c r="B26" s="2709" t="s">
        <v>1684</v>
      </c>
      <c r="C26" s="2709" t="s">
        <v>1685</v>
      </c>
      <c r="D26" s="2710" t="s">
        <v>1686</v>
      </c>
      <c r="E26" s="947"/>
      <c r="F26" s="947"/>
      <c r="G26" s="947"/>
      <c r="H26" s="947"/>
      <c r="I26" s="947"/>
      <c r="J26" s="2817"/>
    </row>
    <row r="27" spans="1:36" ht="14.25">
      <c r="A27" s="2711" t="s">
        <v>1827</v>
      </c>
      <c r="B27" s="2709">
        <v>0</v>
      </c>
      <c r="C27" s="2709">
        <v>0</v>
      </c>
      <c r="D27" s="2710">
        <f>ROUND(C27*B27/10000,0)</f>
        <v>0</v>
      </c>
      <c r="E27" s="947"/>
      <c r="F27" s="947"/>
      <c r="G27" s="947"/>
      <c r="H27" s="947"/>
      <c r="I27" s="947"/>
      <c r="J27" s="2817"/>
    </row>
    <row r="28" spans="1:36" ht="14.25">
      <c r="A28" s="2708"/>
      <c r="B28" s="2709"/>
      <c r="C28" s="2709"/>
      <c r="D28" s="2710">
        <f>ROUND(C28*B28/10000,0)</f>
        <v>0</v>
      </c>
      <c r="E28" s="947"/>
      <c r="F28" s="947"/>
      <c r="G28" s="947"/>
      <c r="H28" s="947"/>
      <c r="I28" s="947"/>
      <c r="J28" s="2817"/>
    </row>
    <row r="29" spans="1:36" ht="14.25">
      <c r="A29" s="2708"/>
      <c r="B29" s="2709"/>
      <c r="C29" s="2709"/>
      <c r="D29" s="2710">
        <f t="shared" ref="D29" si="0">ROUND(C29*B29/10000,0)</f>
        <v>0</v>
      </c>
      <c r="E29" s="947"/>
      <c r="F29" s="947"/>
      <c r="G29" s="947"/>
      <c r="H29" s="947"/>
      <c r="I29" s="947"/>
      <c r="J29" s="2817"/>
    </row>
    <row r="30" spans="1:36" ht="15" thickBot="1">
      <c r="A30" s="2744" t="s">
        <v>1828</v>
      </c>
      <c r="B30" s="2745"/>
      <c r="C30" s="2745"/>
      <c r="D30" s="2745"/>
      <c r="E30" s="2712" t="s">
        <v>2764</v>
      </c>
      <c r="F30" s="2533"/>
      <c r="G30" s="2533"/>
      <c r="H30" s="2533"/>
      <c r="I30" s="2533"/>
      <c r="J30" s="2817"/>
    </row>
    <row r="31" spans="1:36" s="2810" customFormat="1" ht="27.6" customHeight="1" thickTop="1" thickBot="1">
      <c r="A31" s="2805"/>
      <c r="B31" s="2806"/>
      <c r="C31" s="2806"/>
      <c r="D31" s="2806"/>
      <c r="E31" s="2806"/>
      <c r="F31" s="2806"/>
      <c r="G31" s="2806"/>
      <c r="H31" s="2806"/>
      <c r="I31" s="2807" t="s">
        <v>2765</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1435" customFormat="1" ht="16.5" thickTop="1" thickBot="1">
      <c r="A32" s="3522" t="s">
        <v>1829</v>
      </c>
      <c r="B32" s="3522"/>
      <c r="C32" s="3522"/>
      <c r="D32" s="3522"/>
      <c r="E32" s="3522"/>
      <c r="F32" s="3522"/>
      <c r="G32" s="3522"/>
      <c r="H32" s="3522"/>
      <c r="I32" s="3522"/>
      <c r="J32" s="2846"/>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6" t="s">
        <v>1830</v>
      </c>
      <c r="C33" s="2747">
        <f>典型户型修正!R27</f>
        <v>0</v>
      </c>
      <c r="D33" s="2533" t="s">
        <v>1831</v>
      </c>
      <c r="E33" s="947"/>
      <c r="F33" s="947"/>
      <c r="G33" s="947"/>
      <c r="H33" s="947"/>
      <c r="I33" s="947"/>
      <c r="J33" s="2817"/>
    </row>
    <row r="34" spans="1:16" ht="15">
      <c r="A34" s="1482" t="s">
        <v>1832</v>
      </c>
      <c r="B34" s="2748" t="s">
        <v>1833</v>
      </c>
      <c r="C34" s="2749">
        <f>典型户型修正!B2</f>
        <v>0</v>
      </c>
      <c r="D34" s="2750" t="str">
        <f>IF('数据-取费表'!B3="万元","万元","元")</f>
        <v>万元</v>
      </c>
      <c r="E34" s="947"/>
      <c r="F34" s="947"/>
      <c r="G34" s="947"/>
      <c r="H34" s="947"/>
      <c r="I34" s="947"/>
      <c r="J34" s="2817"/>
    </row>
    <row r="35" spans="1:16" ht="15.75" thickBot="1">
      <c r="A35" s="1483"/>
      <c r="B35" s="2751" t="s">
        <v>1834</v>
      </c>
      <c r="C35" s="2700" t="e">
        <f>典型户型修正!B3</f>
        <v>#DIV/0!</v>
      </c>
      <c r="D35" s="2533" t="s">
        <v>1835</v>
      </c>
      <c r="E35" s="947"/>
      <c r="F35" s="947"/>
      <c r="G35" s="947"/>
      <c r="H35" s="947"/>
      <c r="I35" s="947"/>
      <c r="J35" s="2817"/>
    </row>
    <row r="36" spans="1:16" ht="15">
      <c r="A36" s="1484"/>
      <c r="B36" s="1438" t="s">
        <v>1836</v>
      </c>
      <c r="C36" s="2752">
        <f>IF('数据-取费表'!B3="万元",典型户型修正!V25,典型户型修正!U25)</f>
        <v>0</v>
      </c>
      <c r="D36" s="2533" t="str">
        <f>D34</f>
        <v>万元</v>
      </c>
      <c r="E36" s="947"/>
      <c r="F36" s="947"/>
      <c r="G36" s="947"/>
      <c r="H36" s="947"/>
      <c r="I36" s="947"/>
      <c r="J36" s="2817"/>
    </row>
    <row r="37" spans="1:16" ht="15.75" thickBot="1">
      <c r="A37" s="1437"/>
      <c r="B37" s="1439" t="s">
        <v>1837</v>
      </c>
      <c r="C37" s="2753">
        <f>IF('数据-取费表'!B3="万元",典型户型修正!Y25,典型户型修正!X25)</f>
        <v>0</v>
      </c>
      <c r="D37" s="2533" t="str">
        <f>D34</f>
        <v>万元</v>
      </c>
      <c r="E37" s="947"/>
      <c r="F37" s="947"/>
      <c r="G37" s="947"/>
      <c r="H37" s="947"/>
      <c r="I37" s="947"/>
      <c r="J37" s="2817"/>
    </row>
    <row r="38" spans="1:16" ht="15.75" thickBot="1">
      <c r="A38" s="3457" t="s">
        <v>1838</v>
      </c>
      <c r="B38" s="1438" t="s">
        <v>1839</v>
      </c>
      <c r="C38" s="2727"/>
      <c r="D38" s="2728"/>
      <c r="E38" s="1650"/>
      <c r="F38" s="1650"/>
      <c r="G38" s="947"/>
      <c r="H38" s="947"/>
      <c r="I38" s="947"/>
      <c r="J38" s="2817"/>
    </row>
    <row r="39" spans="1:16" ht="15.75" thickBot="1">
      <c r="A39" s="3458"/>
      <c r="B39" s="2064" t="s">
        <v>1840</v>
      </c>
      <c r="C39" s="2729"/>
      <c r="D39" s="1281"/>
      <c r="E39" s="1281"/>
      <c r="F39" s="1650"/>
      <c r="G39" s="1281"/>
      <c r="H39" s="1281"/>
      <c r="I39" s="1281"/>
      <c r="J39" s="2821"/>
    </row>
    <row r="40" spans="1:16" ht="15.75" thickBot="1">
      <c r="A40" s="3459"/>
      <c r="B40" s="1439" t="s">
        <v>1841</v>
      </c>
      <c r="C40" s="2730"/>
      <c r="D40" s="2731" t="s">
        <v>1842</v>
      </c>
      <c r="E40" s="1281"/>
      <c r="F40" s="1650"/>
      <c r="G40" s="1281"/>
      <c r="H40" s="1281"/>
      <c r="I40" s="1281"/>
      <c r="J40" s="2821"/>
    </row>
    <row r="41" spans="1:16" ht="15">
      <c r="A41" s="2696" t="s">
        <v>1843</v>
      </c>
      <c r="B41" s="2732" t="s">
        <v>1844</v>
      </c>
      <c r="C41" s="2733" t="s">
        <v>1845</v>
      </c>
      <c r="D41" s="2733" t="s">
        <v>1846</v>
      </c>
      <c r="E41" s="2734" t="s">
        <v>1847</v>
      </c>
      <c r="F41" s="1650"/>
      <c r="G41" s="1281"/>
      <c r="H41" s="1281"/>
      <c r="I41" s="1281"/>
      <c r="J41" s="2821"/>
    </row>
    <row r="42" spans="1:16" ht="14.25">
      <c r="A42" s="2735" t="s">
        <v>1848</v>
      </c>
      <c r="B42" s="2736"/>
      <c r="C42" s="2737"/>
      <c r="D42" s="2737"/>
      <c r="E42" s="2738"/>
      <c r="F42" s="1650"/>
      <c r="G42" s="1281"/>
      <c r="H42" s="1281"/>
      <c r="I42" s="1281"/>
      <c r="J42" s="2821"/>
    </row>
    <row r="43" spans="1:16" ht="14.25">
      <c r="A43" s="2735" t="s">
        <v>1849</v>
      </c>
      <c r="B43" s="2736"/>
      <c r="C43" s="2737"/>
      <c r="D43" s="2737"/>
      <c r="E43" s="2738"/>
      <c r="F43" s="1650"/>
      <c r="G43" s="1281"/>
      <c r="H43" s="1281"/>
      <c r="I43" s="1281"/>
      <c r="J43" s="2821"/>
    </row>
    <row r="44" spans="1:16" ht="15" thickBot="1">
      <c r="A44" s="2739"/>
      <c r="B44" s="2740"/>
      <c r="C44" s="2741"/>
      <c r="D44" s="2741"/>
      <c r="E44" s="2726"/>
      <c r="F44" s="1650"/>
      <c r="G44" s="1281"/>
      <c r="H44" s="1281"/>
      <c r="I44" s="1281"/>
      <c r="J44" s="2821"/>
    </row>
    <row r="45" spans="1:16" ht="12.75">
      <c r="A45" s="1451"/>
      <c r="B45" s="1451"/>
      <c r="C45" s="1451"/>
      <c r="D45" s="1451"/>
      <c r="E45" s="1451"/>
      <c r="F45" s="1407"/>
      <c r="G45" s="1407"/>
      <c r="H45" s="1407"/>
      <c r="I45" s="2742"/>
      <c r="J45" s="2822"/>
    </row>
    <row r="46" spans="1:16" ht="18.75">
      <c r="A46" s="1441" t="s">
        <v>1850</v>
      </c>
      <c r="B46" s="1442"/>
      <c r="C46" s="1442"/>
      <c r="D46" s="2754"/>
      <c r="E46" s="2754"/>
      <c r="F46" s="2754"/>
      <c r="G46" s="2754"/>
      <c r="H46" s="2754"/>
      <c r="I46" s="2811" t="s">
        <v>2759</v>
      </c>
      <c r="J46" s="2847"/>
      <c r="K46" s="1445" t="s">
        <v>1705</v>
      </c>
      <c r="L46" s="1446"/>
      <c r="M46" s="1446"/>
      <c r="N46" s="1446"/>
      <c r="O46" s="1446"/>
      <c r="P46" s="1446"/>
    </row>
    <row r="47" spans="1:16" ht="14.25" customHeight="1" thickBot="1">
      <c r="A47" s="3461" t="s">
        <v>1851</v>
      </c>
      <c r="B47" s="3462"/>
      <c r="C47" s="3421"/>
      <c r="D47" s="246">
        <f>ROUND(I104*F47,0)</f>
        <v>0</v>
      </c>
      <c r="E47" s="1512" t="s">
        <v>1852</v>
      </c>
      <c r="F47" s="2531">
        <v>1</v>
      </c>
      <c r="G47" s="2532" t="s">
        <v>1853</v>
      </c>
      <c r="H47" s="947"/>
      <c r="I47" s="947"/>
      <c r="J47" s="2817"/>
      <c r="K47" s="3547" t="s">
        <v>1709</v>
      </c>
      <c r="L47" s="3547"/>
      <c r="M47" s="3547"/>
      <c r="N47" s="3547"/>
      <c r="O47" s="3547"/>
      <c r="P47" s="3547"/>
    </row>
    <row r="48" spans="1:16" ht="14.25" customHeight="1">
      <c r="A48" s="3450" t="s">
        <v>1710</v>
      </c>
      <c r="B48" s="3451"/>
      <c r="C48" s="3451"/>
      <c r="D48" s="3451"/>
      <c r="E48" s="3451"/>
      <c r="F48" s="3451"/>
      <c r="G48" s="3452"/>
      <c r="H48" s="2949"/>
      <c r="I48" s="947"/>
      <c r="J48" s="2817"/>
      <c r="K48" s="2483">
        <v>1</v>
      </c>
      <c r="L48" s="3542" t="s">
        <v>1711</v>
      </c>
      <c r="M48" s="3542"/>
      <c r="N48" s="3548"/>
      <c r="O48" s="3548"/>
      <c r="P48" s="3548"/>
    </row>
    <row r="49" spans="1:17" ht="12" customHeight="1">
      <c r="A49" s="38" t="s">
        <v>1712</v>
      </c>
      <c r="B49" s="39"/>
      <c r="C49" s="40"/>
      <c r="D49" s="1070" t="s">
        <v>1713</v>
      </c>
      <c r="E49" s="235" t="s">
        <v>1714</v>
      </c>
      <c r="F49" s="41" t="s">
        <v>1715</v>
      </c>
      <c r="G49" s="2534" t="s">
        <v>1716</v>
      </c>
      <c r="H49" s="2949"/>
      <c r="I49" s="947"/>
      <c r="J49" s="2817"/>
      <c r="K49" s="2483">
        <v>2</v>
      </c>
      <c r="L49" s="3542" t="s">
        <v>1717</v>
      </c>
      <c r="M49" s="3542"/>
      <c r="N49" s="3549">
        <f>'数据-取费表'!B2</f>
        <v>44645</v>
      </c>
      <c r="O49" s="3549"/>
      <c r="P49" s="3549"/>
    </row>
    <row r="50" spans="1:17" ht="25.5">
      <c r="A50" s="3460" t="s">
        <v>1718</v>
      </c>
      <c r="B50" s="3414"/>
      <c r="C50" s="3414"/>
      <c r="D50" s="12">
        <f>IF(H50="情况1",0,IF(H50="情况2",D54,IF(H50="情况3",D55,IF(H50="情况4",D56))))</f>
        <v>0</v>
      </c>
      <c r="E50" s="2062" t="str">
        <f>IF(H50="情况4","(销售额-原购置价)×税（费）率","销售额×税（费）率")</f>
        <v>销售额×税（费）率</v>
      </c>
      <c r="F50" s="2535">
        <f>IF(H50="情况1","免征",'数据-取费表'!E29)</f>
        <v>5.6000000000000001E-2</v>
      </c>
      <c r="G50" s="2536" t="s">
        <v>1719</v>
      </c>
      <c r="H50" s="2537" t="s">
        <v>1720</v>
      </c>
      <c r="I50" s="2949"/>
      <c r="J50" s="2824"/>
      <c r="K50" s="2483">
        <v>3</v>
      </c>
      <c r="L50" s="3542" t="s">
        <v>1721</v>
      </c>
      <c r="M50" s="3542"/>
      <c r="N50" s="3543">
        <f>I104</f>
        <v>0</v>
      </c>
      <c r="O50" s="3543"/>
      <c r="P50" s="3543"/>
    </row>
    <row r="51" spans="1:17" ht="25.5" customHeight="1">
      <c r="A51" s="2061" t="s">
        <v>1722</v>
      </c>
      <c r="B51" s="3453" t="s">
        <v>1723</v>
      </c>
      <c r="C51" s="3453"/>
      <c r="D51" s="2538">
        <v>0</v>
      </c>
      <c r="E51" s="261" t="s">
        <v>1724</v>
      </c>
      <c r="F51" s="2539" t="s">
        <v>48</v>
      </c>
      <c r="G51" s="3510"/>
      <c r="H51" s="2540" t="s">
        <v>2684</v>
      </c>
      <c r="I51" s="2541"/>
      <c r="J51" s="2825"/>
      <c r="K51" s="2483">
        <v>4</v>
      </c>
      <c r="L51" s="3542" t="str">
        <f>IF(项目基本情况!F5="房地产抵押价值","房地产抵押价值","抵押担保权已注销时的房地产抵押价值")</f>
        <v>抵押担保权已注销时的房地产抵押价值</v>
      </c>
      <c r="M51" s="3542"/>
      <c r="N51" s="3543" t="str">
        <f>IF(项目基本情况!F5="房地产抵押价值",I112,I114)</f>
        <v>——</v>
      </c>
      <c r="O51" s="3543"/>
      <c r="P51" s="3543"/>
    </row>
    <row r="52" spans="1:17" ht="25.5" customHeight="1">
      <c r="A52" s="2051"/>
      <c r="B52" s="3453" t="s">
        <v>1725</v>
      </c>
      <c r="C52" s="3453"/>
      <c r="D52" s="2542"/>
      <c r="E52" s="269"/>
      <c r="F52" s="2539"/>
      <c r="G52" s="3511"/>
      <c r="H52" s="2543" t="s">
        <v>2685</v>
      </c>
      <c r="I52" s="2541"/>
      <c r="J52" s="2825"/>
      <c r="K52" s="3542" t="s">
        <v>1726</v>
      </c>
      <c r="L52" s="3542"/>
      <c r="M52" s="3542"/>
      <c r="N52" s="3542"/>
      <c r="O52" s="3542"/>
      <c r="P52" s="3542"/>
    </row>
    <row r="53" spans="1:17" ht="20.45" customHeight="1">
      <c r="A53" s="2544"/>
      <c r="B53" s="3453" t="s">
        <v>1727</v>
      </c>
      <c r="C53" s="3453"/>
      <c r="D53" s="1070"/>
      <c r="E53" s="264"/>
      <c r="F53" s="2539"/>
      <c r="G53" s="3512"/>
      <c r="H53" s="2543" t="s">
        <v>2686</v>
      </c>
      <c r="I53" s="2541"/>
      <c r="J53" s="2825"/>
      <c r="K53" s="2484" t="s">
        <v>1728</v>
      </c>
      <c r="L53" s="3542" t="s">
        <v>1729</v>
      </c>
      <c r="M53" s="3542"/>
      <c r="N53" s="2484" t="s">
        <v>1730</v>
      </c>
      <c r="O53" s="2484" t="s">
        <v>1731</v>
      </c>
      <c r="P53" s="2484" t="s">
        <v>1732</v>
      </c>
    </row>
    <row r="54" spans="1:17" ht="24" customHeight="1">
      <c r="A54" s="2052" t="s">
        <v>1733</v>
      </c>
      <c r="B54" s="3453" t="s">
        <v>1734</v>
      </c>
      <c r="C54" s="3453"/>
      <c r="D54" s="1070">
        <f>ROUND(D47*'数据-取费表'!E29/(1+'数据-取费表'!F30),0)</f>
        <v>0</v>
      </c>
      <c r="E54" s="2062" t="s">
        <v>1735</v>
      </c>
      <c r="F54" s="2545">
        <f>'数据-取费表'!E29</f>
        <v>5.6000000000000001E-2</v>
      </c>
      <c r="G54" s="2546"/>
      <c r="H54" s="947"/>
      <c r="I54" s="2950"/>
      <c r="J54" s="2825"/>
      <c r="K54" s="2483">
        <v>1</v>
      </c>
      <c r="L54" s="3538" t="s">
        <v>1736</v>
      </c>
      <c r="M54" s="3538"/>
      <c r="N54" s="2485">
        <f>D50</f>
        <v>0</v>
      </c>
      <c r="O54" s="2483" t="str">
        <f>E50</f>
        <v>销售额×税（费）率</v>
      </c>
      <c r="P54" s="2486">
        <f>F50</f>
        <v>5.6000000000000001E-2</v>
      </c>
    </row>
    <row r="55" spans="1:17" ht="12" customHeight="1">
      <c r="A55" s="2052" t="s">
        <v>1737</v>
      </c>
      <c r="B55" s="3415" t="s">
        <v>2778</v>
      </c>
      <c r="C55" s="3454"/>
      <c r="D55" s="1070">
        <f>ROUND(D47*'数据-取费表'!E29/(1+'数据-取费表'!F30),0)</f>
        <v>0</v>
      </c>
      <c r="E55" s="2062" t="s">
        <v>1735</v>
      </c>
      <c r="F55" s="2545">
        <f>'数据-取费表'!E29</f>
        <v>5.6000000000000001E-2</v>
      </c>
      <c r="G55" s="2546"/>
      <c r="H55" s="947"/>
      <c r="I55" s="2950"/>
      <c r="J55" s="2825"/>
      <c r="K55" s="2483">
        <v>2</v>
      </c>
      <c r="L55" s="3538" t="s">
        <v>1738</v>
      </c>
      <c r="M55" s="3538"/>
      <c r="N55" s="2485">
        <f t="shared" ref="N55:P56" si="1">D57</f>
        <v>0</v>
      </c>
      <c r="O55" s="2483" t="str">
        <f t="shared" si="1"/>
        <v>销售额×税（费）率</v>
      </c>
      <c r="P55" s="2486">
        <f t="shared" si="1"/>
        <v>5.0000000000000001E-4</v>
      </c>
    </row>
    <row r="56" spans="1:17" ht="12" customHeight="1">
      <c r="A56" s="2052" t="s">
        <v>1739</v>
      </c>
      <c r="B56" s="3415" t="s">
        <v>2779</v>
      </c>
      <c r="C56" s="3454"/>
      <c r="D56" s="1070">
        <f>C70</f>
        <v>0</v>
      </c>
      <c r="E56" s="264" t="s">
        <v>1740</v>
      </c>
      <c r="F56" s="2545">
        <f>'数据-取费表'!E29</f>
        <v>5.6000000000000001E-2</v>
      </c>
      <c r="G56" s="2546"/>
      <c r="H56" s="2951"/>
      <c r="I56" s="2950"/>
      <c r="J56" s="2825"/>
      <c r="K56" s="2483">
        <v>3</v>
      </c>
      <c r="L56" s="3538" t="s">
        <v>1741</v>
      </c>
      <c r="M56" s="3538"/>
      <c r="N56" s="2485">
        <f t="shared" si="1"/>
        <v>0</v>
      </c>
      <c r="O56" s="2483" t="str">
        <f t="shared" si="1"/>
        <v>增值额×税（费）率</v>
      </c>
      <c r="P56" s="2487" t="str">
        <f t="shared" si="1"/>
        <v>——</v>
      </c>
    </row>
    <row r="57" spans="1:17" ht="24" customHeight="1">
      <c r="A57" s="3413" t="s">
        <v>1742</v>
      </c>
      <c r="B57" s="3414"/>
      <c r="C57" s="3414"/>
      <c r="D57" s="12">
        <f>IF(H57="个人住宅",0,ROUND(D47*I57,0))</f>
        <v>0</v>
      </c>
      <c r="E57" s="2062" t="s">
        <v>1743</v>
      </c>
      <c r="F57" s="2545">
        <f>IF(H57="正常",I57,"免征")</f>
        <v>5.0000000000000001E-4</v>
      </c>
      <c r="G57" s="2546"/>
      <c r="H57" s="2537" t="s">
        <v>1744</v>
      </c>
      <c r="I57" s="74">
        <f>'数据-取费表'!E37</f>
        <v>5.0000000000000001E-4</v>
      </c>
      <c r="J57" s="2825"/>
      <c r="K57" s="2483">
        <f>IF(H61="非个人房产","",4)</f>
        <v>4</v>
      </c>
      <c r="L57" s="3538" t="str">
        <f>IF(H61="非个人房产","——","个人所得税")</f>
        <v>个人所得税</v>
      </c>
      <c r="M57" s="3538"/>
      <c r="N57" s="2488">
        <f>D61</f>
        <v>0</v>
      </c>
      <c r="O57" s="2489" t="str">
        <f>E61</f>
        <v>销售额×税（费）率</v>
      </c>
      <c r="P57" s="2490">
        <f>F61</f>
        <v>0.01</v>
      </c>
    </row>
    <row r="58" spans="1:17" ht="24.75">
      <c r="A58" s="3413" t="s">
        <v>1745</v>
      </c>
      <c r="B58" s="3414"/>
      <c r="C58" s="3414"/>
      <c r="D58" s="12">
        <f>IF(H58="个人住宅",D59,D60)</f>
        <v>0</v>
      </c>
      <c r="E58" s="2062" t="s">
        <v>1746</v>
      </c>
      <c r="F58" s="2545" t="str">
        <f>IF(H58="正常",F60,"免征")</f>
        <v>——</v>
      </c>
      <c r="G58" s="2547" t="s">
        <v>1747</v>
      </c>
      <c r="H58" s="2548" t="s">
        <v>1744</v>
      </c>
      <c r="I58" s="2952"/>
      <c r="J58" s="2825"/>
      <c r="K58" s="2483" t="str">
        <f>IF(项目基本情况!I6="上海银行",IF(K57="",4,K57+1),"")</f>
        <v/>
      </c>
      <c r="L58" s="3540" t="str">
        <f>IF(项目基本情况!I6="上海银行","其他处置费用","")</f>
        <v/>
      </c>
      <c r="M58" s="3541"/>
      <c r="N58" s="2485" t="str">
        <f>IF(项目基本情况!I6="上海银行",N71,"")</f>
        <v/>
      </c>
      <c r="O58" s="3540" t="str">
        <f>IF(项目基本情况!I6="上海银行","包含处置中涉及的律师、诉讼、拍卖、评估等费用","")</f>
        <v/>
      </c>
      <c r="P58" s="3544"/>
    </row>
    <row r="59" spans="1:17" ht="12.75">
      <c r="A59" s="2052" t="s">
        <v>1722</v>
      </c>
      <c r="B59" s="3415" t="s">
        <v>1748</v>
      </c>
      <c r="C59" s="3454"/>
      <c r="D59" s="2538">
        <v>0</v>
      </c>
      <c r="E59" s="261" t="s">
        <v>1724</v>
      </c>
      <c r="F59" s="235"/>
      <c r="G59" s="2546"/>
      <c r="H59" s="2952"/>
      <c r="I59" s="2952"/>
      <c r="J59" s="2825"/>
      <c r="K59" s="3538">
        <f>IF(AND(K57="",K58=""),4,IF(项目基本情况!I6="上海银行",K58+1,K57+1))</f>
        <v>5</v>
      </c>
      <c r="L59" s="3538" t="s">
        <v>1749</v>
      </c>
      <c r="M59" s="2491" t="s">
        <v>1750</v>
      </c>
      <c r="N59" s="2492"/>
      <c r="O59" s="2493">
        <f>SUMIF(N54:N58,"&lt;9e307")</f>
        <v>0</v>
      </c>
      <c r="P59" s="2494"/>
      <c r="Q59" s="1276" t="e">
        <f>O59/N51</f>
        <v>#VALUE!</v>
      </c>
    </row>
    <row r="60" spans="1:17" ht="24.75">
      <c r="A60" s="2052" t="s">
        <v>1733</v>
      </c>
      <c r="B60" s="3415" t="s">
        <v>1751</v>
      </c>
      <c r="C60" s="3453"/>
      <c r="D60" s="12">
        <f>IF(H60="转让取得",C83,C99)</f>
        <v>0</v>
      </c>
      <c r="E60" s="2062" t="s">
        <v>1746</v>
      </c>
      <c r="F60" s="235" t="s">
        <v>48</v>
      </c>
      <c r="G60" s="2546"/>
      <c r="H60" s="2548" t="s">
        <v>1752</v>
      </c>
      <c r="I60" s="2952"/>
      <c r="J60" s="2825"/>
      <c r="K60" s="3538"/>
      <c r="L60" s="3538"/>
      <c r="M60" s="2491" t="s">
        <v>1753</v>
      </c>
      <c r="N60" s="2495"/>
      <c r="O60" s="2496" t="str">
        <f>IF(H19="元",NUMBERSTRING(INT(O59),2)&amp;"元整",NUMBERSTRING(INT(O59*10000),2)&amp;"元整")</f>
        <v>零元整</v>
      </c>
      <c r="P60" s="2497"/>
    </row>
    <row r="61" spans="1:17" ht="26.25" thickBot="1">
      <c r="A61" s="3437" t="s">
        <v>1754</v>
      </c>
      <c r="B61" s="3438"/>
      <c r="C61" s="3438"/>
      <c r="D61" s="69">
        <f>IF(H61="非个人房产","——",IF(H61="个人住宅（满五唯一有凭证）",0,IF(H61="个人其他（无凭证）",ROUND(D47*F61,0),ROUND(C69*F61,0))))</f>
        <v>0</v>
      </c>
      <c r="E61" s="2053" t="str">
        <f>IF(H61="非个人房产","——",IF(H61="个人其他（无凭证）","销售额×税（费）率",IF(H61="个人住宅（满五唯一有凭证）","免征","差额计税")))</f>
        <v>销售额×税（费）率</v>
      </c>
      <c r="F61" s="2755">
        <f>IF(OR(H61="非个人房产",H61="个人住宅（满五唯一有凭证）"),"——",IF(H61="个人其他（有凭证）",20%,1%))</f>
        <v>0.01</v>
      </c>
      <c r="G61" s="2795" t="s">
        <v>2757</v>
      </c>
      <c r="H61" s="2066" t="s">
        <v>2683</v>
      </c>
      <c r="I61" s="2853" t="s">
        <v>2769</v>
      </c>
      <c r="J61" s="2825"/>
      <c r="K61" s="3536">
        <f>K59+1</f>
        <v>6</v>
      </c>
      <c r="L61" s="3538" t="s">
        <v>1755</v>
      </c>
      <c r="M61" s="2483" t="s">
        <v>1750</v>
      </c>
      <c r="N61" s="2498"/>
      <c r="O61" s="2499" t="e">
        <f>N51-O59</f>
        <v>#VALUE!</v>
      </c>
      <c r="P61" s="2500"/>
    </row>
    <row r="62" spans="1:17" ht="12" customHeight="1">
      <c r="A62" s="1427"/>
      <c r="B62" s="2533"/>
      <c r="C62" s="2533"/>
      <c r="D62" s="2533"/>
      <c r="E62" s="1427"/>
      <c r="F62" s="2952"/>
      <c r="G62" s="2952"/>
      <c r="H62" s="2947"/>
      <c r="I62" s="947"/>
      <c r="J62" s="2825"/>
      <c r="K62" s="3537"/>
      <c r="L62" s="3538"/>
      <c r="M62" s="2491" t="s">
        <v>1753</v>
      </c>
      <c r="N62" s="2495"/>
      <c r="O62" s="2496" t="e">
        <f>IF(H19="元",NUMBERSTRING(INT(O61),2)&amp;"元整",NUMBERSTRING(INT(O61*10000),2)&amp;"元整")</f>
        <v>#VALUE!</v>
      </c>
      <c r="P62" s="2497"/>
    </row>
    <row r="63" spans="1:17" ht="13.5" thickBot="1">
      <c r="A63" s="3539" t="s">
        <v>1756</v>
      </c>
      <c r="B63" s="3539"/>
      <c r="C63" s="3539"/>
      <c r="D63" s="3539"/>
      <c r="E63" s="3539"/>
      <c r="F63" s="2952"/>
      <c r="G63" s="2952"/>
      <c r="H63" s="2947"/>
      <c r="I63" s="947"/>
      <c r="J63" s="2817"/>
      <c r="K63" s="2483">
        <f>K61+1</f>
        <v>7</v>
      </c>
      <c r="L63" s="3538" t="s">
        <v>1757</v>
      </c>
      <c r="M63" s="3538"/>
      <c r="N63" s="2501"/>
      <c r="O63" s="2502" t="e">
        <f>IF(H19="元",ROUND(O61/项目基本情况!C12,0),ROUND(O61*10000/项目基本情况!C12,0))</f>
        <v>#VALUE!</v>
      </c>
      <c r="P63" s="2503"/>
    </row>
    <row r="64" spans="1:17" ht="12.75">
      <c r="A64" s="3472" t="s">
        <v>1758</v>
      </c>
      <c r="B64" s="3473"/>
      <c r="C64" s="1577"/>
      <c r="D64" s="1577" t="s">
        <v>1759</v>
      </c>
      <c r="E64" s="45" t="s">
        <v>1760</v>
      </c>
      <c r="F64" s="2952"/>
      <c r="G64" s="2952"/>
      <c r="H64" s="2947"/>
      <c r="I64" s="947"/>
      <c r="J64" s="2817"/>
      <c r="K64" s="1278"/>
      <c r="L64" s="1278"/>
      <c r="M64" s="1278"/>
      <c r="N64" s="1278"/>
      <c r="O64" s="1278"/>
    </row>
    <row r="65" spans="1:36" ht="12.75">
      <c r="A65" s="46">
        <v>1</v>
      </c>
      <c r="B65" s="47" t="s">
        <v>1761</v>
      </c>
      <c r="C65" s="2756">
        <f>ROUND((C66+C67)/(1+'数据-取费表'!F30),0)</f>
        <v>0</v>
      </c>
      <c r="D65" s="47"/>
      <c r="E65" s="48"/>
      <c r="F65" s="2952"/>
      <c r="G65" s="2952"/>
      <c r="H65" s="2947"/>
      <c r="I65" s="947"/>
      <c r="J65" s="2817"/>
      <c r="K65" s="3546" t="s">
        <v>1762</v>
      </c>
      <c r="L65" s="1277" t="s">
        <v>1763</v>
      </c>
      <c r="M65" s="1277" t="e">
        <f>IF(N51&gt;10000,N51*0.5%,IF(AND(N51&gt;1000,N51&lt;=10000),N51*1%,IF(AND(N51&gt;100,N51&lt;=1000),N51*3%,IF(AND(N51&gt;10,N51&lt;=100),N51*5%,N51*8%))))</f>
        <v>#VALUE!</v>
      </c>
      <c r="N65" s="235" t="e">
        <f>ROUND(M65,1)</f>
        <v>#VALUE!</v>
      </c>
      <c r="O65" s="2504"/>
    </row>
    <row r="66" spans="1:36" ht="12.75">
      <c r="A66" s="49" t="s">
        <v>71</v>
      </c>
      <c r="B66" s="50" t="s">
        <v>1764</v>
      </c>
      <c r="C66" s="2757">
        <f>D47</f>
        <v>0</v>
      </c>
      <c r="D66" s="50" t="s">
        <v>41</v>
      </c>
      <c r="E66" s="52"/>
      <c r="F66" s="2952"/>
      <c r="G66" s="2952"/>
      <c r="H66" s="2947"/>
      <c r="I66" s="947"/>
      <c r="J66" s="2817"/>
      <c r="K66" s="3546"/>
      <c r="L66" s="1277" t="s">
        <v>1765</v>
      </c>
      <c r="M66" s="127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04" t="s">
        <v>1766</v>
      </c>
    </row>
    <row r="67" spans="1:36" ht="12.75">
      <c r="A67" s="49" t="s">
        <v>72</v>
      </c>
      <c r="B67" s="50" t="s">
        <v>1767</v>
      </c>
      <c r="C67" s="2758"/>
      <c r="D67" s="50"/>
      <c r="E67" s="52"/>
      <c r="F67" s="2952"/>
      <c r="G67" s="2952"/>
      <c r="H67" s="2947"/>
      <c r="I67" s="947"/>
      <c r="J67" s="2817"/>
      <c r="K67" s="3546"/>
      <c r="L67" s="1277" t="s">
        <v>1768</v>
      </c>
      <c r="M67" s="1277" t="e">
        <f>IF(N51&gt;1000,N51*0.1%,IF(AND(N51&gt;500,N51&lt;=1000),N51*0.5%,IF(AND(N51&gt;50,N51&lt;=500),N51*1%,IF(AND(N51&gt;1,N51&lt;=50),N51*1.5%))))</f>
        <v>#VALUE!</v>
      </c>
      <c r="N67" s="235" t="e">
        <f t="shared" si="2"/>
        <v>#VALUE!</v>
      </c>
      <c r="O67" s="2504" t="s">
        <v>1766</v>
      </c>
    </row>
    <row r="68" spans="1:36" ht="12.75">
      <c r="A68" s="53" t="s">
        <v>47</v>
      </c>
      <c r="B68" s="54" t="s">
        <v>1769</v>
      </c>
      <c r="C68" s="2759"/>
      <c r="D68" s="54" t="s">
        <v>41</v>
      </c>
      <c r="E68" s="1286" t="s">
        <v>1770</v>
      </c>
      <c r="F68" s="2952"/>
      <c r="G68" s="2952"/>
      <c r="H68" s="2947"/>
      <c r="I68" s="947"/>
      <c r="J68" s="2817"/>
      <c r="K68" s="3546"/>
      <c r="L68" s="1277" t="s">
        <v>1771</v>
      </c>
      <c r="M68" s="1277" t="e">
        <f>N51*0.5%</f>
        <v>#VALUE!</v>
      </c>
      <c r="N68" s="235" t="e">
        <f>IF(M68&gt;0.5,0.5,ROUND(M68,0))</f>
        <v>#VALUE!</v>
      </c>
      <c r="O68" s="2504" t="s">
        <v>1772</v>
      </c>
    </row>
    <row r="69" spans="1:36" ht="12.75">
      <c r="A69" s="53" t="s">
        <v>42</v>
      </c>
      <c r="B69" s="54" t="s">
        <v>1773</v>
      </c>
      <c r="C69" s="2760">
        <f>C65-C68</f>
        <v>0</v>
      </c>
      <c r="D69" s="50" t="s">
        <v>41</v>
      </c>
      <c r="E69" s="52"/>
      <c r="F69" s="2952"/>
      <c r="G69" s="2952"/>
      <c r="H69" s="2947"/>
      <c r="I69" s="947"/>
      <c r="J69" s="2817"/>
      <c r="K69" s="3546"/>
      <c r="L69" s="1277" t="s">
        <v>1774</v>
      </c>
      <c r="M69" s="127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04"/>
    </row>
    <row r="70" spans="1:36" ht="13.5" thickBot="1">
      <c r="A70" s="55" t="s">
        <v>46</v>
      </c>
      <c r="B70" s="56" t="s">
        <v>1775</v>
      </c>
      <c r="C70" s="2761">
        <f>IF(C69&lt;=0,0,ROUND(C69*D70,0))</f>
        <v>0</v>
      </c>
      <c r="D70" s="2212">
        <f>'数据-取费表'!E29</f>
        <v>5.6000000000000001E-2</v>
      </c>
      <c r="E70" s="57"/>
      <c r="F70" s="2952"/>
      <c r="G70" s="2952"/>
      <c r="H70" s="2947"/>
      <c r="I70" s="947"/>
      <c r="J70" s="2817"/>
      <c r="K70" s="3546"/>
      <c r="L70" s="1277" t="s">
        <v>1776</v>
      </c>
      <c r="M70" s="1277" t="e">
        <f>IF(N51&gt;10000,N51*0.5%,IF(AND(N51&gt;5000,N51&lt;=10000),N51*1%,IF(AND(N51&gt;1000,N51&lt;=5000),N51*2%,IF(AND(N51&gt;200,N51&lt;=1000),N51*3%,N51*5%))))</f>
        <v>#VALUE!</v>
      </c>
      <c r="N70" s="235" t="e">
        <f>ROUND(M70,1)</f>
        <v>#VALUE!</v>
      </c>
      <c r="O70" s="2504"/>
    </row>
    <row r="71" spans="1:36" s="1435" customFormat="1" ht="7.5" customHeight="1">
      <c r="A71" s="1447"/>
      <c r="B71" s="1448"/>
      <c r="C71" s="2762"/>
      <c r="D71" s="2255"/>
      <c r="E71" s="1451"/>
      <c r="F71" s="1427"/>
      <c r="G71" s="1427"/>
      <c r="H71" s="1451"/>
      <c r="I71" s="2533"/>
      <c r="J71" s="2817"/>
      <c r="K71" s="3546"/>
      <c r="L71" s="1277" t="s">
        <v>1777</v>
      </c>
      <c r="M71" s="1277"/>
      <c r="N71" s="235" t="e">
        <f>ROUND(SUM(N65:N70),0)</f>
        <v>#VALUE!</v>
      </c>
      <c r="O71" s="2505" t="e">
        <f>N71/N51</f>
        <v>#VALUE!</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33" t="s">
        <v>1778</v>
      </c>
      <c r="B72" s="3534"/>
      <c r="C72" s="3534"/>
      <c r="D72" s="3534"/>
      <c r="E72" s="3534"/>
      <c r="F72" s="3534"/>
      <c r="G72" s="3534"/>
      <c r="H72" s="3534"/>
      <c r="I72" s="1452"/>
      <c r="J72" s="2826"/>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72" t="s">
        <v>1758</v>
      </c>
      <c r="B73" s="3473"/>
      <c r="C73" s="1577"/>
      <c r="D73" s="1577" t="s">
        <v>1759</v>
      </c>
      <c r="E73" s="58" t="s">
        <v>1760</v>
      </c>
      <c r="F73" s="59"/>
      <c r="G73" s="59"/>
      <c r="H73" s="60"/>
      <c r="I73" s="2763"/>
      <c r="J73" s="2848"/>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1779</v>
      </c>
      <c r="C74" s="2760">
        <f>ROUND(D47/(1+'数据-取费表'!F30),0)</f>
        <v>0</v>
      </c>
      <c r="D74" s="50" t="s">
        <v>41</v>
      </c>
      <c r="E74" s="2058"/>
      <c r="F74" s="2059"/>
      <c r="G74" s="2059"/>
      <c r="H74" s="62"/>
      <c r="I74" s="2763"/>
      <c r="J74" s="2848"/>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1781</v>
      </c>
      <c r="C75" s="2760">
        <f>C76+C80</f>
        <v>0</v>
      </c>
      <c r="D75" s="50" t="s">
        <v>41</v>
      </c>
      <c r="E75" s="2058"/>
      <c r="F75" s="2059"/>
      <c r="G75" s="2059"/>
      <c r="H75" s="62"/>
      <c r="I75" s="2763"/>
      <c r="J75" s="2848"/>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1782</v>
      </c>
      <c r="C76" s="50">
        <f>ROUND(IF(G79="2016年5月1日后购买",C77/(1+'数据-取费表'!F30)+C78+C79,C77+C78+C79),0)</f>
        <v>0</v>
      </c>
      <c r="D76" s="50" t="s">
        <v>41</v>
      </c>
      <c r="E76" s="2058"/>
      <c r="F76" s="2059"/>
      <c r="G76" s="2059"/>
      <c r="H76" s="62"/>
      <c r="I76" s="2763"/>
      <c r="J76" s="2848"/>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1783</v>
      </c>
      <c r="C77" s="2238"/>
      <c r="D77" s="50" t="s">
        <v>41</v>
      </c>
      <c r="E77" s="64" t="s">
        <v>1784</v>
      </c>
      <c r="F77" s="2764" t="s">
        <v>1785</v>
      </c>
      <c r="G77" s="64" t="s">
        <v>1786</v>
      </c>
      <c r="H77" s="2765"/>
      <c r="I77" s="608"/>
      <c r="J77" s="2849"/>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1787</v>
      </c>
      <c r="C78" s="50">
        <f>IF(F77="购房发票",ROUND(C77*H77*D78,0),0)</f>
        <v>0</v>
      </c>
      <c r="D78" s="2766">
        <v>0.05</v>
      </c>
      <c r="E78" s="3415" t="s">
        <v>1788</v>
      </c>
      <c r="F78" s="3453"/>
      <c r="G78" s="3453"/>
      <c r="H78" s="3467"/>
      <c r="I78" s="2763"/>
      <c r="J78" s="2848"/>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1789</v>
      </c>
      <c r="C79" s="50">
        <f>ROUND(IF(G79="个人住宅",0,IF(G79="2016年5月1日前购买",C77*D79,C77*D79/(1+'数据-取费表'!F30))),0)</f>
        <v>0</v>
      </c>
      <c r="D79" s="2767">
        <f>'数据-取费表'!E36+'数据-取费表'!E37</f>
        <v>3.0499999999999999E-2</v>
      </c>
      <c r="E79" s="12" t="s">
        <v>1790</v>
      </c>
      <c r="F79" s="2065"/>
      <c r="G79" s="1456" t="s">
        <v>1791</v>
      </c>
      <c r="H79" s="2060" t="str">
        <f>IF(G79="个人买卖住房","免征印花税"," ")</f>
        <v xml:space="preserve"> </v>
      </c>
      <c r="I79" s="2763"/>
      <c r="J79" s="2848"/>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1792</v>
      </c>
      <c r="C80" s="2768">
        <f>ROUND(D47*D80/(1+'数据-取费表'!F30),0)</f>
        <v>0</v>
      </c>
      <c r="D80" s="2769">
        <f>'数据-取费表'!E31</f>
        <v>6.000000000000001E-3</v>
      </c>
      <c r="E80" s="3447" t="s">
        <v>1793</v>
      </c>
      <c r="F80" s="3448"/>
      <c r="G80" s="3448"/>
      <c r="H80" s="3449"/>
      <c r="I80" s="609"/>
      <c r="J80" s="2850"/>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1794</v>
      </c>
      <c r="C81" s="2760">
        <f>C74-C75</f>
        <v>0</v>
      </c>
      <c r="D81" s="50" t="s">
        <v>41</v>
      </c>
      <c r="E81" s="2058"/>
      <c r="F81" s="2059"/>
      <c r="G81" s="2059"/>
      <c r="H81" s="62"/>
      <c r="I81" s="2763"/>
      <c r="J81" s="2848"/>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1795</v>
      </c>
      <c r="C82" s="277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9"/>
      <c r="G82" s="2059"/>
      <c r="H82" s="62"/>
      <c r="I82" s="2763"/>
      <c r="J82" s="2848"/>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1796</v>
      </c>
      <c r="C83" s="2771">
        <f>ROUND(IF(C81&lt;=0,0,IF(C82&gt;=200%,C81*60%-C75*35%,IF(C82&gt;=100%,C81*50%-C75*15%,IF(C82&gt;=50%,C81*40%-C75*5%,IF(C82&lt;50%,C81*30%,0))))),0)</f>
        <v>0</v>
      </c>
      <c r="D83" s="214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3"/>
      <c r="J83" s="284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50"/>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33" t="s">
        <v>1797</v>
      </c>
      <c r="B85" s="3534"/>
      <c r="C85" s="3534"/>
      <c r="D85" s="3534"/>
      <c r="E85" s="3534"/>
      <c r="F85" s="3534"/>
      <c r="G85" s="3534"/>
      <c r="H85" s="3534"/>
      <c r="I85" s="608"/>
      <c r="J85" s="2849"/>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72" t="s">
        <v>1758</v>
      </c>
      <c r="B86" s="3473"/>
      <c r="C86" s="1577"/>
      <c r="D86" s="1577" t="s">
        <v>1759</v>
      </c>
      <c r="E86" s="58" t="s">
        <v>1760</v>
      </c>
      <c r="F86" s="59"/>
      <c r="G86" s="59"/>
      <c r="H86" s="72"/>
      <c r="I86" s="608"/>
      <c r="J86" s="2849"/>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1779</v>
      </c>
      <c r="C87" s="2760">
        <f>ROUND(D47/(1+'数据-取费表'!F30),0)</f>
        <v>0</v>
      </c>
      <c r="D87" s="50" t="s">
        <v>41</v>
      </c>
      <c r="E87" s="2058"/>
      <c r="F87" s="2059"/>
      <c r="G87" s="2059"/>
      <c r="H87" s="73"/>
      <c r="I87" s="608"/>
      <c r="J87" s="2849"/>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1781</v>
      </c>
      <c r="C88" s="2760">
        <f>IF(H90="仅含出让金",C89+C92+C93+C94+C95+C96,C89+C93+C94+C95+C96)</f>
        <v>0</v>
      </c>
      <c r="D88" s="2772"/>
      <c r="E88" s="2058"/>
      <c r="F88" s="2059"/>
      <c r="G88" s="2059"/>
      <c r="H88" s="73"/>
      <c r="I88" s="608"/>
      <c r="J88" s="2849"/>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1798</v>
      </c>
      <c r="C89" s="2768">
        <f>C90+C91</f>
        <v>0</v>
      </c>
      <c r="D89" s="2769"/>
      <c r="E89" s="2055"/>
      <c r="F89" s="2056"/>
      <c r="G89" s="2056"/>
      <c r="H89" s="2057"/>
      <c r="I89" s="608"/>
      <c r="J89" s="2849"/>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1799</v>
      </c>
      <c r="C90" s="2773"/>
      <c r="D90" s="2769"/>
      <c r="E90" s="74" t="s">
        <v>1800</v>
      </c>
      <c r="F90" s="2056"/>
      <c r="G90" s="75" t="s">
        <v>1801</v>
      </c>
      <c r="H90" s="1458"/>
      <c r="I90" s="608"/>
      <c r="J90" s="2849"/>
      <c r="K90" s="2944" t="s">
        <v>2761</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1789</v>
      </c>
      <c r="C91" s="2768">
        <f>ROUND(C90*D91,0)</f>
        <v>0</v>
      </c>
      <c r="D91" s="2769">
        <f>'数据-取费表'!E36+'数据-取费表'!E37</f>
        <v>3.0499999999999999E-2</v>
      </c>
      <c r="E91" s="74" t="s">
        <v>1802</v>
      </c>
      <c r="F91" s="2056"/>
      <c r="G91" s="2056"/>
      <c r="H91" s="2057"/>
      <c r="I91" s="608"/>
      <c r="J91" s="2849"/>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1803</v>
      </c>
      <c r="C92" s="2773"/>
      <c r="D92" s="2769"/>
      <c r="E92" s="74" t="str">
        <f>IF(H90="-","土地取得成本中已包含该笔费用"," ")</f>
        <v xml:space="preserve"> </v>
      </c>
      <c r="F92" s="2056"/>
      <c r="G92" s="3508" t="s">
        <v>2678</v>
      </c>
      <c r="H92" s="3535"/>
      <c r="I92" s="608"/>
      <c r="J92" s="2849"/>
      <c r="K92" s="2944" t="s">
        <v>2762</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1804</v>
      </c>
      <c r="C93" s="2768">
        <f>IF(H93="——",成本法!C33,I93)</f>
        <v>0</v>
      </c>
      <c r="D93" s="2769"/>
      <c r="E93" s="3447" t="s">
        <v>1805</v>
      </c>
      <c r="F93" s="3448"/>
      <c r="G93" s="3448"/>
      <c r="H93" s="1459" t="s">
        <v>1806</v>
      </c>
      <c r="I93" s="2774"/>
      <c r="J93" s="2851"/>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1807</v>
      </c>
      <c r="C94" s="2768">
        <f>ROUND((C89+C92+C93)*D94,0)</f>
        <v>0</v>
      </c>
      <c r="D94" s="2769">
        <v>0.1</v>
      </c>
      <c r="E94" s="3447" t="s">
        <v>1808</v>
      </c>
      <c r="F94" s="3448"/>
      <c r="G94" s="3448"/>
      <c r="H94" s="3449"/>
      <c r="I94" s="608"/>
      <c r="J94" s="2849"/>
      <c r="K94" s="2945" t="s">
        <v>2763</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1792</v>
      </c>
      <c r="C95" s="2768">
        <f>ROUND(D47*D95/(1+'数据-取费表'!F30),0)</f>
        <v>0</v>
      </c>
      <c r="D95" s="2769">
        <f>'数据-取费表'!E31</f>
        <v>6.000000000000001E-3</v>
      </c>
      <c r="E95" s="3447" t="s">
        <v>1793</v>
      </c>
      <c r="F95" s="3448"/>
      <c r="G95" s="3448"/>
      <c r="H95" s="3449"/>
      <c r="I95" s="608"/>
      <c r="J95" s="2849"/>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1809</v>
      </c>
      <c r="C96" s="2768">
        <f>ROUND((C89+C92+C93)*D96,0)</f>
        <v>0</v>
      </c>
      <c r="D96" s="2769">
        <v>0.2</v>
      </c>
      <c r="E96" s="3447" t="s">
        <v>1810</v>
      </c>
      <c r="F96" s="3448"/>
      <c r="G96" s="3448"/>
      <c r="H96" s="3449"/>
      <c r="I96" s="608"/>
      <c r="J96" s="2849"/>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1794</v>
      </c>
      <c r="C97" s="2760">
        <f>ROUND(C87-C88,0)</f>
        <v>0</v>
      </c>
      <c r="D97" s="50" t="s">
        <v>41</v>
      </c>
      <c r="E97" s="2058"/>
      <c r="F97" s="2059"/>
      <c r="G97" s="2059"/>
      <c r="H97" s="73"/>
      <c r="I97" s="608"/>
      <c r="J97" s="2849"/>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1795</v>
      </c>
      <c r="C98" s="277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9"/>
      <c r="G98" s="2059"/>
      <c r="H98" s="73"/>
      <c r="I98" s="608"/>
      <c r="J98" s="2849"/>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1796</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8"/>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1811</v>
      </c>
      <c r="B100" s="1431"/>
      <c r="C100" s="1431"/>
      <c r="D100" s="1431"/>
      <c r="E100" s="812"/>
      <c r="F100" s="812"/>
      <c r="G100" s="812"/>
      <c r="H100" s="1440"/>
      <c r="I100" s="1431"/>
    </row>
    <row r="101" spans="1:36" ht="15">
      <c r="A101" s="3494" t="s">
        <v>1812</v>
      </c>
      <c r="B101" s="3495"/>
      <c r="C101" s="3495"/>
      <c r="D101" s="3496"/>
      <c r="E101" s="1431"/>
      <c r="F101" s="3530" t="s">
        <v>2720</v>
      </c>
      <c r="G101" s="3531"/>
      <c r="H101" s="3531"/>
      <c r="I101" s="3532"/>
      <c r="J101" s="2852"/>
    </row>
    <row r="102" spans="1:36" ht="15">
      <c r="A102" s="3506" t="s">
        <v>1814</v>
      </c>
      <c r="B102" s="3507"/>
      <c r="C102" s="2775">
        <f>C4</f>
        <v>0</v>
      </c>
      <c r="D102" s="2776">
        <f>D4</f>
        <v>0</v>
      </c>
      <c r="E102" s="1431"/>
      <c r="F102" s="3418" t="s">
        <v>2721</v>
      </c>
      <c r="G102" s="3419"/>
      <c r="H102" s="3424" t="s">
        <v>2722</v>
      </c>
      <c r="I102" s="3417"/>
      <c r="J102" s="2832"/>
    </row>
    <row r="103" spans="1:36" ht="12.75">
      <c r="A103" s="3527" t="s">
        <v>2716</v>
      </c>
      <c r="B103" s="2277" t="str">
        <f>IF(H19="元","总价（元）","总价（万元）")</f>
        <v>总价（万元）</v>
      </c>
      <c r="C103" s="1277" t="e">
        <f ca="1">C19</f>
        <v>#REF!</v>
      </c>
      <c r="D103" s="2779" t="e">
        <f ca="1">D19</f>
        <v>#REF!</v>
      </c>
      <c r="E103" s="1431"/>
      <c r="F103" s="3528"/>
      <c r="G103" s="3529"/>
      <c r="H103" s="3416">
        <f>典型户型修正!B25</f>
        <v>0</v>
      </c>
      <c r="I103" s="3417"/>
      <c r="J103" s="2832"/>
    </row>
    <row r="104" spans="1:36" ht="12.75">
      <c r="A104" s="3527"/>
      <c r="B104" s="2277" t="s">
        <v>2717</v>
      </c>
      <c r="C104" s="2780" t="e">
        <f ca="1">C20</f>
        <v>#REF!</v>
      </c>
      <c r="D104" s="2781" t="e">
        <f ca="1">D20</f>
        <v>#REF!</v>
      </c>
      <c r="E104" s="1431"/>
      <c r="F104" s="3428" t="s">
        <v>2723</v>
      </c>
      <c r="G104" s="3429"/>
      <c r="H104" s="2789" t="str">
        <f>C110</f>
        <v>总价（万元）</v>
      </c>
      <c r="I104" s="2790">
        <f>H125</f>
        <v>0</v>
      </c>
      <c r="J104" s="2832"/>
    </row>
    <row r="105" spans="1:36" ht="12.75">
      <c r="A105" s="3527" t="s">
        <v>2718</v>
      </c>
      <c r="B105" s="2215" t="str">
        <f>B103</f>
        <v>总价（万元）</v>
      </c>
      <c r="C105" s="12" t="e">
        <f ca="1">ROUND(IF('数据-取费表'!B4="总价",G19,IF(H19="元",G20*'数据-取费表'!E5,G20*'数据-取费表'!E5/10000)),0)</f>
        <v>#REF!</v>
      </c>
      <c r="D105" s="2782"/>
      <c r="E105" s="1431"/>
      <c r="F105" s="3428"/>
      <c r="G105" s="3429"/>
      <c r="H105" s="2789" t="s">
        <v>2724</v>
      </c>
      <c r="I105" s="52" t="e">
        <f>I125</f>
        <v>#DIV/0!</v>
      </c>
      <c r="J105" s="2816"/>
    </row>
    <row r="106" spans="1:36" ht="12.75">
      <c r="A106" s="3527"/>
      <c r="B106" s="2277" t="s">
        <v>2717</v>
      </c>
      <c r="C106" s="1451" t="e">
        <f ca="1">ROUND(IF('数据-取费表'!B4="楼面单价",G20,IF(H19="元",G19/'数据-取费表'!E5,G19*10000/'数据-取费表'!E5)),0)</f>
        <v>#REF!</v>
      </c>
      <c r="D106" s="2782"/>
      <c r="E106" s="1431"/>
      <c r="F106" s="3428"/>
      <c r="G106" s="3429"/>
      <c r="H106" s="3488"/>
      <c r="I106" s="3489"/>
      <c r="J106" s="2833"/>
    </row>
    <row r="107" spans="1:36" ht="12.75">
      <c r="A107" s="3521" t="s">
        <v>2719</v>
      </c>
      <c r="B107" s="2783" t="str">
        <f>B103</f>
        <v>总价（万元）</v>
      </c>
      <c r="C107" s="2784">
        <f>H125</f>
        <v>0</v>
      </c>
      <c r="D107" s="2785"/>
      <c r="E107" s="1431"/>
      <c r="F107" s="3492" t="s">
        <v>2725</v>
      </c>
      <c r="G107" s="3493"/>
      <c r="H107" s="2791" t="str">
        <f>C112</f>
        <v>总额（万元）</v>
      </c>
      <c r="I107" s="2790">
        <f>SUMIF(I108:I110,"&lt;9E307")</f>
        <v>0</v>
      </c>
      <c r="J107" s="2832"/>
    </row>
    <row r="108" spans="1:36" ht="15" thickBot="1">
      <c r="A108" s="3487"/>
      <c r="B108" s="2786" t="s">
        <v>2717</v>
      </c>
      <c r="C108" s="2787" t="e">
        <f>I125</f>
        <v>#DIV/0!</v>
      </c>
      <c r="D108" s="2788"/>
      <c r="E108" s="1431"/>
      <c r="F108" s="3430" t="s">
        <v>2726</v>
      </c>
      <c r="G108" s="3431"/>
      <c r="H108" s="2791" t="str">
        <f>C113</f>
        <v>总额（万元）</v>
      </c>
      <c r="I108" s="2792">
        <f>IF(D38="同一抵押权人同一抵押物续贷",C38&amp;"（续贷，未扣减，详见特别提示）",C38)</f>
        <v>0</v>
      </c>
      <c r="J108" s="2816"/>
      <c r="L108" s="1434" t="str">
        <f>IF(D125=0,"本次评估不存在"&amp;A125&amp;"。","本次评估"&amp;A125&amp;"为"&amp;D125&amp;"元人民币。")</f>
        <v>本次评估不存在北京市房地产。</v>
      </c>
      <c r="M108" s="1431"/>
      <c r="N108" s="1431"/>
      <c r="O108" s="1431"/>
      <c r="P108" s="1431"/>
      <c r="Q108" s="1431"/>
    </row>
    <row r="109" spans="1:36" ht="15">
      <c r="A109" s="3524" t="s">
        <v>1815</v>
      </c>
      <c r="B109" s="3525"/>
      <c r="C109" s="3525"/>
      <c r="D109" s="3526"/>
      <c r="E109" s="1431"/>
      <c r="F109" s="3430" t="s">
        <v>2727</v>
      </c>
      <c r="G109" s="3431"/>
      <c r="H109" s="2791" t="str">
        <f>C114</f>
        <v>总额（万元）</v>
      </c>
      <c r="I109" s="52">
        <f>C39</f>
        <v>0</v>
      </c>
      <c r="J109" s="2816"/>
    </row>
    <row r="110" spans="1:36" ht="12.75">
      <c r="A110" s="3428" t="s">
        <v>2730</v>
      </c>
      <c r="B110" s="3429"/>
      <c r="C110" s="2789" t="str">
        <f>B103</f>
        <v>总价（万元）</v>
      </c>
      <c r="D110" s="2790">
        <f>H125</f>
        <v>0</v>
      </c>
      <c r="E110" s="1431"/>
      <c r="F110" s="3430" t="s">
        <v>2728</v>
      </c>
      <c r="G110" s="3431"/>
      <c r="H110" s="2791" t="str">
        <f>C115</f>
        <v>总额（万元）</v>
      </c>
      <c r="I110" s="52">
        <f>C40</f>
        <v>0</v>
      </c>
      <c r="J110" s="2816"/>
    </row>
    <row r="111" spans="1:36" ht="12.75">
      <c r="A111" s="3428"/>
      <c r="B111" s="3429"/>
      <c r="C111" s="2789" t="s">
        <v>2731</v>
      </c>
      <c r="D111" s="52" t="e">
        <f>I125</f>
        <v>#DIV/0!</v>
      </c>
      <c r="E111" s="1431"/>
      <c r="F111" s="3428"/>
      <c r="G111" s="3429"/>
      <c r="H111" s="3490"/>
      <c r="I111" s="3491"/>
      <c r="J111" s="2834"/>
    </row>
    <row r="112" spans="1:36" ht="28.5" customHeight="1">
      <c r="A112" s="3435" t="s">
        <v>2725</v>
      </c>
      <c r="B112" s="3436"/>
      <c r="C112" s="2791" t="str">
        <f>IF(H19="元","总额（元）","总额（万元）")</f>
        <v>总额（万元）</v>
      </c>
      <c r="D112" s="2790">
        <f>IF(D38="正常操作",I108+I109+I110,I109+I110)</f>
        <v>0</v>
      </c>
      <c r="E112" s="1431"/>
      <c r="F112" s="3420" t="str">
        <f>IF(项目基本情况!F5="已注销","——","3.房地产抵押价值")</f>
        <v>3.房地产抵押价值</v>
      </c>
      <c r="G112" s="3421"/>
      <c r="H112" s="1451" t="str">
        <f>C116</f>
        <v>总价（万元）</v>
      </c>
      <c r="I112" s="2790">
        <f>IF(F112="——","——",I104-I107)</f>
        <v>0</v>
      </c>
      <c r="J112" s="2832"/>
    </row>
    <row r="113" spans="1:27" ht="12.75">
      <c r="A113" s="3430" t="s">
        <v>2732</v>
      </c>
      <c r="B113" s="3431"/>
      <c r="C113" s="2791" t="str">
        <f>C112</f>
        <v>总额（万元）</v>
      </c>
      <c r="D113" s="52">
        <f>IF(D38="同一抵押权人同一抵押物续贷",C38&amp;"（未扣减，详见特别提示）",C38)</f>
        <v>0</v>
      </c>
      <c r="E113" s="1431"/>
      <c r="F113" s="3519"/>
      <c r="G113" s="3520"/>
      <c r="H113" s="2789" t="s">
        <v>2724</v>
      </c>
      <c r="I113" s="2793" t="e">
        <f>D117</f>
        <v>#DIV/0!</v>
      </c>
      <c r="J113" s="2835"/>
    </row>
    <row r="114" spans="1:27" ht="12.75">
      <c r="A114" s="3430" t="s">
        <v>2733</v>
      </c>
      <c r="B114" s="3431"/>
      <c r="C114" s="2791" t="str">
        <f>C112</f>
        <v>总额（万元）</v>
      </c>
      <c r="D114" s="52">
        <f>C39</f>
        <v>0</v>
      </c>
      <c r="E114" s="1431"/>
      <c r="F114" s="3420" t="str">
        <f>IF(项目基本情况!F5="已注销及未注销","4.抵押担保权已注销时的房地产抵押价值",IF(项目基本情况!F5="已注销","3.抵押担保权已注销时的房地产抵押价值","——"))</f>
        <v>——</v>
      </c>
      <c r="G114" s="3421"/>
      <c r="H114" s="1451" t="str">
        <f>C118</f>
        <v>总价（万元）</v>
      </c>
      <c r="I114" s="2790" t="str">
        <f>IF(F114="——","——",I104-I109-I110)</f>
        <v>——</v>
      </c>
      <c r="J114" s="2832"/>
    </row>
    <row r="115" spans="1:27" ht="12.75">
      <c r="A115" s="3430" t="s">
        <v>2734</v>
      </c>
      <c r="B115" s="3431"/>
      <c r="C115" s="2791" t="str">
        <f>C112</f>
        <v>总额（万元）</v>
      </c>
      <c r="D115" s="52">
        <f>C40</f>
        <v>0</v>
      </c>
      <c r="E115" s="1431"/>
      <c r="F115" s="3519"/>
      <c r="G115" s="3520"/>
      <c r="H115" s="2789" t="s">
        <v>2724</v>
      </c>
      <c r="I115" s="52" t="str">
        <f>D119</f>
        <v>——</v>
      </c>
      <c r="J115" s="2816"/>
    </row>
    <row r="116" spans="1:27" ht="12.75">
      <c r="A116" s="3428" t="str">
        <f>IF(项目基本情况!F5="已注销","——","3.房地产抵押价值")</f>
        <v>3.房地产抵押价值</v>
      </c>
      <c r="B116" s="3429"/>
      <c r="C116" s="2789" t="str">
        <f>B103</f>
        <v>总价（万元）</v>
      </c>
      <c r="D116" s="2790">
        <f>IF(A116="——","——",D110-D112)</f>
        <v>0</v>
      </c>
      <c r="E116" s="1431"/>
      <c r="F116" s="3420" t="str">
        <f>IF(项目基本情况!G5="抵押净值",IF(OR(项目基本情况!F5="已注销",项目基本情况!F5="房地产抵押价值"),"4.抵押净值","5.抵押净值"),"——")</f>
        <v>——</v>
      </c>
      <c r="G116" s="3421"/>
      <c r="H116" s="2789" t="str">
        <f>C120</f>
        <v>总价（万元）</v>
      </c>
      <c r="I116" s="2790" t="str">
        <f>IF(F116="——","——",O61)</f>
        <v>——</v>
      </c>
      <c r="J116" s="2832"/>
    </row>
    <row r="117" spans="1:27" ht="13.5" thickBot="1">
      <c r="A117" s="3428"/>
      <c r="B117" s="3429"/>
      <c r="C117" s="2789" t="s">
        <v>2731</v>
      </c>
      <c r="D117" s="52" t="e">
        <f>ROUND(IF(D116=D110,D111,IF(H19="元",D116/B125,D116*10000/B125)),0)</f>
        <v>#DIV/0!</v>
      </c>
      <c r="E117" s="1431"/>
      <c r="F117" s="3422"/>
      <c r="G117" s="3423"/>
      <c r="H117" s="2794" t="s">
        <v>2724</v>
      </c>
      <c r="I117" s="2778" t="str">
        <f>D121</f>
        <v>——</v>
      </c>
      <c r="J117" s="2816"/>
    </row>
    <row r="118" spans="1:27" ht="15.75">
      <c r="A118" s="3428" t="str">
        <f>IF(项目基本情况!F5="已注销及未注销","4.抵押担保权已注销时的房地产抵押价值",IF(项目基本情况!F5="已注销","3.抵押担保权已注销时的房地产抵押价值","——"))</f>
        <v>——</v>
      </c>
      <c r="B118" s="3429"/>
      <c r="C118" s="2789" t="str">
        <f>B103</f>
        <v>总价（万元）</v>
      </c>
      <c r="D118" s="2790" t="str">
        <f>IF(A118="——","——",D110-D114-D115)</f>
        <v>——</v>
      </c>
      <c r="E118" s="1431"/>
      <c r="F118" s="3514"/>
      <c r="G118" s="3514"/>
      <c r="H118" s="3478"/>
      <c r="I118" s="3478"/>
      <c r="J118" s="2836"/>
      <c r="O118" s="32"/>
      <c r="P118" s="32"/>
    </row>
    <row r="119" spans="1:27" s="1278" customFormat="1" ht="12.75">
      <c r="A119" s="3428"/>
      <c r="B119" s="3429"/>
      <c r="C119" s="2789" t="s">
        <v>2731</v>
      </c>
      <c r="D119" s="52" t="str">
        <f>IF(A118="——","——",IF(H19="元",ROUND(D118/B125,0),ROUND(D118*10000/B125,0)))</f>
        <v>——</v>
      </c>
      <c r="E119" s="1431"/>
      <c r="F119" s="3523" t="str">
        <f>IF(B33="总价","（以上估价结果中楼面单价为总价除以建筑面积得出）","（以上估价结果中总价为楼面单价乘以建筑面积得出）")</f>
        <v>（以上估价结果中总价为楼面单价乘以建筑面积得出）</v>
      </c>
      <c r="G119" s="3523"/>
      <c r="H119" s="3523"/>
      <c r="I119" s="3523"/>
      <c r="J119" s="2837"/>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28" t="str">
        <f>IF(项目基本情况!G5="抵押净值",IF(OR(项目基本情况!F5="已注销",项目基本情况!F5="房地产抵押价值"),"4.抵押净值","5.抵押净值"),"——")</f>
        <v>——</v>
      </c>
      <c r="B120" s="3429"/>
      <c r="C120" s="2789" t="str">
        <f>B103</f>
        <v>总价（万元）</v>
      </c>
      <c r="D120" s="2790" t="str">
        <f>IF(A120="——","——",O61)</f>
        <v>——</v>
      </c>
      <c r="E120" s="1431"/>
      <c r="F120" s="1485"/>
      <c r="G120" s="1485"/>
      <c r="H120" s="1485"/>
      <c r="I120" s="1485"/>
      <c r="J120" s="2837"/>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433"/>
      <c r="B121" s="3434"/>
      <c r="C121" s="2794" t="s">
        <v>2731</v>
      </c>
      <c r="D121" s="2778" t="str">
        <f>IF(D120=D110,D111,IF(A120="——","——",O63))</f>
        <v>——</v>
      </c>
      <c r="E121" s="1431"/>
      <c r="F121" s="1485"/>
      <c r="G121" s="1485"/>
      <c r="H121" s="1485"/>
      <c r="I121" s="1485"/>
      <c r="J121" s="2837"/>
      <c r="K121" s="659"/>
      <c r="L121" s="659"/>
      <c r="M121" s="659"/>
      <c r="N121" s="659"/>
      <c r="O121" s="32"/>
      <c r="P121" s="32"/>
      <c r="Q121" s="659"/>
      <c r="R121" s="659"/>
      <c r="S121" s="659"/>
      <c r="T121" s="659"/>
      <c r="U121" s="659"/>
      <c r="V121" s="659"/>
      <c r="W121" s="659"/>
      <c r="X121" s="659"/>
      <c r="Y121" s="659"/>
      <c r="Z121" s="659"/>
      <c r="AA121" s="659"/>
    </row>
    <row r="122" spans="1:27" s="1278" customFormat="1" ht="15">
      <c r="A122" s="3479" t="s">
        <v>1854</v>
      </c>
      <c r="B122" s="3480"/>
      <c r="C122" s="3480"/>
      <c r="D122" s="3480"/>
      <c r="E122" s="3480"/>
      <c r="F122" s="3480"/>
      <c r="G122" s="3480"/>
      <c r="H122" s="3480"/>
      <c r="I122" s="3480"/>
      <c r="J122" s="2838"/>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13" t="s">
        <v>2735</v>
      </c>
      <c r="B123" s="3439" t="s">
        <v>2736</v>
      </c>
      <c r="C123" s="3439" t="s">
        <v>2742</v>
      </c>
      <c r="D123" s="3501" t="s">
        <v>2737</v>
      </c>
      <c r="E123" s="3502"/>
      <c r="F123" s="3414" t="s">
        <v>2743</v>
      </c>
      <c r="G123" s="3414"/>
      <c r="H123" s="3414" t="s">
        <v>2738</v>
      </c>
      <c r="I123" s="3500"/>
      <c r="J123" s="2816"/>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13"/>
      <c r="B124" s="3440"/>
      <c r="C124" s="3440"/>
      <c r="D124" s="2062" t="s">
        <v>2739</v>
      </c>
      <c r="E124" s="2062" t="s">
        <v>2744</v>
      </c>
      <c r="F124" s="2062" t="s">
        <v>2739</v>
      </c>
      <c r="G124" s="2062" t="s">
        <v>2740</v>
      </c>
      <c r="H124" s="2062" t="s">
        <v>2739</v>
      </c>
      <c r="I124" s="52" t="s">
        <v>2740</v>
      </c>
      <c r="J124" s="2816"/>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2" t="str">
        <f>项目基本情况!I1</f>
        <v>北京市房地产</v>
      </c>
      <c r="B125" s="2062">
        <f>典型户型修正!B25</f>
        <v>0</v>
      </c>
      <c r="C125" s="1426"/>
      <c r="D125" s="2062">
        <f>C36</f>
        <v>0</v>
      </c>
      <c r="E125" s="2062" t="e">
        <f>ROUND(IF(H19="元",D125/B125,D125*10000/B125),0)</f>
        <v>#DIV/0!</v>
      </c>
      <c r="F125" s="2062">
        <f>C37</f>
        <v>0</v>
      </c>
      <c r="G125" s="2062" t="e">
        <f>ROUND(IF(H19="元",F125/B125,F125*10000/B125),0)</f>
        <v>#DIV/0!</v>
      </c>
      <c r="H125" s="2062">
        <f>C34</f>
        <v>0</v>
      </c>
      <c r="I125" s="52" t="e">
        <f>C35</f>
        <v>#DIV/0!</v>
      </c>
      <c r="J125" s="2816"/>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13" t="s">
        <v>2741</v>
      </c>
      <c r="B126" s="3414"/>
      <c r="C126" s="3414"/>
      <c r="D126" s="3441" t="str">
        <f>IF(H19="元",NUMBERSTRING(INT(D125),2)&amp;"元整",NUMBERSTRING(INT(D125*10000),2)&amp;"元整")</f>
        <v>零元整</v>
      </c>
      <c r="E126" s="3484"/>
      <c r="F126" s="3441" t="str">
        <f>IF(H19="元",NUMBERSTRING(INT(F125),2)&amp;"元整",NUMBERSTRING(INT(F125*10000),2)&amp;"元整")</f>
        <v>零元整</v>
      </c>
      <c r="G126" s="3484"/>
      <c r="H126" s="3441" t="str">
        <f>IF(H19="元",NUMBERSTRING(INT(H125),2)&amp;"元整",NUMBERSTRING(INT(H125*10000),2)&amp;"元整")</f>
        <v>零元整</v>
      </c>
      <c r="I126" s="3442"/>
      <c r="J126" s="2839"/>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18" t="str">
        <f>IF(项目基本情况!D5="房地产市场价值","——",MID(A112,3,LEN(A112)-2))</f>
        <v>估价师所知悉的法定优先受偿款</v>
      </c>
      <c r="B127" s="3424"/>
      <c r="C127" s="3419"/>
      <c r="D127" s="3416">
        <f>I107</f>
        <v>0</v>
      </c>
      <c r="E127" s="3424"/>
      <c r="F127" s="3424"/>
      <c r="G127" s="3424"/>
      <c r="H127" s="3424"/>
      <c r="I127" s="3417"/>
      <c r="J127" s="2832"/>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85" t="s">
        <v>2741</v>
      </c>
      <c r="B128" s="3453"/>
      <c r="C128" s="3454"/>
      <c r="D128" s="3425">
        <f>H111</f>
        <v>0</v>
      </c>
      <c r="E128" s="3426"/>
      <c r="F128" s="3426"/>
      <c r="G128" s="3426"/>
      <c r="H128" s="3426"/>
      <c r="I128" s="3427"/>
      <c r="J128" s="2840"/>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28" t="str">
        <f>IF(项目基本情况!D5="房地产市场价值","——",MID(A116,3,LEN(A116)-2))</f>
        <v>房地产抵押价值</v>
      </c>
      <c r="B129" s="3429"/>
      <c r="C129" s="3429"/>
      <c r="D129" s="3416">
        <f>I112</f>
        <v>0</v>
      </c>
      <c r="E129" s="3424"/>
      <c r="F129" s="3424"/>
      <c r="G129" s="3424"/>
      <c r="H129" s="3424"/>
      <c r="I129" s="3417"/>
      <c r="J129" s="2832"/>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13" t="s">
        <v>2741</v>
      </c>
      <c r="B130" s="3414"/>
      <c r="C130" s="3414"/>
      <c r="D130" s="3425" t="e">
        <f>I113</f>
        <v>#DIV/0!</v>
      </c>
      <c r="E130" s="3426"/>
      <c r="F130" s="3426"/>
      <c r="G130" s="3426"/>
      <c r="H130" s="3426"/>
      <c r="I130" s="3427"/>
      <c r="J130" s="2840"/>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28" t="str">
        <f>IF(项目基本情况!D5="房地产市场价值","——",MID(A118,3,LEN(A118)-2))</f>
        <v/>
      </c>
      <c r="B131" s="3429"/>
      <c r="C131" s="3429"/>
      <c r="D131" s="3461" t="str">
        <f>I114</f>
        <v>——</v>
      </c>
      <c r="E131" s="3462"/>
      <c r="F131" s="3462"/>
      <c r="G131" s="3462"/>
      <c r="H131" s="3462"/>
      <c r="I131" s="3513"/>
      <c r="J131" s="2832"/>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13" t="s">
        <v>2741</v>
      </c>
      <c r="B132" s="3414"/>
      <c r="C132" s="3415"/>
      <c r="D132" s="3477" t="str">
        <f>I115</f>
        <v>——</v>
      </c>
      <c r="E132" s="3477"/>
      <c r="F132" s="3477"/>
      <c r="G132" s="3477"/>
      <c r="H132" s="3477"/>
      <c r="I132" s="3477"/>
      <c r="J132" s="2840"/>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28" t="str">
        <f>IF(项目基本情况!D5="房地产市场价值","——",MID(F116,3,LEN(F116)-2))</f>
        <v/>
      </c>
      <c r="B133" s="3429"/>
      <c r="C133" s="3416"/>
      <c r="D133" s="3432" t="str">
        <f>I116</f>
        <v>——</v>
      </c>
      <c r="E133" s="3432"/>
      <c r="F133" s="3432"/>
      <c r="G133" s="3432"/>
      <c r="H133" s="3432"/>
      <c r="I133" s="3432"/>
      <c r="J133" s="2832"/>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437" t="s">
        <v>2741</v>
      </c>
      <c r="B134" s="3438"/>
      <c r="C134" s="3438"/>
      <c r="D134" s="3443">
        <f>H118</f>
        <v>0</v>
      </c>
      <c r="E134" s="3444"/>
      <c r="F134" s="3444"/>
      <c r="G134" s="3444"/>
      <c r="H134" s="3444"/>
      <c r="I134" s="3445"/>
      <c r="J134" s="2840"/>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单位：平方米、万元、元/平方米（币种：人民币）</v>
      </c>
      <c r="B135" s="1451"/>
      <c r="C135" s="1451"/>
      <c r="D135" s="1451"/>
      <c r="E135" s="1451"/>
      <c r="F135" s="1451"/>
      <c r="G135" s="1451"/>
      <c r="H135" s="1451"/>
      <c r="I135" s="1451"/>
      <c r="J135" s="2841"/>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411" t="str">
        <f>IF(B33="总价","（以上估价结果中楼面单价为总价除以建筑面积得出）","（以上估价结果中总价为楼面单价乘以建筑面积得出）")</f>
        <v>（以上估价结果中总价为楼面单价乘以建筑面积得出）</v>
      </c>
      <c r="B136" s="3411"/>
      <c r="C136" s="3411"/>
      <c r="D136" s="3411"/>
      <c r="E136" s="3411"/>
      <c r="F136" s="3411"/>
      <c r="G136" s="3411"/>
      <c r="H136" s="3411"/>
      <c r="I136" s="3411"/>
      <c r="J136" s="2834"/>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1817</v>
      </c>
      <c r="B137" s="1462"/>
      <c r="C137" s="1463" t="s">
        <v>1818</v>
      </c>
      <c r="D137" s="1464"/>
      <c r="E137" s="1464"/>
      <c r="F137" s="1464"/>
      <c r="G137" s="1464"/>
      <c r="H137" s="1465"/>
      <c r="I137" s="1466"/>
      <c r="J137" s="2842"/>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42"/>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42"/>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3"/>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42"/>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3"/>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1819</v>
      </c>
      <c r="G143" s="1475"/>
      <c r="H143" s="1475"/>
      <c r="I143" s="1476" t="s">
        <v>1820</v>
      </c>
      <c r="J143" s="2844"/>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1821</v>
      </c>
      <c r="C144" s="659"/>
      <c r="D144" s="659"/>
      <c r="E144" s="659"/>
      <c r="F144" s="659"/>
      <c r="G144" s="659"/>
      <c r="H144" s="659"/>
      <c r="I144" s="659"/>
      <c r="J144" s="2843"/>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3"/>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1822</v>
      </c>
      <c r="J146" s="2844"/>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1823</v>
      </c>
      <c r="C147" s="659"/>
      <c r="D147" s="659"/>
      <c r="E147" s="65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1822</v>
      </c>
      <c r="J149" s="2844"/>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3"/>
    </row>
    <row r="152" spans="1:27" s="659" customFormat="1" ht="21.75" customHeight="1">
      <c r="J152" s="2843"/>
    </row>
    <row r="153" spans="1:27" s="659" customFormat="1" ht="21.75" customHeight="1">
      <c r="J153" s="2843"/>
    </row>
    <row r="154" spans="1:27" s="659" customFormat="1" ht="21.75" customHeight="1">
      <c r="J154" s="2843"/>
    </row>
    <row r="155" spans="1:27" s="659" customFormat="1" ht="21.75" customHeight="1">
      <c r="J155" s="2843"/>
    </row>
    <row r="156" spans="1:27" s="659" customFormat="1" ht="21.75" customHeight="1">
      <c r="J156" s="2843"/>
    </row>
    <row r="157" spans="1:27" s="659" customFormat="1" ht="21.75" customHeight="1">
      <c r="J157" s="2843"/>
    </row>
    <row r="158" spans="1:27" s="659" customFormat="1" ht="21.75" customHeight="1">
      <c r="J158" s="2843"/>
    </row>
    <row r="159" spans="1:27" s="659" customFormat="1" ht="21.75" customHeight="1">
      <c r="J159" s="2843"/>
    </row>
    <row r="160" spans="1:27"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27" s="659" customFormat="1" ht="21.75" customHeight="1">
      <c r="J369" s="2843"/>
    </row>
    <row r="370" spans="10:27" s="659" customFormat="1" ht="21.75" customHeight="1">
      <c r="J370" s="2843"/>
    </row>
    <row r="371" spans="10:27" s="659" customFormat="1" ht="21.75" customHeight="1">
      <c r="J371" s="2843"/>
    </row>
    <row r="372" spans="10:27" s="659" customFormat="1" ht="21.75" customHeight="1">
      <c r="J372" s="2843"/>
    </row>
    <row r="373" spans="10:27" s="659" customFormat="1" ht="21.75" customHeight="1">
      <c r="J373" s="2843"/>
    </row>
    <row r="374" spans="10:27" s="659" customFormat="1" ht="21.75" customHeight="1">
      <c r="J374" s="2843"/>
    </row>
    <row r="375" spans="10:27" s="659" customFormat="1" ht="21.75" customHeight="1">
      <c r="J375" s="2843"/>
    </row>
    <row r="376" spans="10:27" s="659" customFormat="1" ht="21.75" customHeight="1">
      <c r="J376" s="2843"/>
    </row>
    <row r="377" spans="10:27" s="659" customFormat="1" ht="21.75" customHeight="1">
      <c r="J377" s="2843"/>
    </row>
    <row r="378" spans="10:27" s="659" customFormat="1" ht="21.75" customHeight="1">
      <c r="J378" s="2843"/>
    </row>
    <row r="379" spans="10:27" s="659" customFormat="1" ht="21.75" customHeight="1">
      <c r="J379" s="2843"/>
    </row>
    <row r="380" spans="10:27" s="659" customFormat="1" ht="21.75" customHeight="1">
      <c r="J380" s="2843"/>
    </row>
    <row r="381" spans="10:27" s="659" customFormat="1" ht="21.75" customHeight="1">
      <c r="J381" s="2843"/>
    </row>
    <row r="382" spans="10:27" s="659" customFormat="1" ht="21.75" customHeight="1">
      <c r="J382" s="2843"/>
    </row>
    <row r="383" spans="10:27" s="1278" customFormat="1" ht="21.75" customHeight="1">
      <c r="J383" s="2813"/>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3"/>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3"/>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3"/>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3"/>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3"/>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3"/>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3"/>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3"/>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3"/>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3"/>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3"/>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3"/>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3"/>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3"/>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3"/>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3"/>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3"/>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3"/>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3"/>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3"/>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3"/>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3"/>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3"/>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"100%,80%,60%,64%"</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topLeftCell="A21" zoomScale="90" zoomScaleNormal="60" zoomScaleSheetLayoutView="90" workbookViewId="0">
      <selection activeCell="D43" sqref="D43"/>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2326</v>
      </c>
      <c r="C1" s="1609" t="s">
        <v>2690</v>
      </c>
      <c r="D1" s="1608"/>
      <c r="E1" s="1611" t="s">
        <v>2688</v>
      </c>
      <c r="F1" s="1612" t="s">
        <v>2186</v>
      </c>
      <c r="G1" s="1608"/>
      <c r="H1" s="1608"/>
      <c r="I1" s="1608"/>
      <c r="J1" s="1608"/>
      <c r="K1" s="1613"/>
      <c r="L1" s="1614"/>
      <c r="M1" s="1608"/>
      <c r="N1" s="1608"/>
      <c r="O1" s="1608"/>
      <c r="P1" s="1608"/>
      <c r="Q1" s="1608"/>
      <c r="R1" s="1608"/>
      <c r="S1" s="1608"/>
      <c r="T1" s="1608"/>
      <c r="U1" s="1608"/>
      <c r="V1" s="1608"/>
      <c r="W1" s="1608"/>
      <c r="X1" s="1608"/>
      <c r="Y1" s="1608"/>
      <c r="Z1" s="1608"/>
      <c r="AA1" s="1608"/>
      <c r="AB1" s="2457"/>
      <c r="AC1" s="1617"/>
    </row>
    <row r="2" spans="1:29" s="1930" customFormat="1" ht="28.5" customHeight="1" thickTop="1">
      <c r="A2" s="1619" t="s">
        <v>1856</v>
      </c>
      <c r="B2" s="1620">
        <f>IF(D2="——",IF(C2="元",ROUND(C50*D3,0),ROUND(C50*D3/10000,0)),IF(C2="元",ROUND(C50*D3,0),ROUND(C50*D3/10000,0))-E2)</f>
        <v>1083</v>
      </c>
      <c r="C2" s="1621" t="str">
        <f>'数据-取费表'!B3</f>
        <v>万元</v>
      </c>
      <c r="D2" s="1622" t="s">
        <v>1183</v>
      </c>
      <c r="E2" s="2458" t="e">
        <f ca="1">SUMIF(INDIRECT("'"&amp;G2&amp;"'"&amp;"!A:A"),"承租人权益价值",INDIRECT("'"&amp;G2&amp;"'"&amp;"!c:c"))</f>
        <v>#REF!</v>
      </c>
      <c r="F2" s="1624" t="str">
        <f>C2</f>
        <v>万元</v>
      </c>
      <c r="G2" s="1625"/>
      <c r="H2" s="2982"/>
      <c r="I2" s="2982"/>
      <c r="J2" s="2982"/>
      <c r="K2" s="2982"/>
      <c r="L2" s="2984"/>
      <c r="M2" s="2982"/>
      <c r="N2" s="2982"/>
      <c r="O2" s="2982"/>
      <c r="P2" s="1927"/>
      <c r="Q2" s="1927"/>
      <c r="R2" s="1927"/>
      <c r="S2" s="1927"/>
      <c r="T2" s="1927"/>
      <c r="U2" s="1927"/>
      <c r="V2" s="1927"/>
      <c r="W2" s="1927"/>
      <c r="X2" s="1927"/>
      <c r="Y2" s="1927"/>
      <c r="Z2" s="1927"/>
      <c r="AA2" s="1927"/>
      <c r="AB2" s="2459"/>
      <c r="AC2" s="1935"/>
    </row>
    <row r="3" spans="1:29" s="1930" customFormat="1" ht="28.5" customHeight="1" thickBot="1">
      <c r="A3" s="1629" t="s">
        <v>1857</v>
      </c>
      <c r="B3" s="1933">
        <f>ROUND(IF(D2="——",C50,IF(C2="万元",B2*10000/D3,B2/D3)),0)</f>
        <v>44956</v>
      </c>
      <c r="C3" s="1630" t="s">
        <v>2187</v>
      </c>
      <c r="D3" s="1630">
        <f>IF(C1="仅计算典型户型",'数据-取费表'!E5,'数据-取费表'!B5)</f>
        <v>240.88</v>
      </c>
      <c r="F3" s="2981"/>
      <c r="G3" s="2982"/>
      <c r="H3" s="2982"/>
      <c r="I3" s="2982"/>
      <c r="J3" s="2982"/>
      <c r="K3" s="2983"/>
      <c r="L3" s="2984"/>
      <c r="M3" s="2982"/>
      <c r="N3" s="2982"/>
      <c r="O3" s="2982"/>
      <c r="P3" s="2989"/>
      <c r="Q3" s="1922"/>
      <c r="R3" s="1922"/>
      <c r="S3" s="1922"/>
      <c r="T3" s="1922"/>
      <c r="U3" s="1922"/>
      <c r="V3" s="1922"/>
      <c r="W3" s="1922"/>
      <c r="X3" s="1927"/>
      <c r="Y3" s="1922"/>
      <c r="Z3" s="1922"/>
      <c r="AA3" s="1922"/>
      <c r="AB3" s="2460"/>
      <c r="AC3" s="1935"/>
    </row>
    <row r="4" spans="1:29" ht="15">
      <c r="A4" s="1633" t="s">
        <v>2188</v>
      </c>
      <c r="B4" s="1634"/>
      <c r="C4" s="3572" t="s">
        <v>2189</v>
      </c>
      <c r="D4" s="3573"/>
      <c r="E4" s="3574" t="s">
        <v>2190</v>
      </c>
      <c r="F4" s="3575"/>
      <c r="G4" s="3572" t="s">
        <v>2191</v>
      </c>
      <c r="H4" s="3573"/>
      <c r="I4" s="3572" t="s">
        <v>2192</v>
      </c>
      <c r="J4" s="3573"/>
      <c r="K4" s="1936" t="s">
        <v>2193</v>
      </c>
      <c r="L4" s="2967"/>
      <c r="M4" s="2968"/>
      <c r="N4" s="2968"/>
      <c r="O4" s="2968"/>
      <c r="P4" s="3576" t="s">
        <v>2194</v>
      </c>
      <c r="Q4" s="3577"/>
      <c r="R4" s="3560" t="s">
        <v>2190</v>
      </c>
      <c r="S4" s="3561"/>
      <c r="T4" s="3560" t="s">
        <v>2191</v>
      </c>
      <c r="U4" s="3561"/>
      <c r="V4" s="3582" t="s">
        <v>2192</v>
      </c>
      <c r="W4" s="3582"/>
      <c r="X4" s="2045"/>
      <c r="Y4" s="3560" t="s">
        <v>2194</v>
      </c>
      <c r="Z4" s="3561"/>
      <c r="AA4" s="3569" t="s">
        <v>2190</v>
      </c>
      <c r="AB4" s="3569" t="s">
        <v>2191</v>
      </c>
      <c r="AC4" s="3569" t="s">
        <v>2192</v>
      </c>
    </row>
    <row r="5" spans="1:29" ht="15">
      <c r="A5" s="1638"/>
      <c r="B5" s="1639"/>
      <c r="C5" s="3585" t="s">
        <v>2195</v>
      </c>
      <c r="D5" s="3586"/>
      <c r="E5" s="3583" t="s">
        <v>3004</v>
      </c>
      <c r="F5" s="3584"/>
      <c r="G5" s="3589" t="s">
        <v>3004</v>
      </c>
      <c r="H5" s="3586"/>
      <c r="I5" s="3589" t="s">
        <v>3004</v>
      </c>
      <c r="J5" s="3586"/>
      <c r="K5" s="1936"/>
      <c r="L5" s="2967"/>
      <c r="M5" s="2968"/>
      <c r="N5" s="2968"/>
      <c r="O5" s="2968"/>
      <c r="P5" s="3578"/>
      <c r="Q5" s="3579"/>
      <c r="R5" s="3562"/>
      <c r="S5" s="3563"/>
      <c r="T5" s="3562"/>
      <c r="U5" s="3563"/>
      <c r="V5" s="3582"/>
      <c r="W5" s="3582"/>
      <c r="X5" s="2045"/>
      <c r="Y5" s="3562"/>
      <c r="Z5" s="3563"/>
      <c r="AA5" s="3570"/>
      <c r="AB5" s="3570"/>
      <c r="AC5" s="3570"/>
    </row>
    <row r="6" spans="1:29" ht="15.75" thickBot="1">
      <c r="A6" s="1641"/>
      <c r="B6" s="1642"/>
      <c r="C6" s="3587" t="s">
        <v>2199</v>
      </c>
      <c r="D6" s="3588"/>
      <c r="E6" s="3719" t="s">
        <v>3010</v>
      </c>
      <c r="F6" s="3591"/>
      <c r="G6" s="3587" t="s">
        <v>2199</v>
      </c>
      <c r="H6" s="3588"/>
      <c r="I6" s="3587" t="s">
        <v>2199</v>
      </c>
      <c r="J6" s="3588"/>
      <c r="K6" s="1936" t="s">
        <v>2200</v>
      </c>
      <c r="L6" s="2967"/>
      <c r="M6" s="2968"/>
      <c r="N6" s="2968"/>
      <c r="O6" s="2968"/>
      <c r="P6" s="3580"/>
      <c r="Q6" s="3581"/>
      <c r="R6" s="3562"/>
      <c r="S6" s="3563"/>
      <c r="T6" s="3564"/>
      <c r="U6" s="3565"/>
      <c r="V6" s="3582"/>
      <c r="W6" s="3582"/>
      <c r="X6" s="2045"/>
      <c r="Y6" s="3564"/>
      <c r="Z6" s="3565"/>
      <c r="AA6" s="3571"/>
      <c r="AB6" s="3571"/>
      <c r="AC6" s="3571"/>
    </row>
    <row r="7" spans="1:29" s="1655" customFormat="1" ht="15.75" thickBot="1">
      <c r="A7" s="1643" t="s">
        <v>2201</v>
      </c>
      <c r="B7" s="1644"/>
      <c r="C7" s="1645">
        <f>'数据-取费表'!B2</f>
        <v>44645</v>
      </c>
      <c r="D7" s="1646">
        <v>100</v>
      </c>
      <c r="E7" s="1647">
        <f>C7</f>
        <v>44645</v>
      </c>
      <c r="F7" s="1648">
        <f>SUMIF(59:59,YEAR(E7)&amp;"-"&amp;MONTH(E7),60:60)</f>
        <v>100</v>
      </c>
      <c r="G7" s="1937">
        <f>C7</f>
        <v>44645</v>
      </c>
      <c r="H7" s="1646">
        <f>SUMIF(59:59,YEAR(G7)&amp;"-"&amp;MONTH(G7),60:60)</f>
        <v>100</v>
      </c>
      <c r="I7" s="1937">
        <f>C7</f>
        <v>44645</v>
      </c>
      <c r="J7" s="1646">
        <f>SUMIF(59:59,YEAR(I7)&amp;"-"&amp;MONTH(I7),60:60)</f>
        <v>100</v>
      </c>
      <c r="K7" s="1938"/>
      <c r="L7" s="2967"/>
      <c r="M7" s="2940"/>
      <c r="N7" s="2940"/>
      <c r="O7" s="2940"/>
      <c r="P7" s="3558" t="s">
        <v>2202</v>
      </c>
      <c r="Q7" s="3566"/>
      <c r="R7" s="1651" t="s">
        <v>25</v>
      </c>
      <c r="S7" s="1652">
        <f t="shared" ref="S7:S15" si="0">F7</f>
        <v>100</v>
      </c>
      <c r="T7" s="1651" t="s">
        <v>25</v>
      </c>
      <c r="U7" s="1652">
        <f t="shared" ref="U7:U15" si="1">H7</f>
        <v>100</v>
      </c>
      <c r="V7" s="1651" t="s">
        <v>25</v>
      </c>
      <c r="W7" s="1652">
        <f t="shared" ref="W7:W15" si="2">J7</f>
        <v>100</v>
      </c>
      <c r="X7" s="1653"/>
      <c r="Y7" s="3558" t="s">
        <v>2202</v>
      </c>
      <c r="Z7" s="3559"/>
      <c r="AA7" s="1654">
        <f>D7/F7</f>
        <v>1</v>
      </c>
      <c r="AB7" s="1654">
        <f>D7/H7</f>
        <v>1</v>
      </c>
      <c r="AC7" s="1654">
        <f>D7/J7</f>
        <v>1</v>
      </c>
    </row>
    <row r="8" spans="1:29" s="1655" customFormat="1" ht="15.75" thickBot="1">
      <c r="A8" s="1643" t="s">
        <v>2203</v>
      </c>
      <c r="B8" s="1644"/>
      <c r="C8" s="1656" t="s">
        <v>2204</v>
      </c>
      <c r="D8" s="1646">
        <v>100</v>
      </c>
      <c r="E8" s="1656" t="s">
        <v>2817</v>
      </c>
      <c r="F8" s="1648">
        <f>SUMIF(62:62,E8,63:63)-SUMIF(62:62,C8,63:63)+100</f>
        <v>100</v>
      </c>
      <c r="G8" s="1656" t="s">
        <v>2817</v>
      </c>
      <c r="H8" s="1646">
        <f>SUMIF(62:62,G8,63:63)-SUMIF(62:62,C8,63:63)+100</f>
        <v>100</v>
      </c>
      <c r="I8" s="1656" t="s">
        <v>2817</v>
      </c>
      <c r="J8" s="1646">
        <f>SUMIF(62:62,I8,63:63)-SUMIF(62:62,C8,63:63)+100</f>
        <v>100</v>
      </c>
      <c r="K8" s="1938"/>
      <c r="L8" s="2967"/>
      <c r="M8" s="2940"/>
      <c r="N8" s="2940"/>
      <c r="O8" s="2940"/>
      <c r="P8" s="3558" t="s">
        <v>2205</v>
      </c>
      <c r="Q8" s="3559"/>
      <c r="R8" s="1651" t="s">
        <v>25</v>
      </c>
      <c r="S8" s="1652">
        <f t="shared" si="0"/>
        <v>100</v>
      </c>
      <c r="T8" s="1651" t="s">
        <v>25</v>
      </c>
      <c r="U8" s="1652">
        <f t="shared" si="1"/>
        <v>100</v>
      </c>
      <c r="V8" s="1651" t="s">
        <v>25</v>
      </c>
      <c r="W8" s="1652">
        <f t="shared" si="2"/>
        <v>100</v>
      </c>
      <c r="X8" s="1653"/>
      <c r="Y8" s="3558" t="s">
        <v>2205</v>
      </c>
      <c r="Z8" s="3559"/>
      <c r="AA8" s="1654">
        <f t="shared" ref="AA8:AA47" si="3">D8/F8</f>
        <v>1</v>
      </c>
      <c r="AB8" s="1654">
        <f t="shared" ref="AB8:AB47" si="4">D8/H8</f>
        <v>1</v>
      </c>
      <c r="AC8" s="1654">
        <f t="shared" ref="AC8:AC47" si="5">D8/J8</f>
        <v>1</v>
      </c>
    </row>
    <row r="9" spans="1:29" s="1655" customFormat="1" ht="15">
      <c r="A9" s="2037" t="s">
        <v>2206</v>
      </c>
      <c r="B9" s="1658" t="s">
        <v>2207</v>
      </c>
      <c r="C9" s="3718" t="s">
        <v>3009</v>
      </c>
      <c r="D9" s="1660">
        <v>100</v>
      </c>
      <c r="E9" s="1663" t="s">
        <v>2980</v>
      </c>
      <c r="F9" s="1660">
        <f>SUMIF(64:64,E9,65:65)-SUMIF(64:64,C9,65:65)+100</f>
        <v>100</v>
      </c>
      <c r="G9" s="1661" t="s">
        <v>2980</v>
      </c>
      <c r="H9" s="1660">
        <f>SUMIF(64:64,G9,65:65)-SUMIF(64:64,C9,65:65)+100</f>
        <v>100</v>
      </c>
      <c r="I9" s="1661" t="s">
        <v>2980</v>
      </c>
      <c r="J9" s="1660">
        <f>SUMIF(64:64,I9,65:65)-SUMIF(64:64,C9,65:65)+100</f>
        <v>100</v>
      </c>
      <c r="K9" s="1938"/>
      <c r="L9" s="2967"/>
      <c r="M9" s="2940"/>
      <c r="N9" s="2940"/>
      <c r="O9" s="2940"/>
      <c r="P9" s="3550" t="s">
        <v>2208</v>
      </c>
      <c r="Q9" s="2885" t="str">
        <f t="shared" ref="Q9:Q15" si="6">B9</f>
        <v>用途</v>
      </c>
      <c r="R9" s="1651" t="s">
        <v>25</v>
      </c>
      <c r="S9" s="1652">
        <f t="shared" si="0"/>
        <v>100</v>
      </c>
      <c r="T9" s="1651" t="s">
        <v>25</v>
      </c>
      <c r="U9" s="1652">
        <f t="shared" si="1"/>
        <v>100</v>
      </c>
      <c r="V9" s="1651" t="s">
        <v>25</v>
      </c>
      <c r="W9" s="1652">
        <f t="shared" si="2"/>
        <v>100</v>
      </c>
      <c r="X9" s="1653"/>
      <c r="Y9" s="3446" t="s">
        <v>2209</v>
      </c>
      <c r="Z9" s="1664" t="str">
        <f t="shared" ref="Z9:Z15" si="7">Q9</f>
        <v>用途</v>
      </c>
      <c r="AA9" s="1654">
        <f t="shared" si="3"/>
        <v>1</v>
      </c>
      <c r="AB9" s="1654">
        <f t="shared" si="4"/>
        <v>1</v>
      </c>
      <c r="AC9" s="1654">
        <f t="shared" si="5"/>
        <v>1</v>
      </c>
    </row>
    <row r="10" spans="1:29" s="1672" customFormat="1" ht="27.75" thickBot="1">
      <c r="A10" s="1665"/>
      <c r="B10" s="1666" t="s">
        <v>2210</v>
      </c>
      <c r="C10" s="1667" t="s">
        <v>2987</v>
      </c>
      <c r="D10" s="1668">
        <v>100</v>
      </c>
      <c r="E10" s="1667" t="s">
        <v>2987</v>
      </c>
      <c r="F10" s="1668">
        <f>SUMIF(66:66,E10,67:67)-SUMIF(66:66,C10,67:67)+100</f>
        <v>100</v>
      </c>
      <c r="G10" s="1667" t="s">
        <v>2987</v>
      </c>
      <c r="H10" s="1668">
        <f>SUMIF(66:66,G10,67:67)-SUMIF(66:66,C10,67:67)+100</f>
        <v>100</v>
      </c>
      <c r="I10" s="1667" t="s">
        <v>2987</v>
      </c>
      <c r="J10" s="1668">
        <f>SUMIF(66:66,I10,67:67)-SUMIF(66:66,C10,67:67)+100</f>
        <v>100</v>
      </c>
      <c r="K10" s="1963">
        <v>2</v>
      </c>
      <c r="L10" s="2969"/>
      <c r="M10" s="2970"/>
      <c r="N10" s="2970"/>
      <c r="O10" s="2970"/>
      <c r="P10" s="3550"/>
      <c r="Q10" s="2885" t="str">
        <f t="shared" si="6"/>
        <v>土地使用年限（年）</v>
      </c>
      <c r="R10" s="1651" t="s">
        <v>25</v>
      </c>
      <c r="S10" s="1652">
        <f t="shared" si="0"/>
        <v>100</v>
      </c>
      <c r="T10" s="1651" t="s">
        <v>25</v>
      </c>
      <c r="U10" s="1652">
        <f t="shared" si="1"/>
        <v>100</v>
      </c>
      <c r="V10" s="1651" t="s">
        <v>25</v>
      </c>
      <c r="W10" s="1652">
        <f t="shared" si="2"/>
        <v>100</v>
      </c>
      <c r="X10" s="1653"/>
      <c r="Y10" s="3446"/>
      <c r="Z10" s="1664" t="str">
        <f t="shared" si="7"/>
        <v>土地使用年限（年）</v>
      </c>
      <c r="AA10" s="1654">
        <f t="shared" si="3"/>
        <v>1</v>
      </c>
      <c r="AB10" s="1654">
        <f t="shared" si="4"/>
        <v>1</v>
      </c>
      <c r="AC10" s="1654">
        <f t="shared" si="5"/>
        <v>1</v>
      </c>
    </row>
    <row r="11" spans="1:29" ht="15" hidden="1">
      <c r="A11" s="1673"/>
      <c r="B11" s="1666" t="s">
        <v>2211</v>
      </c>
      <c r="C11" s="1674"/>
      <c r="D11" s="1668">
        <v>100</v>
      </c>
      <c r="E11" s="1674"/>
      <c r="F11" s="1668">
        <f>LOOKUP(E11,69:69,70:70)-LOOKUP(C11,69:69,70:70)+100</f>
        <v>100</v>
      </c>
      <c r="G11" s="1675"/>
      <c r="H11" s="1668">
        <f>LOOKUP(G11,69:69,70:70)-LOOKUP(C11,69:69,70:70)+100</f>
        <v>100</v>
      </c>
      <c r="I11" s="1674"/>
      <c r="J11" s="1668">
        <f>LOOKUP(I11,69:69,70:70)-LOOKUP(C11,69:69,70:70)+100</f>
        <v>100</v>
      </c>
      <c r="K11" s="1963"/>
      <c r="L11" s="2971"/>
      <c r="M11" s="2968"/>
      <c r="N11" s="2968"/>
      <c r="O11" s="2968"/>
      <c r="P11" s="3550"/>
      <c r="Q11" s="2885" t="str">
        <f t="shared" si="6"/>
        <v>容积率</v>
      </c>
      <c r="R11" s="1651" t="s">
        <v>25</v>
      </c>
      <c r="S11" s="1652">
        <f t="shared" si="0"/>
        <v>100</v>
      </c>
      <c r="T11" s="1651" t="s">
        <v>25</v>
      </c>
      <c r="U11" s="1652">
        <f t="shared" si="1"/>
        <v>100</v>
      </c>
      <c r="V11" s="1651" t="s">
        <v>25</v>
      </c>
      <c r="W11" s="1652">
        <f t="shared" si="2"/>
        <v>100</v>
      </c>
      <c r="X11" s="1653"/>
      <c r="Y11" s="3446"/>
      <c r="Z11" s="1664" t="str">
        <f t="shared" si="7"/>
        <v>容积率</v>
      </c>
      <c r="AA11" s="1654">
        <f t="shared" si="3"/>
        <v>1</v>
      </c>
      <c r="AB11" s="1654">
        <f t="shared" si="4"/>
        <v>1</v>
      </c>
      <c r="AC11" s="1654">
        <f t="shared" si="5"/>
        <v>1</v>
      </c>
    </row>
    <row r="12" spans="1:29" s="1655" customFormat="1" ht="15" hidden="1">
      <c r="A12" s="1676"/>
      <c r="B12" s="1677">
        <v>111</v>
      </c>
      <c r="C12" s="1678"/>
      <c r="D12" s="1679">
        <v>100</v>
      </c>
      <c r="E12" s="1678"/>
      <c r="F12" s="1668">
        <f>SUMIF(71:71,E12,72:72)-SUMIF(71:71,C12,72:72)+100</f>
        <v>100</v>
      </c>
      <c r="G12" s="2461"/>
      <c r="H12" s="1668">
        <f>SUMIF(71:71,G12,72:72)-SUMIF(71:71,C12,72:72)+100</f>
        <v>100</v>
      </c>
      <c r="I12" s="1678"/>
      <c r="J12" s="1668">
        <f>SUMIF(71:71,I12,72:72)-SUMIF(71:71,C12,72:72)+100</f>
        <v>100</v>
      </c>
      <c r="K12" s="1960"/>
      <c r="L12" s="2967"/>
      <c r="M12" s="2940"/>
      <c r="N12" s="2940"/>
      <c r="O12" s="2940"/>
      <c r="P12" s="3550"/>
      <c r="Q12" s="2885">
        <f t="shared" si="6"/>
        <v>111</v>
      </c>
      <c r="R12" s="1651" t="s">
        <v>25</v>
      </c>
      <c r="S12" s="1652">
        <f t="shared" si="0"/>
        <v>100</v>
      </c>
      <c r="T12" s="1651" t="s">
        <v>25</v>
      </c>
      <c r="U12" s="1652">
        <f t="shared" si="1"/>
        <v>100</v>
      </c>
      <c r="V12" s="1651" t="s">
        <v>25</v>
      </c>
      <c r="W12" s="1652">
        <f t="shared" si="2"/>
        <v>100</v>
      </c>
      <c r="X12" s="1653"/>
      <c r="Y12" s="3446"/>
      <c r="Z12" s="1664">
        <f t="shared" si="7"/>
        <v>111</v>
      </c>
      <c r="AA12" s="1654">
        <f>D12/F12</f>
        <v>1</v>
      </c>
      <c r="AB12" s="1654">
        <f>D12/H12</f>
        <v>1</v>
      </c>
      <c r="AC12" s="1654">
        <f>D12/J12</f>
        <v>1</v>
      </c>
    </row>
    <row r="13" spans="1:29" ht="15" hidden="1">
      <c r="A13" s="1673"/>
      <c r="B13" s="1677">
        <v>111</v>
      </c>
      <c r="C13" s="1681"/>
      <c r="D13" s="1682">
        <v>100</v>
      </c>
      <c r="E13" s="1678"/>
      <c r="F13" s="1668">
        <f>SUMIF(73:73,E13,74:74)-SUMIF(73:73,C13,74:74)+100</f>
        <v>100</v>
      </c>
      <c r="G13" s="2461"/>
      <c r="H13" s="1682">
        <f>SUMIF(73:73,G13,74:74)-SUMIF(73:73,C13,74:74)+100</f>
        <v>100</v>
      </c>
      <c r="I13" s="1678"/>
      <c r="J13" s="1682">
        <f>SUMIF(73:73,I13,74:74)-SUMIF(73:73,C13,74:74)+100</f>
        <v>100</v>
      </c>
      <c r="K13" s="1960"/>
      <c r="L13" s="2972"/>
      <c r="M13" s="2968"/>
      <c r="N13" s="2968"/>
      <c r="O13" s="2968"/>
      <c r="P13" s="3550"/>
      <c r="Q13" s="2885">
        <f t="shared" si="6"/>
        <v>111</v>
      </c>
      <c r="R13" s="1651" t="s">
        <v>25</v>
      </c>
      <c r="S13" s="1652">
        <f t="shared" si="0"/>
        <v>100</v>
      </c>
      <c r="T13" s="1651" t="s">
        <v>25</v>
      </c>
      <c r="U13" s="1652">
        <f t="shared" si="1"/>
        <v>100</v>
      </c>
      <c r="V13" s="1651" t="s">
        <v>25</v>
      </c>
      <c r="W13" s="1652">
        <f t="shared" si="2"/>
        <v>100</v>
      </c>
      <c r="X13" s="1653"/>
      <c r="Y13" s="3446"/>
      <c r="Z13" s="1664">
        <f t="shared" si="7"/>
        <v>111</v>
      </c>
      <c r="AA13" s="1654">
        <f t="shared" si="3"/>
        <v>1</v>
      </c>
      <c r="AB13" s="1654">
        <f t="shared" si="4"/>
        <v>1</v>
      </c>
      <c r="AC13" s="1654">
        <f t="shared" si="5"/>
        <v>1</v>
      </c>
    </row>
    <row r="14" spans="1:29" ht="15.75" hidden="1" thickBot="1">
      <c r="A14" s="1683"/>
      <c r="B14" s="1684">
        <v>111</v>
      </c>
      <c r="C14" s="1685"/>
      <c r="D14" s="1686">
        <v>100</v>
      </c>
      <c r="E14" s="2462"/>
      <c r="F14" s="1686">
        <f>SUMIF(75:75,E14,76:76)-SUMIF(75:75,C14,76:76)+100</f>
        <v>100</v>
      </c>
      <c r="G14" s="2461"/>
      <c r="H14" s="1686">
        <f>SUMIF(75:75,G14,76:76)-SUMIF(75:75,C14,76:76)+100</f>
        <v>100</v>
      </c>
      <c r="I14" s="1678"/>
      <c r="J14" s="1686">
        <f>SUMIF(75:75,I14,76:76)-SUMIF(75:75,C14,76:76)+100</f>
        <v>100</v>
      </c>
      <c r="K14" s="1960"/>
      <c r="L14" s="2972"/>
      <c r="M14" s="2968"/>
      <c r="N14" s="2968"/>
      <c r="O14" s="2968"/>
      <c r="P14" s="3550"/>
      <c r="Q14" s="2885">
        <f t="shared" si="6"/>
        <v>111</v>
      </c>
      <c r="R14" s="1651" t="s">
        <v>25</v>
      </c>
      <c r="S14" s="1652">
        <f t="shared" si="0"/>
        <v>100</v>
      </c>
      <c r="T14" s="1651" t="s">
        <v>25</v>
      </c>
      <c r="U14" s="1652">
        <f t="shared" si="1"/>
        <v>100</v>
      </c>
      <c r="V14" s="1651" t="s">
        <v>25</v>
      </c>
      <c r="W14" s="1652">
        <f t="shared" si="2"/>
        <v>100</v>
      </c>
      <c r="X14" s="1653"/>
      <c r="Y14" s="3446"/>
      <c r="Z14" s="1664">
        <f t="shared" si="7"/>
        <v>111</v>
      </c>
      <c r="AA14" s="1654">
        <f t="shared" si="3"/>
        <v>1</v>
      </c>
      <c r="AB14" s="1654">
        <f t="shared" si="4"/>
        <v>1</v>
      </c>
      <c r="AC14" s="1654">
        <f t="shared" si="5"/>
        <v>1</v>
      </c>
    </row>
    <row r="15" spans="1:29" ht="15">
      <c r="A15" s="1688" t="s">
        <v>2212</v>
      </c>
      <c r="B15" s="2463" t="s">
        <v>2327</v>
      </c>
      <c r="C15" s="1944" t="str">
        <f>估价对象房地状况!C5</f>
        <v>较好</v>
      </c>
      <c r="D15" s="1691">
        <v>100</v>
      </c>
      <c r="E15" s="1694"/>
      <c r="F15" s="1691">
        <f>SUMIF(77:77,E16,78:78)-SUMIF(77:77,C16,78:78)+100</f>
        <v>100</v>
      </c>
      <c r="G15" s="1692"/>
      <c r="H15" s="1691">
        <f>SUMIF(77:77,G16,78:78)-SUMIF(77:77,C16,78:78)+100</f>
        <v>100</v>
      </c>
      <c r="I15" s="1692"/>
      <c r="J15" s="1691">
        <f>SUMIF(77:77,I16,78:78)-SUMIF(77:77,C16,78:78)+100</f>
        <v>100</v>
      </c>
      <c r="K15" s="2443">
        <v>3</v>
      </c>
      <c r="L15" s="2972"/>
      <c r="M15" s="2968"/>
      <c r="N15" s="2968"/>
      <c r="O15" s="2968"/>
      <c r="P15" s="3567" t="s">
        <v>2213</v>
      </c>
      <c r="Q15" s="2886" t="str">
        <f t="shared" si="6"/>
        <v>办公集聚程度</v>
      </c>
      <c r="R15" s="1696" t="s">
        <v>25</v>
      </c>
      <c r="S15" s="1697">
        <f t="shared" si="0"/>
        <v>100</v>
      </c>
      <c r="T15" s="1696" t="s">
        <v>25</v>
      </c>
      <c r="U15" s="1697">
        <f t="shared" si="1"/>
        <v>100</v>
      </c>
      <c r="V15" s="1696" t="s">
        <v>25</v>
      </c>
      <c r="W15" s="1697">
        <f t="shared" si="2"/>
        <v>100</v>
      </c>
      <c r="X15" s="2045"/>
      <c r="Y15" s="3567" t="s">
        <v>2213</v>
      </c>
      <c r="Z15" s="2049" t="str">
        <f t="shared" si="7"/>
        <v>办公集聚程度</v>
      </c>
      <c r="AA15" s="2040">
        <f t="shared" si="3"/>
        <v>1</v>
      </c>
      <c r="AB15" s="2040">
        <f t="shared" si="4"/>
        <v>1</v>
      </c>
      <c r="AC15" s="2040">
        <f t="shared" si="5"/>
        <v>1</v>
      </c>
    </row>
    <row r="16" spans="1:29" ht="15">
      <c r="A16" s="1673"/>
      <c r="B16" s="2464"/>
      <c r="C16" s="1946" t="s">
        <v>30</v>
      </c>
      <c r="D16" s="1702"/>
      <c r="E16" s="1701" t="s">
        <v>30</v>
      </c>
      <c r="F16" s="1702"/>
      <c r="G16" s="1946" t="s">
        <v>30</v>
      </c>
      <c r="H16" s="1706"/>
      <c r="I16" s="1701" t="s">
        <v>30</v>
      </c>
      <c r="J16" s="1702"/>
      <c r="K16" s="2444"/>
      <c r="L16" s="2972"/>
      <c r="M16" s="2968"/>
      <c r="N16" s="2968"/>
      <c r="O16" s="2968"/>
      <c r="P16" s="3568"/>
      <c r="Q16" s="2886"/>
      <c r="R16" s="1696"/>
      <c r="S16" s="1697"/>
      <c r="T16" s="1696"/>
      <c r="U16" s="1697"/>
      <c r="V16" s="1696"/>
      <c r="W16" s="1697"/>
      <c r="X16" s="2045"/>
      <c r="Y16" s="3568"/>
      <c r="Z16" s="2049"/>
      <c r="AA16" s="2040">
        <v>1</v>
      </c>
      <c r="AB16" s="2040">
        <v>1</v>
      </c>
      <c r="AC16" s="2040">
        <v>1</v>
      </c>
    </row>
    <row r="17" spans="1:29" ht="15">
      <c r="A17" s="1673"/>
      <c r="B17" s="2465" t="s">
        <v>1648</v>
      </c>
      <c r="C17" s="1951" t="str">
        <f>估价对象房地状况!C6</f>
        <v>较好</v>
      </c>
      <c r="D17" s="1706">
        <v>100</v>
      </c>
      <c r="E17" s="1712"/>
      <c r="F17" s="1706">
        <f>SUMIF(79:79,E18,80:80)-SUMIF(79:79,C18,80:80)+100</f>
        <v>100</v>
      </c>
      <c r="G17" s="1710"/>
      <c r="H17" s="1713">
        <f>SUMIF(79:79,G18,80:80)-SUMIF(79:79,C18,80:80)+100</f>
        <v>100</v>
      </c>
      <c r="I17" s="1710"/>
      <c r="J17" s="1713">
        <f>SUMIF(79:79,I18,80:80)-SUMIF(79:79,C18,80:80)+100</f>
        <v>100</v>
      </c>
      <c r="K17" s="2443">
        <v>2</v>
      </c>
      <c r="L17" s="2972"/>
      <c r="M17" s="2968"/>
      <c r="N17" s="2968"/>
      <c r="O17" s="2968"/>
      <c r="P17" s="3568"/>
      <c r="Q17" s="2886" t="str">
        <f>B17</f>
        <v>交通便捷度</v>
      </c>
      <c r="R17" s="1696" t="s">
        <v>25</v>
      </c>
      <c r="S17" s="1697">
        <f>F17</f>
        <v>100</v>
      </c>
      <c r="T17" s="1696" t="s">
        <v>25</v>
      </c>
      <c r="U17" s="1697">
        <f>H17</f>
        <v>100</v>
      </c>
      <c r="V17" s="1696" t="s">
        <v>25</v>
      </c>
      <c r="W17" s="1697">
        <f>J17</f>
        <v>100</v>
      </c>
      <c r="X17" s="2045"/>
      <c r="Y17" s="3568"/>
      <c r="Z17" s="2049" t="str">
        <f>Q17</f>
        <v>交通便捷度</v>
      </c>
      <c r="AA17" s="2040">
        <f t="shared" si="3"/>
        <v>1</v>
      </c>
      <c r="AB17" s="2040">
        <f t="shared" si="4"/>
        <v>1</v>
      </c>
      <c r="AC17" s="2040">
        <f t="shared" si="5"/>
        <v>1</v>
      </c>
    </row>
    <row r="18" spans="1:29" ht="15">
      <c r="A18" s="1673"/>
      <c r="B18" s="2466"/>
      <c r="C18" s="1950" t="s">
        <v>30</v>
      </c>
      <c r="D18" s="1706"/>
      <c r="E18" s="1717" t="s">
        <v>30</v>
      </c>
      <c r="F18" s="1706"/>
      <c r="G18" s="1716" t="s">
        <v>30</v>
      </c>
      <c r="H18" s="1702"/>
      <c r="I18" s="1716" t="s">
        <v>30</v>
      </c>
      <c r="J18" s="1702"/>
      <c r="K18" s="2444"/>
      <c r="L18" s="2972"/>
      <c r="M18" s="2968"/>
      <c r="N18" s="2968"/>
      <c r="O18" s="2968"/>
      <c r="P18" s="3568"/>
      <c r="Q18" s="2886"/>
      <c r="R18" s="1696"/>
      <c r="S18" s="1697"/>
      <c r="T18" s="1696"/>
      <c r="U18" s="1697"/>
      <c r="V18" s="1696"/>
      <c r="W18" s="1697"/>
      <c r="X18" s="2045"/>
      <c r="Y18" s="3568"/>
      <c r="Z18" s="2049"/>
      <c r="AA18" s="2040">
        <v>1</v>
      </c>
      <c r="AB18" s="2040">
        <v>1</v>
      </c>
      <c r="AC18" s="2040">
        <v>1</v>
      </c>
    </row>
    <row r="19" spans="1:29" ht="15">
      <c r="A19" s="1673"/>
      <c r="B19" s="2465" t="s">
        <v>2328</v>
      </c>
      <c r="C19" s="1951" t="str">
        <f>估价对象房地状况!C7</f>
        <v>较好</v>
      </c>
      <c r="D19" s="1713">
        <v>100</v>
      </c>
      <c r="E19" s="1720"/>
      <c r="F19" s="1713">
        <f>SUMIF(81:81,E20,82:82)-SUMIF(81:81,C20,82:82)+100</f>
        <v>100</v>
      </c>
      <c r="G19" s="1718"/>
      <c r="H19" s="1706">
        <f>SUMIF(81:81,G20,82:82)-SUMIF(81:81,C20,82:82)+100</f>
        <v>100</v>
      </c>
      <c r="I19" s="1718"/>
      <c r="J19" s="1706">
        <f>SUMIF(81:81,I20,82:82)-SUMIF(81:81,C20,82:82)+100</f>
        <v>100</v>
      </c>
      <c r="K19" s="2443">
        <v>2</v>
      </c>
      <c r="L19" s="2972"/>
      <c r="M19" s="2968"/>
      <c r="N19" s="2968"/>
      <c r="O19" s="2968"/>
      <c r="P19" s="3568"/>
      <c r="Q19" s="2886" t="str">
        <f>B19</f>
        <v>公共配套设施</v>
      </c>
      <c r="R19" s="1696" t="s">
        <v>25</v>
      </c>
      <c r="S19" s="1697">
        <f>F19</f>
        <v>100</v>
      </c>
      <c r="T19" s="1696" t="s">
        <v>25</v>
      </c>
      <c r="U19" s="1697">
        <f>H19</f>
        <v>100</v>
      </c>
      <c r="V19" s="1696" t="s">
        <v>25</v>
      </c>
      <c r="W19" s="1697">
        <f>J19</f>
        <v>100</v>
      </c>
      <c r="X19" s="2045"/>
      <c r="Y19" s="3568"/>
      <c r="Z19" s="2049" t="str">
        <f>Q19</f>
        <v>公共配套设施</v>
      </c>
      <c r="AA19" s="2040">
        <f t="shared" si="3"/>
        <v>1</v>
      </c>
      <c r="AB19" s="2040">
        <f t="shared" si="4"/>
        <v>1</v>
      </c>
      <c r="AC19" s="2040">
        <f t="shared" si="5"/>
        <v>1</v>
      </c>
    </row>
    <row r="20" spans="1:29" ht="15">
      <c r="A20" s="1673"/>
      <c r="B20" s="2466"/>
      <c r="C20" s="1946" t="s">
        <v>30</v>
      </c>
      <c r="D20" s="1702"/>
      <c r="E20" s="1705" t="s">
        <v>30</v>
      </c>
      <c r="F20" s="1702"/>
      <c r="G20" s="1703" t="s">
        <v>30</v>
      </c>
      <c r="H20" s="1702"/>
      <c r="I20" s="1703" t="s">
        <v>30</v>
      </c>
      <c r="J20" s="1702"/>
      <c r="K20" s="2444"/>
      <c r="L20" s="2972"/>
      <c r="M20" s="2968"/>
      <c r="N20" s="2968"/>
      <c r="O20" s="2968"/>
      <c r="P20" s="3568"/>
      <c r="Q20" s="2886"/>
      <c r="R20" s="1696"/>
      <c r="S20" s="1697"/>
      <c r="T20" s="1696"/>
      <c r="U20" s="1697"/>
      <c r="V20" s="1696"/>
      <c r="W20" s="1697"/>
      <c r="X20" s="2045"/>
      <c r="Y20" s="3568"/>
      <c r="Z20" s="2049"/>
      <c r="AA20" s="2040">
        <v>1</v>
      </c>
      <c r="AB20" s="2040">
        <v>1</v>
      </c>
      <c r="AC20" s="2040">
        <v>1</v>
      </c>
    </row>
    <row r="21" spans="1:29" ht="15">
      <c r="A21" s="1673"/>
      <c r="B21" s="2467" t="s">
        <v>2329</v>
      </c>
      <c r="C21" s="1951" t="str">
        <f>估价对象房地状况!C8</f>
        <v>七通</v>
      </c>
      <c r="D21" s="1713">
        <v>100</v>
      </c>
      <c r="E21" s="1720"/>
      <c r="F21" s="1713">
        <f>SUMIF(83:83,E22,84:84)-SUMIF(83:83,C22,84:84)+100</f>
        <v>100</v>
      </c>
      <c r="G21" s="1718"/>
      <c r="H21" s="1706">
        <f>SUMIF(83:83,G22,84:84)-SUMIF(83:83,C22,84:84)+100</f>
        <v>100</v>
      </c>
      <c r="I21" s="1718"/>
      <c r="J21" s="1706">
        <f>SUMIF(83:83,I22,84:84)-SUMIF(83:83,C22,84:84)+100</f>
        <v>100</v>
      </c>
      <c r="K21" s="2443">
        <v>2</v>
      </c>
      <c r="L21" s="2972"/>
      <c r="M21" s="2968"/>
      <c r="N21" s="2968"/>
      <c r="O21" s="2968"/>
      <c r="P21" s="3568"/>
      <c r="Q21" s="2886" t="str">
        <f>B21</f>
        <v>基础设施水平</v>
      </c>
      <c r="R21" s="1696" t="s">
        <v>25</v>
      </c>
      <c r="S21" s="1697">
        <f>F21</f>
        <v>100</v>
      </c>
      <c r="T21" s="1696" t="s">
        <v>25</v>
      </c>
      <c r="U21" s="1697">
        <f>H21</f>
        <v>100</v>
      </c>
      <c r="V21" s="1696" t="s">
        <v>25</v>
      </c>
      <c r="W21" s="1697">
        <f>J21</f>
        <v>100</v>
      </c>
      <c r="X21" s="2045"/>
      <c r="Y21" s="3568"/>
      <c r="Z21" s="2049" t="str">
        <f>Q21</f>
        <v>基础设施水平</v>
      </c>
      <c r="AA21" s="2040">
        <f t="shared" ref="AA21" si="8">D21/F21</f>
        <v>1</v>
      </c>
      <c r="AB21" s="2040">
        <f t="shared" ref="AB21" si="9">D21/H21</f>
        <v>1</v>
      </c>
      <c r="AC21" s="2040">
        <f t="shared" ref="AC21" si="10">D21/J21</f>
        <v>1</v>
      </c>
    </row>
    <row r="22" spans="1:29" ht="15">
      <c r="A22" s="1673"/>
      <c r="B22" s="2467"/>
      <c r="C22" s="1950" t="s">
        <v>3012</v>
      </c>
      <c r="D22" s="1702"/>
      <c r="E22" s="1701" t="s">
        <v>3012</v>
      </c>
      <c r="F22" s="1702"/>
      <c r="G22" s="1946" t="s">
        <v>3012</v>
      </c>
      <c r="H22" s="1702"/>
      <c r="I22" s="1946" t="s">
        <v>3012</v>
      </c>
      <c r="J22" s="1702"/>
      <c r="K22" s="2445"/>
      <c r="L22" s="2972"/>
      <c r="M22" s="2968"/>
      <c r="N22" s="2968"/>
      <c r="O22" s="2968"/>
      <c r="P22" s="3568"/>
      <c r="Q22" s="2886"/>
      <c r="R22" s="1696"/>
      <c r="S22" s="1697"/>
      <c r="T22" s="1696"/>
      <c r="U22" s="1697"/>
      <c r="V22" s="1696"/>
      <c r="W22" s="1697"/>
      <c r="X22" s="2045"/>
      <c r="Y22" s="3568"/>
      <c r="Z22" s="2049"/>
      <c r="AA22" s="2040">
        <v>1</v>
      </c>
      <c r="AB22" s="2040">
        <v>1</v>
      </c>
      <c r="AC22" s="2040">
        <v>1</v>
      </c>
    </row>
    <row r="23" spans="1:29" ht="15">
      <c r="A23" s="1673"/>
      <c r="B23" s="2465" t="s">
        <v>2330</v>
      </c>
      <c r="C23" s="1951" t="str">
        <f>估价对象房地状况!C9</f>
        <v>较好</v>
      </c>
      <c r="D23" s="1706">
        <v>100</v>
      </c>
      <c r="E23" s="1712"/>
      <c r="F23" s="1706">
        <f>SUMIF(85:85,E24,86:86)-SUMIF(85:85,C24,86:86)+100</f>
        <v>100</v>
      </c>
      <c r="G23" s="1710"/>
      <c r="H23" s="1706">
        <f>SUMIF(85:85,G24,86:86)-SUMIF(85:85,C24,86:86)+100</f>
        <v>100</v>
      </c>
      <c r="I23" s="1710"/>
      <c r="J23" s="1706">
        <f>SUMIF(85:85,I24,86:86)-SUMIF(85:85,C24,86:86)+100</f>
        <v>100</v>
      </c>
      <c r="K23" s="2443">
        <v>2</v>
      </c>
      <c r="L23" s="2972"/>
      <c r="M23" s="2968"/>
      <c r="N23" s="2968"/>
      <c r="O23" s="2968"/>
      <c r="P23" s="3568"/>
      <c r="Q23" s="2886" t="str">
        <f>B23</f>
        <v>环境质量</v>
      </c>
      <c r="R23" s="1696" t="s">
        <v>25</v>
      </c>
      <c r="S23" s="1697">
        <f>F23</f>
        <v>100</v>
      </c>
      <c r="T23" s="1696" t="s">
        <v>25</v>
      </c>
      <c r="U23" s="1697">
        <f>H23</f>
        <v>100</v>
      </c>
      <c r="V23" s="1696" t="s">
        <v>25</v>
      </c>
      <c r="W23" s="1697">
        <f>J23</f>
        <v>100</v>
      </c>
      <c r="X23" s="2045"/>
      <c r="Y23" s="3568"/>
      <c r="Z23" s="2049" t="str">
        <f>Q23</f>
        <v>环境质量</v>
      </c>
      <c r="AA23" s="2040">
        <f t="shared" si="3"/>
        <v>1</v>
      </c>
      <c r="AB23" s="2040">
        <f t="shared" si="4"/>
        <v>1</v>
      </c>
      <c r="AC23" s="2040">
        <f t="shared" si="5"/>
        <v>1</v>
      </c>
    </row>
    <row r="24" spans="1:29" ht="15">
      <c r="A24" s="1673"/>
      <c r="B24" s="2467"/>
      <c r="C24" s="1946" t="s">
        <v>30</v>
      </c>
      <c r="D24" s="1702"/>
      <c r="E24" s="1705" t="s">
        <v>30</v>
      </c>
      <c r="F24" s="1702"/>
      <c r="G24" s="1703" t="s">
        <v>30</v>
      </c>
      <c r="H24" s="1702"/>
      <c r="I24" s="1703" t="s">
        <v>30</v>
      </c>
      <c r="J24" s="1702"/>
      <c r="K24" s="2444"/>
      <c r="L24" s="2972"/>
      <c r="M24" s="2968"/>
      <c r="N24" s="2968"/>
      <c r="O24" s="2968"/>
      <c r="P24" s="3568"/>
      <c r="Q24" s="2886"/>
      <c r="R24" s="1696"/>
      <c r="S24" s="1697"/>
      <c r="T24" s="1696"/>
      <c r="U24" s="1697"/>
      <c r="V24" s="1696"/>
      <c r="W24" s="1697"/>
      <c r="X24" s="2045"/>
      <c r="Y24" s="3568"/>
      <c r="Z24" s="2049"/>
      <c r="AA24" s="2040">
        <v>1</v>
      </c>
      <c r="AB24" s="2040">
        <v>1</v>
      </c>
      <c r="AC24" s="2040">
        <v>1</v>
      </c>
    </row>
    <row r="25" spans="1:29" ht="27">
      <c r="A25" s="1638"/>
      <c r="B25" s="2465" t="s">
        <v>2331</v>
      </c>
      <c r="C25" s="2468"/>
      <c r="D25" s="1682">
        <v>100</v>
      </c>
      <c r="E25" s="1681"/>
      <c r="F25" s="1682">
        <f>SUMIF(87:87,E26,88:88)-SUMIF(87:87,C26,88:88)+100</f>
        <v>100</v>
      </c>
      <c r="G25" s="2468"/>
      <c r="H25" s="1682">
        <f>SUMIF(87:87,G26,88:88)-SUMIF(87:87,C26,88:88)+100</f>
        <v>100</v>
      </c>
      <c r="I25" s="1681"/>
      <c r="J25" s="1682">
        <f>SUMIF(87:87,I26,88:88)-SUMIF(87:87,C26,88:88)+100</f>
        <v>100</v>
      </c>
      <c r="K25" s="2443">
        <v>2</v>
      </c>
      <c r="L25" s="2972"/>
      <c r="M25" s="2968"/>
      <c r="N25" s="2968"/>
      <c r="O25" s="2968"/>
      <c r="P25" s="3568"/>
      <c r="Q25" s="2886" t="str">
        <f>B25</f>
        <v>毗邻道路的类型与等级</v>
      </c>
      <c r="R25" s="1696" t="s">
        <v>25</v>
      </c>
      <c r="S25" s="1697">
        <f>F25</f>
        <v>100</v>
      </c>
      <c r="T25" s="1696" t="s">
        <v>25</v>
      </c>
      <c r="U25" s="1697">
        <f>H25</f>
        <v>100</v>
      </c>
      <c r="V25" s="1696" t="s">
        <v>25</v>
      </c>
      <c r="W25" s="1697">
        <f>J25</f>
        <v>100</v>
      </c>
      <c r="X25" s="2045"/>
      <c r="Y25" s="3568"/>
      <c r="Z25" s="2049" t="str">
        <f>Q25</f>
        <v>毗邻道路的类型与等级</v>
      </c>
      <c r="AA25" s="2040">
        <f t="shared" si="3"/>
        <v>1</v>
      </c>
      <c r="AB25" s="2040">
        <f t="shared" si="4"/>
        <v>1</v>
      </c>
      <c r="AC25" s="2040">
        <f t="shared" si="5"/>
        <v>1</v>
      </c>
    </row>
    <row r="26" spans="1:29" ht="15">
      <c r="A26" s="1638"/>
      <c r="B26" s="2466"/>
      <c r="C26" s="1954"/>
      <c r="D26" s="1682"/>
      <c r="E26" s="1962"/>
      <c r="F26" s="1682"/>
      <c r="G26" s="1954"/>
      <c r="H26" s="1682"/>
      <c r="I26" s="1962"/>
      <c r="J26" s="1682"/>
      <c r="K26" s="2444"/>
      <c r="L26" s="2972"/>
      <c r="M26" s="2968"/>
      <c r="N26" s="2968"/>
      <c r="O26" s="2968"/>
      <c r="P26" s="3568"/>
      <c r="Q26" s="2886"/>
      <c r="R26" s="1696"/>
      <c r="S26" s="1697"/>
      <c r="T26" s="1696"/>
      <c r="U26" s="1697"/>
      <c r="V26" s="1696"/>
      <c r="W26" s="1697"/>
      <c r="X26" s="2045"/>
      <c r="Y26" s="3568"/>
      <c r="Z26" s="2049"/>
      <c r="AA26" s="2040">
        <v>1</v>
      </c>
      <c r="AB26" s="2040">
        <v>1</v>
      </c>
      <c r="AC26" s="2040">
        <v>1</v>
      </c>
    </row>
    <row r="27" spans="1:29" ht="15.75" thickBot="1">
      <c r="A27" s="1673"/>
      <c r="B27" s="2466" t="s">
        <v>2304</v>
      </c>
      <c r="C27" s="1954" t="s">
        <v>2988</v>
      </c>
      <c r="D27" s="1682">
        <v>100</v>
      </c>
      <c r="E27" s="1962" t="s">
        <v>2990</v>
      </c>
      <c r="F27" s="1682">
        <f>SUMIF(89:89,E27,90:90)-SUMIF(89:89,C27,90:90)+100</f>
        <v>95</v>
      </c>
      <c r="G27" s="1954" t="s">
        <v>2990</v>
      </c>
      <c r="H27" s="1682">
        <f>SUMIF(89:89,G27,90:90)-SUMIF(89:89,C27,90:90)+100</f>
        <v>95</v>
      </c>
      <c r="I27" s="1962" t="s">
        <v>2990</v>
      </c>
      <c r="J27" s="1682">
        <f>SUMIF(89:89,I27,90:90)-SUMIF(89:89,C27,90:90)+100</f>
        <v>95</v>
      </c>
      <c r="K27" s="1963">
        <v>5</v>
      </c>
      <c r="L27" s="2972"/>
      <c r="M27" s="2968"/>
      <c r="N27" s="2968"/>
      <c r="O27" s="2968"/>
      <c r="P27" s="3568"/>
      <c r="Q27" s="2886" t="str">
        <f t="shared" ref="Q27:Q47" si="11">B27</f>
        <v>楼层</v>
      </c>
      <c r="R27" s="1696" t="s">
        <v>25</v>
      </c>
      <c r="S27" s="1697">
        <f>F27</f>
        <v>95</v>
      </c>
      <c r="T27" s="1696" t="s">
        <v>25</v>
      </c>
      <c r="U27" s="1697">
        <f>H27</f>
        <v>95</v>
      </c>
      <c r="V27" s="1696" t="s">
        <v>25</v>
      </c>
      <c r="W27" s="1697">
        <f>J27</f>
        <v>95</v>
      </c>
      <c r="X27" s="2045"/>
      <c r="Y27" s="3568"/>
      <c r="Z27" s="2049" t="str">
        <f>Q27</f>
        <v>楼层</v>
      </c>
      <c r="AA27" s="2040">
        <f t="shared" si="3"/>
        <v>1.0526315789473684</v>
      </c>
      <c r="AB27" s="2040">
        <f t="shared" si="4"/>
        <v>1.0526315789473684</v>
      </c>
      <c r="AC27" s="2040">
        <f t="shared" si="5"/>
        <v>1.0526315789473684</v>
      </c>
    </row>
    <row r="28" spans="1:29" s="1655" customFormat="1" ht="15" hidden="1">
      <c r="A28" s="1676"/>
      <c r="B28" s="2465" t="s">
        <v>2332</v>
      </c>
      <c r="C28" s="2469"/>
      <c r="D28" s="1727">
        <v>100</v>
      </c>
      <c r="E28" s="2447"/>
      <c r="F28" s="1727">
        <f>SUMIF(91:91,E28,92:92)-SUMIF(91:91,C28,92:92)+100</f>
        <v>100</v>
      </c>
      <c r="G28" s="2469"/>
      <c r="H28" s="1727">
        <f>SUMIF(91:91,G28,92:92)-SUMIF(91:91,C28,92:92)+100</f>
        <v>100</v>
      </c>
      <c r="I28" s="2447"/>
      <c r="J28" s="1727">
        <f>SUMIF(91:91,I28,92:92)-SUMIF(91:91,C28,92:92)+100</f>
        <v>100</v>
      </c>
      <c r="K28" s="1963"/>
      <c r="L28" s="2967"/>
      <c r="M28" s="2940"/>
      <c r="N28" s="2940"/>
      <c r="O28" s="2940"/>
      <c r="P28" s="3568"/>
      <c r="Q28" s="2885" t="str">
        <f t="shared" si="11"/>
        <v>朝向</v>
      </c>
      <c r="R28" s="1651" t="s">
        <v>25</v>
      </c>
      <c r="S28" s="1652">
        <f>F28</f>
        <v>100</v>
      </c>
      <c r="T28" s="1651" t="s">
        <v>25</v>
      </c>
      <c r="U28" s="1652">
        <f>H28</f>
        <v>100</v>
      </c>
      <c r="V28" s="1651" t="s">
        <v>25</v>
      </c>
      <c r="W28" s="1652">
        <f>J28</f>
        <v>100</v>
      </c>
      <c r="X28" s="1653"/>
      <c r="Y28" s="3568"/>
      <c r="Z28" s="1664" t="str">
        <f>Q28</f>
        <v>朝向</v>
      </c>
      <c r="AA28" s="2040">
        <f>D28/F28</f>
        <v>1</v>
      </c>
      <c r="AB28" s="2040">
        <f>D28/H28</f>
        <v>1</v>
      </c>
      <c r="AC28" s="2040">
        <f>D28/J28</f>
        <v>1</v>
      </c>
    </row>
    <row r="29" spans="1:29" ht="15" hidden="1">
      <c r="A29" s="1673"/>
      <c r="B29" s="2470">
        <v>111</v>
      </c>
      <c r="C29" s="2468"/>
      <c r="D29" s="1682">
        <v>100</v>
      </c>
      <c r="E29" s="1678"/>
      <c r="F29" s="1682">
        <f>SUMIF(93:93,E29,94:94)-SUMIF(93:93,C29,94:94)+100</f>
        <v>100</v>
      </c>
      <c r="G29" s="2461"/>
      <c r="H29" s="1682">
        <f>SUMIF(93:93,G29,94:94)-SUMIF(93:93,C29,94:94)+100</f>
        <v>100</v>
      </c>
      <c r="I29" s="1678"/>
      <c r="J29" s="1682">
        <f>SUMIF(93:93,I29,94:94)-SUMIF(93:93,C29,94:94)+100</f>
        <v>100</v>
      </c>
      <c r="K29" s="1960"/>
      <c r="L29" s="2972"/>
      <c r="M29" s="2968"/>
      <c r="N29" s="2968"/>
      <c r="O29" s="2968"/>
      <c r="P29" s="3568"/>
      <c r="Q29" s="2886">
        <f t="shared" si="11"/>
        <v>111</v>
      </c>
      <c r="R29" s="1696" t="s">
        <v>25</v>
      </c>
      <c r="S29" s="1697">
        <f t="shared" ref="S29:S47" si="12">F29</f>
        <v>100</v>
      </c>
      <c r="T29" s="1696" t="s">
        <v>25</v>
      </c>
      <c r="U29" s="1697">
        <f t="shared" ref="U29:U47" si="13">H29</f>
        <v>100</v>
      </c>
      <c r="V29" s="1696" t="s">
        <v>25</v>
      </c>
      <c r="W29" s="1697">
        <f t="shared" ref="W29:W47" si="14">J29</f>
        <v>100</v>
      </c>
      <c r="X29" s="2045"/>
      <c r="Y29" s="3568"/>
      <c r="Z29" s="2049">
        <f t="shared" ref="Z29:Z47" si="15">Q29</f>
        <v>111</v>
      </c>
      <c r="AA29" s="2040">
        <f t="shared" si="3"/>
        <v>1</v>
      </c>
      <c r="AB29" s="2040">
        <f t="shared" si="4"/>
        <v>1</v>
      </c>
      <c r="AC29" s="2040">
        <f t="shared" si="5"/>
        <v>1</v>
      </c>
    </row>
    <row r="30" spans="1:29" ht="15" hidden="1">
      <c r="A30" s="1673"/>
      <c r="B30" s="2470">
        <v>111</v>
      </c>
      <c r="C30" s="2468"/>
      <c r="D30" s="1682">
        <v>100</v>
      </c>
      <c r="E30" s="1678"/>
      <c r="F30" s="1682">
        <f>SUMIF(95:95,E30,96:96)-SUMIF(95:95,C30,96:96)+100</f>
        <v>100</v>
      </c>
      <c r="G30" s="2461"/>
      <c r="H30" s="1682">
        <f>SUMIF(95:95,G30,96:96)-SUMIF(95:95,C30,96:96)+100</f>
        <v>100</v>
      </c>
      <c r="I30" s="1678"/>
      <c r="J30" s="1682">
        <f>SUMIF(95:95,I30,96:96)-SUMIF(95:95,C30,96:96)+100</f>
        <v>100</v>
      </c>
      <c r="K30" s="1960"/>
      <c r="L30" s="2972"/>
      <c r="M30" s="2968"/>
      <c r="N30" s="2968"/>
      <c r="O30" s="2968"/>
      <c r="P30" s="3568"/>
      <c r="Q30" s="2886">
        <f t="shared" si="11"/>
        <v>111</v>
      </c>
      <c r="R30" s="1696" t="s">
        <v>25</v>
      </c>
      <c r="S30" s="1697">
        <f t="shared" si="12"/>
        <v>100</v>
      </c>
      <c r="T30" s="1696" t="s">
        <v>25</v>
      </c>
      <c r="U30" s="1697">
        <f t="shared" si="13"/>
        <v>100</v>
      </c>
      <c r="V30" s="1696" t="s">
        <v>25</v>
      </c>
      <c r="W30" s="1697">
        <f t="shared" si="14"/>
        <v>100</v>
      </c>
      <c r="X30" s="2045"/>
      <c r="Y30" s="3568"/>
      <c r="Z30" s="2049">
        <f t="shared" si="15"/>
        <v>111</v>
      </c>
      <c r="AA30" s="2040">
        <f t="shared" si="3"/>
        <v>1</v>
      </c>
      <c r="AB30" s="2040">
        <f t="shared" si="4"/>
        <v>1</v>
      </c>
      <c r="AC30" s="2040">
        <f t="shared" si="5"/>
        <v>1</v>
      </c>
    </row>
    <row r="31" spans="1:29" ht="15" hidden="1">
      <c r="A31" s="1673"/>
      <c r="B31" s="2470">
        <v>111</v>
      </c>
      <c r="C31" s="2468"/>
      <c r="D31" s="1682">
        <v>100</v>
      </c>
      <c r="E31" s="1678"/>
      <c r="F31" s="1682">
        <f>SUMIF(97:97,E31,98:98)-SUMIF(97:97,C31,98:98)+100</f>
        <v>100</v>
      </c>
      <c r="G31" s="2461"/>
      <c r="H31" s="1682">
        <f>SUMIF(97:97,G31,98:98)-SUMIF(97:97,C31,98:98)+100</f>
        <v>100</v>
      </c>
      <c r="I31" s="1678"/>
      <c r="J31" s="1682">
        <f>SUMIF(97:97,I31,98:98)-SUMIF(97:97,C31,98:98)+100</f>
        <v>100</v>
      </c>
      <c r="K31" s="1960"/>
      <c r="L31" s="2972"/>
      <c r="M31" s="2968"/>
      <c r="N31" s="2968"/>
      <c r="O31" s="2968"/>
      <c r="P31" s="3568"/>
      <c r="Q31" s="2886">
        <f t="shared" si="11"/>
        <v>111</v>
      </c>
      <c r="R31" s="1696" t="s">
        <v>25</v>
      </c>
      <c r="S31" s="1697">
        <f t="shared" si="12"/>
        <v>100</v>
      </c>
      <c r="T31" s="1696" t="s">
        <v>25</v>
      </c>
      <c r="U31" s="1697">
        <f t="shared" si="13"/>
        <v>100</v>
      </c>
      <c r="V31" s="1696" t="s">
        <v>25</v>
      </c>
      <c r="W31" s="1697">
        <f t="shared" si="14"/>
        <v>100</v>
      </c>
      <c r="X31" s="2045"/>
      <c r="Y31" s="3568"/>
      <c r="Z31" s="2049">
        <f t="shared" si="15"/>
        <v>111</v>
      </c>
      <c r="AA31" s="2040">
        <f t="shared" si="3"/>
        <v>1</v>
      </c>
      <c r="AB31" s="2040">
        <f t="shared" si="4"/>
        <v>1</v>
      </c>
      <c r="AC31" s="2040">
        <f t="shared" si="5"/>
        <v>1</v>
      </c>
    </row>
    <row r="32" spans="1:29" ht="15.75" hidden="1" thickBot="1">
      <c r="A32" s="1683"/>
      <c r="B32" s="2471">
        <v>111</v>
      </c>
      <c r="C32" s="2472"/>
      <c r="D32" s="1686">
        <v>100</v>
      </c>
      <c r="E32" s="2462"/>
      <c r="F32" s="1686">
        <f>SUMIF(99:99,E32,100:100)-SUMIF(99:99,C32,100:100)+100</f>
        <v>100</v>
      </c>
      <c r="G32" s="2461"/>
      <c r="H32" s="1686">
        <f>SUMIF(99:99,G32,100:100)-SUMIF(99:99,C32,100:100)+100</f>
        <v>100</v>
      </c>
      <c r="I32" s="1678"/>
      <c r="J32" s="1686">
        <f>SUMIF(99:99,I32,100:100)-SUMIF(99:99,C32,100:100)+100</f>
        <v>100</v>
      </c>
      <c r="K32" s="1960"/>
      <c r="L32" s="2972"/>
      <c r="M32" s="2968"/>
      <c r="N32" s="2968"/>
      <c r="O32" s="2968"/>
      <c r="P32" s="3568"/>
      <c r="Q32" s="2886">
        <f t="shared" si="11"/>
        <v>111</v>
      </c>
      <c r="R32" s="1696" t="s">
        <v>25</v>
      </c>
      <c r="S32" s="1697">
        <f t="shared" si="12"/>
        <v>100</v>
      </c>
      <c r="T32" s="1696" t="s">
        <v>25</v>
      </c>
      <c r="U32" s="1697">
        <f t="shared" si="13"/>
        <v>100</v>
      </c>
      <c r="V32" s="1696" t="s">
        <v>25</v>
      </c>
      <c r="W32" s="1697">
        <f t="shared" si="14"/>
        <v>100</v>
      </c>
      <c r="X32" s="2045"/>
      <c r="Y32" s="3568"/>
      <c r="Z32" s="2049">
        <f t="shared" si="15"/>
        <v>111</v>
      </c>
      <c r="AA32" s="2040">
        <f t="shared" si="3"/>
        <v>1</v>
      </c>
      <c r="AB32" s="2040">
        <f t="shared" si="4"/>
        <v>1</v>
      </c>
      <c r="AC32" s="2040">
        <f t="shared" si="5"/>
        <v>1</v>
      </c>
    </row>
    <row r="33" spans="1:29" ht="15">
      <c r="A33" s="1688" t="s">
        <v>2217</v>
      </c>
      <c r="B33" s="1658" t="s">
        <v>2333</v>
      </c>
      <c r="C33" s="2473" t="s">
        <v>3015</v>
      </c>
      <c r="D33" s="1733">
        <v>100</v>
      </c>
      <c r="E33" s="2473" t="s">
        <v>3015</v>
      </c>
      <c r="F33" s="1725">
        <f>SUMIF(101:101,E33,102:102)-SUMIF(101:101,C33,102:102)+100</f>
        <v>100</v>
      </c>
      <c r="G33" s="2473" t="s">
        <v>3015</v>
      </c>
      <c r="H33" s="1682">
        <f>SUMIF(101:101,G33,102:102)-SUMIF(101:101,C33,102:102)+100</f>
        <v>100</v>
      </c>
      <c r="I33" s="2473" t="s">
        <v>3015</v>
      </c>
      <c r="J33" s="1733">
        <f>SUMIF(101:101,I33,102:102)-SUMIF(101:101,C33,102:102)+100</f>
        <v>100</v>
      </c>
      <c r="K33" s="1963">
        <v>2</v>
      </c>
      <c r="L33" s="2972"/>
      <c r="M33" s="2968"/>
      <c r="N33" s="2968"/>
      <c r="O33" s="2968"/>
      <c r="P33" s="3555" t="s">
        <v>2219</v>
      </c>
      <c r="Q33" s="2886" t="str">
        <f t="shared" si="11"/>
        <v>建筑类型</v>
      </c>
      <c r="R33" s="1696" t="s">
        <v>25</v>
      </c>
      <c r="S33" s="1697">
        <f t="shared" si="12"/>
        <v>100</v>
      </c>
      <c r="T33" s="1696" t="s">
        <v>25</v>
      </c>
      <c r="U33" s="1697">
        <f t="shared" si="13"/>
        <v>100</v>
      </c>
      <c r="V33" s="1696" t="s">
        <v>25</v>
      </c>
      <c r="W33" s="1697">
        <f t="shared" si="14"/>
        <v>100</v>
      </c>
      <c r="X33" s="2045"/>
      <c r="Y33" s="3556" t="s">
        <v>2219</v>
      </c>
      <c r="Z33" s="2049" t="str">
        <f t="shared" si="15"/>
        <v>建筑类型</v>
      </c>
      <c r="AA33" s="2040">
        <f t="shared" si="3"/>
        <v>1</v>
      </c>
      <c r="AB33" s="2040">
        <f t="shared" si="4"/>
        <v>1</v>
      </c>
      <c r="AC33" s="2040">
        <f t="shared" si="5"/>
        <v>1</v>
      </c>
    </row>
    <row r="34" spans="1:29" s="1742" customFormat="1" ht="15">
      <c r="A34" s="1735"/>
      <c r="B34" s="1666" t="s">
        <v>2220</v>
      </c>
      <c r="C34" s="1736">
        <f>项目基本情况!C12</f>
        <v>240.88</v>
      </c>
      <c r="D34" s="1668">
        <v>100</v>
      </c>
      <c r="E34" s="1675">
        <v>102</v>
      </c>
      <c r="F34" s="1670">
        <f>LOOKUP(E34,104:104,105:105)-LOOKUP(C34,104:104,105:105)+100</f>
        <v>100</v>
      </c>
      <c r="G34" s="1674">
        <v>711</v>
      </c>
      <c r="H34" s="1668">
        <f>LOOKUP(G34,104:104,105:105)-LOOKUP(C34,104:104,105:105)+100</f>
        <v>100</v>
      </c>
      <c r="I34" s="1674">
        <v>240</v>
      </c>
      <c r="J34" s="1668">
        <f>LOOKUP(I34,104:104,105:105)-LOOKUP(C34,104:104,105:105)+100</f>
        <v>100</v>
      </c>
      <c r="K34" s="1960"/>
      <c r="L34" s="2971"/>
      <c r="M34" s="2030"/>
      <c r="N34" s="2030"/>
      <c r="O34" s="2030"/>
      <c r="P34" s="3556"/>
      <c r="Q34" s="1737" t="str">
        <f t="shared" si="11"/>
        <v>项目建筑规模</v>
      </c>
      <c r="R34" s="1738" t="s">
        <v>25</v>
      </c>
      <c r="S34" s="1739">
        <f t="shared" si="12"/>
        <v>100</v>
      </c>
      <c r="T34" s="1738" t="s">
        <v>25</v>
      </c>
      <c r="U34" s="1739">
        <f t="shared" si="13"/>
        <v>100</v>
      </c>
      <c r="V34" s="1738" t="s">
        <v>25</v>
      </c>
      <c r="W34" s="1739">
        <f t="shared" si="14"/>
        <v>100</v>
      </c>
      <c r="X34" s="1740"/>
      <c r="Y34" s="3556"/>
      <c r="Z34" s="1741" t="str">
        <f t="shared" si="15"/>
        <v>项目建筑规模</v>
      </c>
      <c r="AA34" s="2040">
        <f t="shared" si="3"/>
        <v>1</v>
      </c>
      <c r="AB34" s="2040">
        <f t="shared" si="4"/>
        <v>1</v>
      </c>
      <c r="AC34" s="2040">
        <f t="shared" si="5"/>
        <v>1</v>
      </c>
    </row>
    <row r="35" spans="1:29" ht="15">
      <c r="A35" s="1743"/>
      <c r="B35" s="1666" t="s">
        <v>2221</v>
      </c>
      <c r="C35" s="1723" t="s">
        <v>3001</v>
      </c>
      <c r="D35" s="1682">
        <v>100</v>
      </c>
      <c r="E35" s="1723" t="s">
        <v>3001</v>
      </c>
      <c r="F35" s="1725">
        <f>SUMIF(106:106,E35,107:107)-SUMIF(106:106,C35,107:107)+100</f>
        <v>100</v>
      </c>
      <c r="G35" s="1723" t="s">
        <v>3001</v>
      </c>
      <c r="H35" s="1682">
        <f>SUMIF(106:106,G35,107:107)-SUMIF(106:106,C35,107:107)+100</f>
        <v>100</v>
      </c>
      <c r="I35" s="1723" t="s">
        <v>3001</v>
      </c>
      <c r="J35" s="1682">
        <f>SUMIF(106:106,I35,107:107)-SUMIF(106:106,C35,107:107)+100</f>
        <v>100</v>
      </c>
      <c r="K35" s="1963">
        <v>2</v>
      </c>
      <c r="L35" s="2972"/>
      <c r="M35" s="2968"/>
      <c r="N35" s="2968"/>
      <c r="O35" s="2968"/>
      <c r="P35" s="3556"/>
      <c r="Q35" s="2886" t="str">
        <f t="shared" si="11"/>
        <v>建筑结构</v>
      </c>
      <c r="R35" s="1696" t="s">
        <v>25</v>
      </c>
      <c r="S35" s="1697">
        <f t="shared" si="12"/>
        <v>100</v>
      </c>
      <c r="T35" s="1696" t="s">
        <v>25</v>
      </c>
      <c r="U35" s="1697">
        <f t="shared" si="13"/>
        <v>100</v>
      </c>
      <c r="V35" s="1696" t="s">
        <v>25</v>
      </c>
      <c r="W35" s="1697">
        <f t="shared" si="14"/>
        <v>100</v>
      </c>
      <c r="X35" s="2045"/>
      <c r="Y35" s="3556"/>
      <c r="Z35" s="2049" t="str">
        <f t="shared" si="15"/>
        <v>建筑结构</v>
      </c>
      <c r="AA35" s="2040">
        <f t="shared" si="3"/>
        <v>1</v>
      </c>
      <c r="AB35" s="2040">
        <f t="shared" si="4"/>
        <v>1</v>
      </c>
      <c r="AC35" s="2040">
        <f t="shared" si="5"/>
        <v>1</v>
      </c>
    </row>
    <row r="36" spans="1:29" ht="15">
      <c r="A36" s="1743"/>
      <c r="B36" s="1666" t="s">
        <v>2306</v>
      </c>
      <c r="C36" s="1723" t="s">
        <v>2994</v>
      </c>
      <c r="D36" s="1682">
        <v>100</v>
      </c>
      <c r="E36" s="1723" t="s">
        <v>2994</v>
      </c>
      <c r="F36" s="1725">
        <f>SUMIF(108:108,E36,109:109)-SUMIF(108:108,C36,109:109)+100</f>
        <v>100</v>
      </c>
      <c r="G36" s="1723" t="s">
        <v>2994</v>
      </c>
      <c r="H36" s="1682">
        <f>SUMIF(108:108,G36,109:109)-SUMIF(108:108,C36,109:109)+100</f>
        <v>100</v>
      </c>
      <c r="I36" s="1723" t="s">
        <v>2994</v>
      </c>
      <c r="J36" s="1682">
        <f>SUMIF(108:108,I36,109:109)-SUMIF(108:108,C36,109:109)+100</f>
        <v>100</v>
      </c>
      <c r="K36" s="1963">
        <v>2</v>
      </c>
      <c r="L36" s="2972"/>
      <c r="M36" s="2968"/>
      <c r="N36" s="2968"/>
      <c r="O36" s="2968"/>
      <c r="P36" s="3556"/>
      <c r="Q36" s="2886" t="str">
        <f t="shared" si="11"/>
        <v>公共部分装修</v>
      </c>
      <c r="R36" s="1696" t="s">
        <v>25</v>
      </c>
      <c r="S36" s="1697">
        <f t="shared" si="12"/>
        <v>100</v>
      </c>
      <c r="T36" s="1696" t="s">
        <v>25</v>
      </c>
      <c r="U36" s="1697">
        <f t="shared" si="13"/>
        <v>100</v>
      </c>
      <c r="V36" s="1696" t="s">
        <v>25</v>
      </c>
      <c r="W36" s="1697">
        <f t="shared" si="14"/>
        <v>100</v>
      </c>
      <c r="X36" s="2045"/>
      <c r="Y36" s="3556"/>
      <c r="Z36" s="2049" t="str">
        <f t="shared" si="15"/>
        <v>公共部分装修</v>
      </c>
      <c r="AA36" s="2040">
        <f t="shared" si="3"/>
        <v>1</v>
      </c>
      <c r="AB36" s="2040">
        <f t="shared" si="4"/>
        <v>1</v>
      </c>
      <c r="AC36" s="2040">
        <f t="shared" si="5"/>
        <v>1</v>
      </c>
    </row>
    <row r="37" spans="1:29" ht="15">
      <c r="A37" s="1743"/>
      <c r="B37" s="1666" t="s">
        <v>2307</v>
      </c>
      <c r="C37" s="1747">
        <f>'数据-取费表'!E20</f>
        <v>0.9</v>
      </c>
      <c r="D37" s="1682">
        <v>100</v>
      </c>
      <c r="E37" s="1747">
        <f>C37</f>
        <v>0.9</v>
      </c>
      <c r="F37" s="1725">
        <f>LOOKUP(E37,111:111,112:112)-LOOKUP(C37,111:111,112:112)+100</f>
        <v>100</v>
      </c>
      <c r="G37" s="1747">
        <f>C37</f>
        <v>0.9</v>
      </c>
      <c r="H37" s="1725">
        <f>LOOKUP(G37,111:111,112:112)-LOOKUP(C37,111:111,112:112)+100</f>
        <v>100</v>
      </c>
      <c r="I37" s="1747">
        <f>C37</f>
        <v>0.9</v>
      </c>
      <c r="J37" s="1682">
        <f>LOOKUP(I37,111:111,112:112)-LOOKUP(C37,111:111,112:112)+100</f>
        <v>100</v>
      </c>
      <c r="K37" s="1963">
        <v>2</v>
      </c>
      <c r="L37" s="2972"/>
      <c r="M37" s="2968"/>
      <c r="N37" s="2968"/>
      <c r="O37" s="2968"/>
      <c r="P37" s="3556"/>
      <c r="Q37" s="2886" t="str">
        <f t="shared" si="11"/>
        <v>成新度</v>
      </c>
      <c r="R37" s="1696" t="s">
        <v>25</v>
      </c>
      <c r="S37" s="1697">
        <f t="shared" si="12"/>
        <v>100</v>
      </c>
      <c r="T37" s="1696" t="s">
        <v>25</v>
      </c>
      <c r="U37" s="1697">
        <f t="shared" si="13"/>
        <v>100</v>
      </c>
      <c r="V37" s="1696" t="s">
        <v>25</v>
      </c>
      <c r="W37" s="1697">
        <f t="shared" si="14"/>
        <v>100</v>
      </c>
      <c r="X37" s="2045"/>
      <c r="Y37" s="3556"/>
      <c r="Z37" s="2049" t="str">
        <f t="shared" si="15"/>
        <v>成新度</v>
      </c>
      <c r="AA37" s="2040">
        <f t="shared" si="3"/>
        <v>1</v>
      </c>
      <c r="AB37" s="2040">
        <f t="shared" si="4"/>
        <v>1</v>
      </c>
      <c r="AC37" s="2040">
        <f t="shared" si="5"/>
        <v>1</v>
      </c>
    </row>
    <row r="38" spans="1:29" s="1655" customFormat="1" ht="15">
      <c r="A38" s="1746"/>
      <c r="B38" s="1666" t="s">
        <v>2334</v>
      </c>
      <c r="C38" s="1723" t="s">
        <v>3017</v>
      </c>
      <c r="D38" s="1668">
        <v>100</v>
      </c>
      <c r="E38" s="1723" t="s">
        <v>3017</v>
      </c>
      <c r="F38" s="1725">
        <f>SUMIF(113:113,E38,114:114)-SUMIF(113:113,C38,114:114)+100</f>
        <v>100</v>
      </c>
      <c r="G38" s="1723" t="s">
        <v>3017</v>
      </c>
      <c r="H38" s="1682">
        <f>SUMIF(113:113,G38,114:114)-SUMIF(113:113,C38,114:114)+100</f>
        <v>100</v>
      </c>
      <c r="I38" s="1723" t="s">
        <v>3017</v>
      </c>
      <c r="J38" s="1682">
        <f>SUMIF(113:113,I38,114:114)-SUMIF(113:113,C38,114:114)+100</f>
        <v>100</v>
      </c>
      <c r="K38" s="1963">
        <v>2</v>
      </c>
      <c r="L38" s="2967"/>
      <c r="M38" s="2940"/>
      <c r="N38" s="2940"/>
      <c r="O38" s="2940"/>
      <c r="P38" s="3556"/>
      <c r="Q38" s="2885" t="str">
        <f t="shared" si="11"/>
        <v>写字楼等级</v>
      </c>
      <c r="R38" s="1651" t="s">
        <v>25</v>
      </c>
      <c r="S38" s="1652">
        <f t="shared" si="12"/>
        <v>100</v>
      </c>
      <c r="T38" s="1651" t="s">
        <v>25</v>
      </c>
      <c r="U38" s="1652">
        <f t="shared" si="13"/>
        <v>100</v>
      </c>
      <c r="V38" s="1651" t="s">
        <v>25</v>
      </c>
      <c r="W38" s="1652">
        <f t="shared" si="14"/>
        <v>100</v>
      </c>
      <c r="X38" s="1653"/>
      <c r="Y38" s="3556"/>
      <c r="Z38" s="1664" t="str">
        <f t="shared" si="15"/>
        <v>写字楼等级</v>
      </c>
      <c r="AA38" s="1654">
        <f t="shared" si="3"/>
        <v>1</v>
      </c>
      <c r="AB38" s="1654">
        <f t="shared" si="4"/>
        <v>1</v>
      </c>
      <c r="AC38" s="1654">
        <f t="shared" si="5"/>
        <v>1</v>
      </c>
    </row>
    <row r="39" spans="1:29" ht="15">
      <c r="A39" s="1743"/>
      <c r="B39" s="1666" t="s">
        <v>2335</v>
      </c>
      <c r="C39" s="1723" t="s">
        <v>3019</v>
      </c>
      <c r="D39" s="1682">
        <v>100</v>
      </c>
      <c r="E39" s="1723" t="s">
        <v>3019</v>
      </c>
      <c r="F39" s="1725">
        <f>SUMIF(115:115,E39,116:116)-SUMIF(115:115,C39,116:116)+100</f>
        <v>100</v>
      </c>
      <c r="G39" s="1723" t="s">
        <v>3019</v>
      </c>
      <c r="H39" s="1682">
        <f>SUMIF(115:115,G39,116:116)-SUMIF(115:115,C39,116:116)+100</f>
        <v>100</v>
      </c>
      <c r="I39" s="1723" t="s">
        <v>3019</v>
      </c>
      <c r="J39" s="1682">
        <f>SUMIF(115:115,I39,116:116)-SUMIF(115:115,C39,116:116)+100</f>
        <v>100</v>
      </c>
      <c r="K39" s="1963">
        <v>2</v>
      </c>
      <c r="L39" s="2972"/>
      <c r="M39" s="2968"/>
      <c r="N39" s="2968"/>
      <c r="O39" s="2968"/>
      <c r="P39" s="3556" t="s">
        <v>2219</v>
      </c>
      <c r="Q39" s="2886" t="str">
        <f t="shared" si="11"/>
        <v>物业管理</v>
      </c>
      <c r="R39" s="1696" t="s">
        <v>25</v>
      </c>
      <c r="S39" s="1697">
        <f t="shared" si="12"/>
        <v>100</v>
      </c>
      <c r="T39" s="1696" t="s">
        <v>25</v>
      </c>
      <c r="U39" s="1697">
        <f t="shared" si="13"/>
        <v>100</v>
      </c>
      <c r="V39" s="1696" t="s">
        <v>25</v>
      </c>
      <c r="W39" s="1697">
        <f t="shared" si="14"/>
        <v>100</v>
      </c>
      <c r="X39" s="2045"/>
      <c r="Y39" s="3556" t="s">
        <v>2219</v>
      </c>
      <c r="Z39" s="2049" t="str">
        <f t="shared" si="15"/>
        <v>物业管理</v>
      </c>
      <c r="AA39" s="2040">
        <f t="shared" si="3"/>
        <v>1</v>
      </c>
      <c r="AB39" s="2040">
        <f t="shared" si="4"/>
        <v>1</v>
      </c>
      <c r="AC39" s="2040">
        <f t="shared" si="5"/>
        <v>1</v>
      </c>
    </row>
    <row r="40" spans="1:29" ht="15">
      <c r="A40" s="1743"/>
      <c r="B40" s="1666" t="s">
        <v>2308</v>
      </c>
      <c r="C40" s="1723" t="s">
        <v>3023</v>
      </c>
      <c r="D40" s="1682">
        <v>100</v>
      </c>
      <c r="E40" s="1723" t="s">
        <v>3023</v>
      </c>
      <c r="F40" s="1725">
        <f>SUMIF(117:117,E40,118:118)-SUMIF(117:117,C40,118:118)+100</f>
        <v>100</v>
      </c>
      <c r="G40" s="1723" t="s">
        <v>3023</v>
      </c>
      <c r="H40" s="1682">
        <f>SUMIF(117:117,G40,118:118)-SUMIF(117:117,C40,118:118)+100</f>
        <v>100</v>
      </c>
      <c r="I40" s="1723" t="s">
        <v>3023</v>
      </c>
      <c r="J40" s="1682">
        <f>SUMIF(117:117,I40,118:118)-SUMIF(117:117,C40,118:118)+100</f>
        <v>100</v>
      </c>
      <c r="K40" s="1963">
        <v>2</v>
      </c>
      <c r="L40" s="2972"/>
      <c r="M40" s="2968"/>
      <c r="N40" s="2968"/>
      <c r="O40" s="2968"/>
      <c r="P40" s="3556"/>
      <c r="Q40" s="2886" t="str">
        <f t="shared" si="11"/>
        <v>市政基础设施</v>
      </c>
      <c r="R40" s="1696" t="s">
        <v>25</v>
      </c>
      <c r="S40" s="1697">
        <f t="shared" si="12"/>
        <v>100</v>
      </c>
      <c r="T40" s="1696" t="s">
        <v>25</v>
      </c>
      <c r="U40" s="1697">
        <f t="shared" si="13"/>
        <v>100</v>
      </c>
      <c r="V40" s="1696" t="s">
        <v>25</v>
      </c>
      <c r="W40" s="1697">
        <f t="shared" si="14"/>
        <v>100</v>
      </c>
      <c r="X40" s="2045"/>
      <c r="Y40" s="3556"/>
      <c r="Z40" s="2049" t="str">
        <f t="shared" si="15"/>
        <v>市政基础设施</v>
      </c>
      <c r="AA40" s="2040">
        <f t="shared" si="3"/>
        <v>1</v>
      </c>
      <c r="AB40" s="2040">
        <f t="shared" si="4"/>
        <v>1</v>
      </c>
      <c r="AC40" s="2040">
        <f t="shared" si="5"/>
        <v>1</v>
      </c>
    </row>
    <row r="41" spans="1:29" ht="15">
      <c r="A41" s="1743"/>
      <c r="B41" s="1666" t="s">
        <v>2310</v>
      </c>
      <c r="C41" s="1962" t="s">
        <v>3026</v>
      </c>
      <c r="D41" s="1682">
        <v>100</v>
      </c>
      <c r="E41" s="1962" t="s">
        <v>3026</v>
      </c>
      <c r="F41" s="1725">
        <f>SUMIF(119:119,E41,120:120)-SUMIF(119:119,C41,120:120)+100</f>
        <v>100</v>
      </c>
      <c r="G41" s="1962" t="s">
        <v>3026</v>
      </c>
      <c r="H41" s="1682">
        <f>SUMIF(119:119,G41,120:120)-SUMIF(119:119,C41,120:120)+100</f>
        <v>100</v>
      </c>
      <c r="I41" s="1962" t="s">
        <v>3026</v>
      </c>
      <c r="J41" s="1682">
        <f>SUMIF(119:119,I41,120:120)-SUMIF(119:119,C41,120:120)+100</f>
        <v>100</v>
      </c>
      <c r="K41" s="1963">
        <v>2</v>
      </c>
      <c r="L41" s="2972"/>
      <c r="M41" s="2968"/>
      <c r="N41" s="2968"/>
      <c r="O41" s="2968"/>
      <c r="P41" s="3556"/>
      <c r="Q41" s="2886" t="str">
        <f t="shared" si="11"/>
        <v>层高</v>
      </c>
      <c r="R41" s="1696" t="s">
        <v>25</v>
      </c>
      <c r="S41" s="1697">
        <f t="shared" si="12"/>
        <v>100</v>
      </c>
      <c r="T41" s="1696" t="s">
        <v>25</v>
      </c>
      <c r="U41" s="1697">
        <f t="shared" si="13"/>
        <v>100</v>
      </c>
      <c r="V41" s="1696" t="s">
        <v>25</v>
      </c>
      <c r="W41" s="1697">
        <f t="shared" si="14"/>
        <v>100</v>
      </c>
      <c r="X41" s="2045"/>
      <c r="Y41" s="3556"/>
      <c r="Z41" s="2049" t="str">
        <f t="shared" si="15"/>
        <v>层高</v>
      </c>
      <c r="AA41" s="2040">
        <f t="shared" si="3"/>
        <v>1</v>
      </c>
      <c r="AB41" s="2040">
        <f t="shared" si="4"/>
        <v>1</v>
      </c>
      <c r="AC41" s="2040">
        <f t="shared" si="5"/>
        <v>1</v>
      </c>
    </row>
    <row r="42" spans="1:29" s="1742" customFormat="1" ht="15">
      <c r="A42" s="1735"/>
      <c r="B42" s="2041" t="s">
        <v>2336</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60"/>
      <c r="L42" s="2971"/>
      <c r="M42" s="2030"/>
      <c r="N42" s="2030"/>
      <c r="O42" s="2030"/>
      <c r="P42" s="3556"/>
      <c r="Q42" s="1737" t="str">
        <f t="shared" si="11"/>
        <v>单套建筑面积</v>
      </c>
      <c r="R42" s="1738" t="s">
        <v>25</v>
      </c>
      <c r="S42" s="1739">
        <f t="shared" si="12"/>
        <v>100</v>
      </c>
      <c r="T42" s="1738" t="s">
        <v>25</v>
      </c>
      <c r="U42" s="1739">
        <f t="shared" si="13"/>
        <v>100</v>
      </c>
      <c r="V42" s="1738" t="s">
        <v>25</v>
      </c>
      <c r="W42" s="1739">
        <f t="shared" si="14"/>
        <v>100</v>
      </c>
      <c r="X42" s="1740"/>
      <c r="Y42" s="3556"/>
      <c r="Z42" s="1741" t="str">
        <f t="shared" si="15"/>
        <v>单套建筑面积</v>
      </c>
      <c r="AA42" s="2040">
        <f t="shared" si="3"/>
        <v>1</v>
      </c>
      <c r="AB42" s="2040">
        <f t="shared" si="4"/>
        <v>1</v>
      </c>
      <c r="AC42" s="2040">
        <f t="shared" si="5"/>
        <v>1</v>
      </c>
    </row>
    <row r="43" spans="1:29" ht="15">
      <c r="A43" s="1743"/>
      <c r="B43" s="1666" t="s">
        <v>2313</v>
      </c>
      <c r="C43" s="1723" t="s">
        <v>2996</v>
      </c>
      <c r="D43" s="1682">
        <v>100</v>
      </c>
      <c r="E43" s="1723" t="s">
        <v>3028</v>
      </c>
      <c r="F43" s="1725">
        <f>SUMIF(123:123,E43,124:124)-SUMIF(123:123,C43,124:124)+100</f>
        <v>98</v>
      </c>
      <c r="G43" s="1723" t="s">
        <v>3028</v>
      </c>
      <c r="H43" s="1682">
        <f>SUMIF(123:123,G43,124:124)-SUMIF(123:123,C43,124:124)+100</f>
        <v>98</v>
      </c>
      <c r="I43" s="1723" t="s">
        <v>3028</v>
      </c>
      <c r="J43" s="1682">
        <f>SUMIF(123:123,I43,124:124)-SUMIF(123:123,C43,124:124)+100</f>
        <v>98</v>
      </c>
      <c r="K43" s="1963">
        <v>2</v>
      </c>
      <c r="L43" s="2972"/>
      <c r="M43" s="2968"/>
      <c r="N43" s="2968"/>
      <c r="O43" s="2968"/>
      <c r="P43" s="3556"/>
      <c r="Q43" s="2886" t="str">
        <f t="shared" si="11"/>
        <v>内部装修</v>
      </c>
      <c r="R43" s="1696" t="s">
        <v>25</v>
      </c>
      <c r="S43" s="1697">
        <f t="shared" si="12"/>
        <v>98</v>
      </c>
      <c r="T43" s="1696" t="s">
        <v>25</v>
      </c>
      <c r="U43" s="1697">
        <f t="shared" si="13"/>
        <v>98</v>
      </c>
      <c r="V43" s="1696" t="s">
        <v>25</v>
      </c>
      <c r="W43" s="1697">
        <f t="shared" si="14"/>
        <v>98</v>
      </c>
      <c r="X43" s="2045"/>
      <c r="Y43" s="3556"/>
      <c r="Z43" s="2049" t="str">
        <f t="shared" si="15"/>
        <v>内部装修</v>
      </c>
      <c r="AA43" s="2040">
        <f t="shared" si="3"/>
        <v>1.0204081632653061</v>
      </c>
      <c r="AB43" s="2040">
        <f t="shared" si="4"/>
        <v>1.0204081632653061</v>
      </c>
      <c r="AC43" s="2040">
        <f t="shared" si="5"/>
        <v>1.0204081632653061</v>
      </c>
    </row>
    <row r="44" spans="1:29" ht="15">
      <c r="A44" s="1743"/>
      <c r="B44" s="1666" t="s">
        <v>2230</v>
      </c>
      <c r="C44" s="1723"/>
      <c r="D44" s="1682">
        <v>100</v>
      </c>
      <c r="E44" s="1726"/>
      <c r="F44" s="1725">
        <f>SUMIF(125:125,E44,126:126)-SUMIF(125:125,C44,126:126)+100</f>
        <v>100</v>
      </c>
      <c r="G44" s="1726"/>
      <c r="H44" s="1682">
        <f>SUMIF(125:125,G44,126:126)-SUMIF(125:125,C44,126:126)+100</f>
        <v>100</v>
      </c>
      <c r="I44" s="1726"/>
      <c r="J44" s="1682">
        <f>SUMIF(125:125,I44,126:126)-SUMIF(125:125,C44,126:126)+100</f>
        <v>100</v>
      </c>
      <c r="K44" s="1963"/>
      <c r="L44" s="2972"/>
      <c r="M44" s="2968"/>
      <c r="N44" s="2968"/>
      <c r="O44" s="2968"/>
      <c r="P44" s="3556"/>
      <c r="Q44" s="2886" t="str">
        <f t="shared" si="11"/>
        <v>内部装修维护情况</v>
      </c>
      <c r="R44" s="1696" t="s">
        <v>25</v>
      </c>
      <c r="S44" s="1697">
        <f t="shared" si="12"/>
        <v>100</v>
      </c>
      <c r="T44" s="1696" t="s">
        <v>25</v>
      </c>
      <c r="U44" s="1697">
        <f t="shared" si="13"/>
        <v>100</v>
      </c>
      <c r="V44" s="1696" t="s">
        <v>25</v>
      </c>
      <c r="W44" s="1697">
        <f t="shared" si="14"/>
        <v>100</v>
      </c>
      <c r="X44" s="2045"/>
      <c r="Y44" s="3556"/>
      <c r="Z44" s="2049" t="str">
        <f t="shared" si="15"/>
        <v>内部装修维护情况</v>
      </c>
      <c r="AA44" s="2040">
        <f t="shared" si="3"/>
        <v>1</v>
      </c>
      <c r="AB44" s="2040">
        <f t="shared" si="4"/>
        <v>1</v>
      </c>
      <c r="AC44" s="2040">
        <f t="shared" si="5"/>
        <v>1</v>
      </c>
    </row>
    <row r="45" spans="1:29" s="1655" customFormat="1" ht="15">
      <c r="A45" s="1746"/>
      <c r="B45" s="1731">
        <v>111</v>
      </c>
      <c r="C45" s="1736"/>
      <c r="D45" s="1668">
        <v>100</v>
      </c>
      <c r="E45" s="1678"/>
      <c r="F45" s="1670">
        <f>SUMIF(127:127,E45,128:128)-SUMIF(127:127,C45,128:128)+100</f>
        <v>100</v>
      </c>
      <c r="G45" s="1678"/>
      <c r="H45" s="1668">
        <f>SUMIF(127:127,G45,128:128)-SUMIF(127:127,C45,128:128)+100</f>
        <v>100</v>
      </c>
      <c r="I45" s="1678"/>
      <c r="J45" s="1668">
        <f>SUMIF(127:127,I45,128:128)-SUMIF(127:127,C45,128:128)+100</f>
        <v>100</v>
      </c>
      <c r="K45" s="1960"/>
      <c r="L45" s="2967"/>
      <c r="M45" s="2940"/>
      <c r="N45" s="2940"/>
      <c r="O45" s="2940"/>
      <c r="P45" s="3556"/>
      <c r="Q45" s="2885">
        <f t="shared" si="11"/>
        <v>111</v>
      </c>
      <c r="R45" s="1651" t="s">
        <v>25</v>
      </c>
      <c r="S45" s="1652">
        <f t="shared" si="12"/>
        <v>100</v>
      </c>
      <c r="T45" s="1651" t="s">
        <v>25</v>
      </c>
      <c r="U45" s="1652">
        <f t="shared" si="13"/>
        <v>100</v>
      </c>
      <c r="V45" s="1651" t="s">
        <v>25</v>
      </c>
      <c r="W45" s="1652">
        <f t="shared" si="14"/>
        <v>100</v>
      </c>
      <c r="X45" s="1653"/>
      <c r="Y45" s="3556"/>
      <c r="Z45" s="1664">
        <f t="shared" si="15"/>
        <v>111</v>
      </c>
      <c r="AA45" s="1654">
        <f t="shared" si="3"/>
        <v>1</v>
      </c>
      <c r="AB45" s="1654">
        <f t="shared" si="4"/>
        <v>1</v>
      </c>
      <c r="AC45" s="1654">
        <f t="shared" si="5"/>
        <v>1</v>
      </c>
    </row>
    <row r="46" spans="1:29" ht="15">
      <c r="A46" s="1743"/>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60"/>
      <c r="L46" s="2972"/>
      <c r="M46" s="2968"/>
      <c r="N46" s="2968"/>
      <c r="O46" s="2968"/>
      <c r="P46" s="3556"/>
      <c r="Q46" s="2886">
        <f t="shared" si="11"/>
        <v>111</v>
      </c>
      <c r="R46" s="1696" t="s">
        <v>25</v>
      </c>
      <c r="S46" s="1697">
        <f t="shared" si="12"/>
        <v>100</v>
      </c>
      <c r="T46" s="1696" t="s">
        <v>25</v>
      </c>
      <c r="U46" s="1697">
        <f t="shared" si="13"/>
        <v>100</v>
      </c>
      <c r="V46" s="1696" t="s">
        <v>25</v>
      </c>
      <c r="W46" s="1697">
        <f t="shared" si="14"/>
        <v>100</v>
      </c>
      <c r="X46" s="2045"/>
      <c r="Y46" s="3556"/>
      <c r="Z46" s="2049">
        <f t="shared" si="15"/>
        <v>111</v>
      </c>
      <c r="AA46" s="2040">
        <f t="shared" si="3"/>
        <v>1</v>
      </c>
      <c r="AB46" s="2040">
        <f t="shared" si="4"/>
        <v>1</v>
      </c>
      <c r="AC46" s="2040">
        <f t="shared" si="5"/>
        <v>1</v>
      </c>
    </row>
    <row r="47" spans="1:29" ht="15.75" thickBot="1">
      <c r="A47" s="1751"/>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60"/>
      <c r="L47" s="2972"/>
      <c r="M47" s="2968"/>
      <c r="N47" s="2968"/>
      <c r="O47" s="2968"/>
      <c r="P47" s="3557"/>
      <c r="Q47" s="2886">
        <f t="shared" si="11"/>
        <v>111</v>
      </c>
      <c r="R47" s="1696" t="s">
        <v>25</v>
      </c>
      <c r="S47" s="1697">
        <f t="shared" si="12"/>
        <v>100</v>
      </c>
      <c r="T47" s="1696" t="s">
        <v>25</v>
      </c>
      <c r="U47" s="1697">
        <f t="shared" si="13"/>
        <v>100</v>
      </c>
      <c r="V47" s="1696" t="s">
        <v>25</v>
      </c>
      <c r="W47" s="1697">
        <f t="shared" si="14"/>
        <v>100</v>
      </c>
      <c r="X47" s="2045"/>
      <c r="Y47" s="3557"/>
      <c r="Z47" s="2049">
        <f t="shared" si="15"/>
        <v>111</v>
      </c>
      <c r="AA47" s="2040">
        <f t="shared" si="3"/>
        <v>1</v>
      </c>
      <c r="AB47" s="2040">
        <f t="shared" si="4"/>
        <v>1</v>
      </c>
      <c r="AC47" s="2040">
        <f t="shared" si="5"/>
        <v>1</v>
      </c>
    </row>
    <row r="48" spans="1:29" ht="15">
      <c r="A48" s="1752" t="s">
        <v>2231</v>
      </c>
      <c r="B48" s="1753"/>
      <c r="C48" s="1754" t="s">
        <v>1</v>
      </c>
      <c r="D48" s="1755"/>
      <c r="E48" s="1756">
        <v>40000</v>
      </c>
      <c r="F48" s="1757"/>
      <c r="G48" s="1758">
        <v>40562</v>
      </c>
      <c r="H48" s="1759"/>
      <c r="I48" s="1756">
        <v>45000</v>
      </c>
      <c r="J48" s="1759"/>
      <c r="K48" s="1984"/>
      <c r="L48" s="2973"/>
      <c r="M48" s="2968"/>
      <c r="N48" s="2968"/>
      <c r="O48" s="2968"/>
      <c r="P48" s="3550" t="str">
        <f>A48</f>
        <v>成交单价（元/平方米）</v>
      </c>
      <c r="Q48" s="3550"/>
      <c r="R48" s="3551">
        <f>E48</f>
        <v>40000</v>
      </c>
      <c r="S48" s="3551"/>
      <c r="T48" s="3551">
        <f>G48</f>
        <v>40562</v>
      </c>
      <c r="U48" s="3551"/>
      <c r="V48" s="3551">
        <f>I48</f>
        <v>45000</v>
      </c>
      <c r="W48" s="3551"/>
      <c r="X48" s="1762"/>
      <c r="Y48" s="2044"/>
      <c r="Z48" s="1762"/>
      <c r="AA48" s="1762"/>
      <c r="AB48" s="1762"/>
      <c r="AC48" s="1762"/>
    </row>
    <row r="49" spans="1:29" ht="15.75" thickBot="1">
      <c r="A49" s="1764" t="s">
        <v>2314</v>
      </c>
      <c r="B49" s="1765"/>
      <c r="C49" s="1766">
        <f>R50</f>
        <v>44956</v>
      </c>
      <c r="D49" s="1767" t="s">
        <v>2687</v>
      </c>
      <c r="E49" s="1768">
        <f>R49</f>
        <v>42965</v>
      </c>
      <c r="F49" s="1769"/>
      <c r="G49" s="1766">
        <f>T49</f>
        <v>43568</v>
      </c>
      <c r="H49" s="1769"/>
      <c r="I49" s="1768">
        <f>V49</f>
        <v>48335</v>
      </c>
      <c r="J49" s="1769"/>
      <c r="K49" s="2481">
        <f>F49+H49+J49</f>
        <v>0</v>
      </c>
      <c r="L49" s="2973"/>
      <c r="M49" s="2968"/>
      <c r="N49" s="2968"/>
      <c r="O49" s="2968"/>
      <c r="P49" s="3550" t="str">
        <f>A49</f>
        <v>比较价值（元/平方米）</v>
      </c>
      <c r="Q49" s="3550"/>
      <c r="R49" s="3551">
        <f>IF(E1="售价",ROUND(PRODUCT(R48,AA7:AA47),0),ROUND(PRODUCT(R48,AA7:AA47),1))</f>
        <v>42965</v>
      </c>
      <c r="S49" s="3551"/>
      <c r="T49" s="3551">
        <f>IF(E1="售价",ROUND(PRODUCT(T48,AB7:AB47),0),ROUND(PRODUCT(T48,AB7:AB47),1))</f>
        <v>43568</v>
      </c>
      <c r="U49" s="3551"/>
      <c r="V49" s="3551">
        <f>IF(E1="售价",ROUND(PRODUCT(V48,AC7:AC47),0),ROUND(PRODUCT(V48,AC7:AC47),1))</f>
        <v>48335</v>
      </c>
      <c r="W49" s="3551"/>
      <c r="X49" s="1762"/>
      <c r="Y49" s="1762"/>
      <c r="Z49" s="1762"/>
      <c r="AA49" s="1762"/>
      <c r="AB49" s="1762"/>
      <c r="AC49" s="1762"/>
    </row>
    <row r="50" spans="1:29" ht="15.75" thickBot="1">
      <c r="A50" s="1770" t="s">
        <v>2337</v>
      </c>
      <c r="B50" s="1771"/>
      <c r="C50" s="1773">
        <f>R50</f>
        <v>44956</v>
      </c>
      <c r="D50" s="1773"/>
      <c r="E50" s="1773"/>
      <c r="F50" s="1773"/>
      <c r="G50" s="1773"/>
      <c r="H50" s="1773"/>
      <c r="I50" s="1773"/>
      <c r="J50" s="1773"/>
      <c r="K50" s="1989"/>
      <c r="L50" s="2973"/>
      <c r="M50" s="2968"/>
      <c r="N50" s="2968"/>
      <c r="O50" s="2968"/>
      <c r="P50" s="3552" t="str">
        <f>A50</f>
        <v>估价对象XX用房的比较价值（楼面单价，元/平方米）</v>
      </c>
      <c r="Q50" s="3553"/>
      <c r="R50" s="3554">
        <f>IF(E1="售价",ROUND(IF(D49="简单平均",AVERAGE(R49:V49),R49*F49+T49*H49+V49*J49),0),ROUND(IF(D49="简单平均",AVERAGE(R49:V49),R49*F49+T49*H49+V49*J49),1))</f>
        <v>44956</v>
      </c>
      <c r="S50" s="3554"/>
      <c r="T50" s="3554"/>
      <c r="U50" s="3554"/>
      <c r="V50" s="3554"/>
      <c r="W50" s="3554"/>
      <c r="X50" s="1762"/>
      <c r="Y50" s="1762"/>
      <c r="Z50" s="1762"/>
      <c r="AA50" s="1762"/>
      <c r="AB50" s="1762"/>
      <c r="AC50" s="1762"/>
    </row>
    <row r="51" spans="1:29">
      <c r="G51" s="2977"/>
      <c r="I51" s="3320" t="s">
        <v>3008</v>
      </c>
    </row>
    <row r="53" spans="1:29" ht="13.5" customHeight="1">
      <c r="C53" s="383" t="s">
        <v>2316</v>
      </c>
      <c r="D53" s="1778"/>
      <c r="E53" s="1779">
        <f>IF(E48&lt;E49,E49/E48-1,E48/E49-1)</f>
        <v>7.4124999999999996E-2</v>
      </c>
      <c r="F53" s="1780" t="str">
        <f>IF(OR(E53&gt;=0.3,E53&lt;=-0.3),"超过30%","")</f>
        <v/>
      </c>
      <c r="G53" s="1779">
        <f>IF(G48&lt;G49,G49/G48-1,G48/G49-1)</f>
        <v>7.4108771756816738E-2</v>
      </c>
      <c r="H53" s="1780" t="str">
        <f>IF(OR(G53&gt;=0.3,G53&lt;=-0.3),"超过30%","")</f>
        <v/>
      </c>
      <c r="I53" s="1779">
        <f>IF(I48&lt;I49,I49/I48-1,I48/I49-1)</f>
        <v>7.4111111111111017E-2</v>
      </c>
      <c r="J53" s="1780" t="str">
        <f>IF(OR(I53&gt;=0.3,I53&lt;=-0.3),"超过30%","")</f>
        <v/>
      </c>
    </row>
    <row r="54" spans="1:29" ht="13.5" customHeight="1">
      <c r="C54" s="383" t="s">
        <v>2317</v>
      </c>
      <c r="D54" s="1781"/>
      <c r="E54" s="1779">
        <f>IF(E49&lt;G49,G49/E49-1,E49/G49-1)</f>
        <v>1.403467939020131E-2</v>
      </c>
      <c r="F54" s="1780" t="str">
        <f>IF(OR(E54&gt;=0.2,E54&lt;=-0.2),"超过20%","")</f>
        <v/>
      </c>
      <c r="G54" s="1779">
        <f>IF(G49&lt;I49,I49/G49-1,G49/I49-1)</f>
        <v>0.10941516709511578</v>
      </c>
      <c r="H54" s="1780" t="str">
        <f>IF(OR(G54&gt;=0.2,G54&lt;=-0.2),"超过20%","")</f>
        <v/>
      </c>
      <c r="I54" s="1779">
        <f>IF(I49&lt;E49,E49/I49-1,I49/E49-1)</f>
        <v>0.12498545327592225</v>
      </c>
      <c r="J54" s="1780" t="str">
        <f>IF(OR(I54&gt;=0.2,I54&lt;=-0.2),"超过20%","")</f>
        <v/>
      </c>
    </row>
    <row r="55" spans="1:29" s="1784" customFormat="1" ht="13.5" customHeight="1">
      <c r="C55" s="383" t="s">
        <v>2318</v>
      </c>
      <c r="D55" s="1781"/>
      <c r="E55" s="1779">
        <f>IF(E48&lt;G48,G48/E48-1,E48/G48-1)</f>
        <v>1.4049999999999896E-2</v>
      </c>
      <c r="F55" s="1780" t="str">
        <f>IF(OR(E55&gt;=0.3,E55&lt;=-0.3),"超过30%","")</f>
        <v/>
      </c>
      <c r="G55" s="1779">
        <f>IF(G48&lt;I48,I48/G48-1,G48/I48-1)</f>
        <v>0.1094127508505498</v>
      </c>
      <c r="H55" s="1780" t="str">
        <f>IF(OR(G55&gt;=0.3,G55&lt;=-0.3),"超过30%","")</f>
        <v/>
      </c>
      <c r="I55" s="1779">
        <f>IF(I48&lt;E48,E48/I48-1,I48/E48-1)</f>
        <v>0.125</v>
      </c>
      <c r="J55" s="1780" t="str">
        <f>IF(OR(I55&gt;=0.3,I55&lt;=-0.3),"超过30%","")</f>
        <v/>
      </c>
      <c r="K55" s="2980"/>
      <c r="L55" s="2974"/>
    </row>
    <row r="56" spans="1:29" s="1784" customFormat="1">
      <c r="B56" s="2978"/>
      <c r="C56" s="2979"/>
      <c r="K56" s="2980"/>
      <c r="L56" s="2974"/>
    </row>
    <row r="57" spans="1:29">
      <c r="B57" s="2978"/>
      <c r="C57" s="2979"/>
    </row>
    <row r="58" spans="1:29" ht="21.75" thickBot="1">
      <c r="A58" s="1787" t="s">
        <v>2319</v>
      </c>
      <c r="B58" s="1762"/>
      <c r="C58" s="1788"/>
      <c r="D58" s="1788"/>
      <c r="E58" s="1788"/>
      <c r="F58" s="1788"/>
      <c r="G58" s="1788"/>
      <c r="H58" s="1788"/>
      <c r="I58" s="1788"/>
      <c r="J58" s="1788"/>
      <c r="K58" s="1789"/>
      <c r="L58" s="1790"/>
      <c r="M58" s="1788"/>
      <c r="N58" s="2976"/>
      <c r="O58" s="2976"/>
      <c r="P58" s="2016"/>
      <c r="Q58" s="1792"/>
    </row>
    <row r="59" spans="1:29" s="1798" customFormat="1" ht="15">
      <c r="A59" s="1793" t="s">
        <v>2201</v>
      </c>
      <c r="B59" s="1794"/>
      <c r="C59" s="1795" t="str">
        <f>YEAR(C7)&amp;"-"&amp;MONTH(C7)</f>
        <v>2022-3</v>
      </c>
      <c r="D59" s="1796">
        <f>EDATE(C59,-1)</f>
        <v>44593</v>
      </c>
      <c r="E59" s="1796">
        <f t="shared" ref="E59:O59" si="16">EDATE(D59,-1)</f>
        <v>44562</v>
      </c>
      <c r="F59" s="1796">
        <f t="shared" si="16"/>
        <v>44531</v>
      </c>
      <c r="G59" s="1796">
        <f t="shared" si="16"/>
        <v>44501</v>
      </c>
      <c r="H59" s="1796">
        <f t="shared" si="16"/>
        <v>44470</v>
      </c>
      <c r="I59" s="1796">
        <f t="shared" si="16"/>
        <v>44440</v>
      </c>
      <c r="J59" s="1796">
        <f t="shared" si="16"/>
        <v>44409</v>
      </c>
      <c r="K59" s="1796">
        <f t="shared" si="16"/>
        <v>44378</v>
      </c>
      <c r="L59" s="1796">
        <f t="shared" si="16"/>
        <v>44348</v>
      </c>
      <c r="M59" s="1796">
        <f t="shared" si="16"/>
        <v>44317</v>
      </c>
      <c r="N59" s="1796">
        <f t="shared" si="16"/>
        <v>44287</v>
      </c>
      <c r="O59" s="1796">
        <f t="shared" si="16"/>
        <v>44256</v>
      </c>
      <c r="P59" s="2474"/>
    </row>
    <row r="60" spans="1:29" s="1655" customFormat="1" ht="15">
      <c r="A60" s="1799"/>
      <c r="B60" s="1800"/>
      <c r="C60" s="1801">
        <v>100</v>
      </c>
      <c r="D60" s="1802"/>
      <c r="E60" s="1802"/>
      <c r="F60" s="1802"/>
      <c r="G60" s="1802"/>
      <c r="H60" s="1802"/>
      <c r="I60" s="1802"/>
      <c r="J60" s="1802"/>
      <c r="K60" s="1802"/>
      <c r="L60" s="1802"/>
      <c r="M60" s="1803"/>
      <c r="N60" s="1802"/>
      <c r="O60" s="1816"/>
      <c r="P60" s="1792"/>
    </row>
    <row r="61" spans="1:29" s="1655" customFormat="1" ht="15.75" thickBot="1">
      <c r="A61" s="1805" t="s">
        <v>2239</v>
      </c>
      <c r="B61" s="1806"/>
      <c r="C61" s="1807"/>
      <c r="D61" s="1808"/>
      <c r="E61" s="1808"/>
      <c r="F61" s="1808"/>
      <c r="G61" s="1808"/>
      <c r="H61" s="1808"/>
      <c r="I61" s="1808"/>
      <c r="J61" s="1808"/>
      <c r="K61" s="1808"/>
      <c r="L61" s="1808"/>
      <c r="M61" s="1809"/>
      <c r="N61" s="1808"/>
      <c r="O61" s="2475"/>
      <c r="P61" s="1792"/>
      <c r="Q61" s="1792"/>
    </row>
    <row r="62" spans="1:29" s="1655" customFormat="1" ht="15">
      <c r="A62" s="1810" t="s">
        <v>2203</v>
      </c>
      <c r="B62" s="1800"/>
      <c r="C62" s="1811" t="s">
        <v>2204</v>
      </c>
      <c r="D62" s="409"/>
      <c r="E62" s="409"/>
      <c r="F62" s="409"/>
      <c r="G62" s="409"/>
      <c r="H62" s="409"/>
      <c r="I62" s="409"/>
      <c r="J62" s="409"/>
      <c r="K62" s="409"/>
      <c r="L62" s="409"/>
      <c r="M62" s="1812"/>
      <c r="N62" s="2985"/>
      <c r="O62" s="2985"/>
      <c r="P62" s="2027"/>
      <c r="Q62" s="1792"/>
    </row>
    <row r="63" spans="1:29" s="1655" customFormat="1" ht="15.75" thickBot="1">
      <c r="A63" s="1810"/>
      <c r="B63" s="1800"/>
      <c r="C63" s="1815">
        <v>100</v>
      </c>
      <c r="D63" s="1802"/>
      <c r="E63" s="1802"/>
      <c r="F63" s="1802"/>
      <c r="G63" s="1802"/>
      <c r="H63" s="1802"/>
      <c r="I63" s="1802"/>
      <c r="J63" s="1802"/>
      <c r="K63" s="1802"/>
      <c r="L63" s="1802"/>
      <c r="M63" s="1816"/>
      <c r="N63" s="2985"/>
      <c r="O63" s="2985"/>
      <c r="P63" s="1792"/>
      <c r="Q63" s="1792"/>
    </row>
    <row r="64" spans="1:29">
      <c r="A64" s="1817" t="s">
        <v>2242</v>
      </c>
      <c r="B64" s="1818" t="s">
        <v>2207</v>
      </c>
      <c r="C64" s="1819" t="str">
        <f>C9</f>
        <v>办公</v>
      </c>
      <c r="D64" s="1820"/>
      <c r="E64" s="1820"/>
      <c r="F64" s="1820"/>
      <c r="G64" s="1820"/>
      <c r="H64" s="1820"/>
      <c r="I64" s="1820"/>
      <c r="J64" s="1820"/>
      <c r="K64" s="417"/>
      <c r="L64" s="417"/>
      <c r="M64" s="1821"/>
      <c r="N64" s="2986"/>
      <c r="O64" s="2986"/>
      <c r="P64" s="2028"/>
      <c r="Q64" s="1792"/>
    </row>
    <row r="65" spans="1:17" ht="15.75" thickBot="1">
      <c r="A65" s="1824"/>
      <c r="B65" s="1825"/>
      <c r="C65" s="1826">
        <v>100</v>
      </c>
      <c r="D65" s="1826"/>
      <c r="E65" s="1826"/>
      <c r="F65" s="1826"/>
      <c r="G65" s="1826"/>
      <c r="H65" s="1826"/>
      <c r="I65" s="1826"/>
      <c r="J65" s="1826"/>
      <c r="K65" s="1826"/>
      <c r="L65" s="1826"/>
      <c r="M65" s="1827"/>
      <c r="N65" s="2987"/>
      <c r="O65" s="2987"/>
      <c r="P65" s="2028"/>
      <c r="Q65" s="1792"/>
    </row>
    <row r="66" spans="1:17" ht="27.75" thickTop="1">
      <c r="A66" s="1824"/>
      <c r="B66" s="1829" t="s">
        <v>2210</v>
      </c>
      <c r="C66" s="1830" t="s">
        <v>2243</v>
      </c>
      <c r="D66" s="1830" t="s">
        <v>2244</v>
      </c>
      <c r="E66" s="1830" t="s">
        <v>2245</v>
      </c>
      <c r="F66" s="1830" t="s">
        <v>2246</v>
      </c>
      <c r="G66" s="1830" t="s">
        <v>2247</v>
      </c>
      <c r="H66" s="1830" t="s">
        <v>2248</v>
      </c>
      <c r="I66" s="1830" t="s">
        <v>2249</v>
      </c>
      <c r="J66" s="1830"/>
      <c r="K66" s="428"/>
      <c r="L66" s="428"/>
      <c r="M66" s="1831"/>
      <c r="N66" s="2986"/>
      <c r="O66" s="2986"/>
      <c r="P66" s="2028"/>
      <c r="Q66" s="1792"/>
    </row>
    <row r="67" spans="1:17" ht="15.75" thickBot="1">
      <c r="A67" s="1824"/>
      <c r="B67" s="1832"/>
      <c r="C67" s="1833" t="s">
        <v>36</v>
      </c>
      <c r="D67" s="1833" t="s">
        <v>37</v>
      </c>
      <c r="E67" s="1833">
        <v>100</v>
      </c>
      <c r="F67" s="1833">
        <f>E67-$K10</f>
        <v>98</v>
      </c>
      <c r="G67" s="1833">
        <f>F67-$K10</f>
        <v>96</v>
      </c>
      <c r="H67" s="1833">
        <f>G67-$K10</f>
        <v>94</v>
      </c>
      <c r="I67" s="1833">
        <f>H67-$K10</f>
        <v>92</v>
      </c>
      <c r="J67" s="1833"/>
      <c r="K67" s="1833"/>
      <c r="L67" s="1833"/>
      <c r="M67" s="1834"/>
      <c r="N67" s="2987"/>
      <c r="O67" s="2987"/>
      <c r="P67" s="2028"/>
      <c r="Q67" s="1792"/>
    </row>
    <row r="68" spans="1:17" ht="15.75" thickTop="1">
      <c r="A68" s="1824"/>
      <c r="B68" s="1835" t="s">
        <v>2211</v>
      </c>
      <c r="C68" s="1836" t="str">
        <f>C69&amp;"（含）"&amp;"-"&amp;D69</f>
        <v>0（含）-1</v>
      </c>
      <c r="D68" s="1836" t="str">
        <f t="shared" ref="D68:L68" si="17">D69&amp;"（含）"&amp;"-"&amp;E69</f>
        <v>1（含）-</v>
      </c>
      <c r="E68" s="1836" t="str">
        <f t="shared" si="17"/>
        <v>（含）-</v>
      </c>
      <c r="F68" s="1836" t="str">
        <f t="shared" si="17"/>
        <v>（含）-</v>
      </c>
      <c r="G68" s="1836" t="str">
        <f t="shared" si="17"/>
        <v>（含）-</v>
      </c>
      <c r="H68" s="1836" t="str">
        <f t="shared" si="17"/>
        <v>（含）-</v>
      </c>
      <c r="I68" s="1836" t="str">
        <f t="shared" si="17"/>
        <v>（含）-</v>
      </c>
      <c r="J68" s="1836" t="str">
        <f t="shared" si="17"/>
        <v>（含）-</v>
      </c>
      <c r="K68" s="1836" t="str">
        <f t="shared" si="17"/>
        <v>（含）-</v>
      </c>
      <c r="L68" s="1836" t="str">
        <f t="shared" si="17"/>
        <v>（含）-</v>
      </c>
      <c r="M68" s="1702" t="str">
        <f>M69&amp;"（含）"&amp;"-"&amp;P69</f>
        <v>（含）-</v>
      </c>
      <c r="N68" s="2987"/>
      <c r="O68" s="2987"/>
      <c r="P68" s="2028"/>
      <c r="Q68" s="1792"/>
    </row>
    <row r="69" spans="1:17" ht="15">
      <c r="A69" s="1824"/>
      <c r="B69" s="1837"/>
      <c r="C69" s="1838">
        <v>0</v>
      </c>
      <c r="D69" s="1838">
        <v>1</v>
      </c>
      <c r="E69" s="1838"/>
      <c r="F69" s="1838"/>
      <c r="G69" s="1838"/>
      <c r="H69" s="1838"/>
      <c r="I69" s="1838"/>
      <c r="J69" s="1838"/>
      <c r="K69" s="438"/>
      <c r="L69" s="438"/>
      <c r="M69" s="1839"/>
      <c r="N69" s="2986"/>
      <c r="O69" s="2986"/>
      <c r="P69" s="2028"/>
      <c r="Q69" s="1792"/>
    </row>
    <row r="70" spans="1:17" ht="15.75" thickBot="1">
      <c r="A70" s="1824"/>
      <c r="B70" s="1825"/>
      <c r="C70" s="1833">
        <v>100</v>
      </c>
      <c r="D70" s="1833">
        <f t="shared" ref="D70:M70" si="18">C70-$K11</f>
        <v>100</v>
      </c>
      <c r="E70" s="1833">
        <f t="shared" si="18"/>
        <v>100</v>
      </c>
      <c r="F70" s="1833">
        <f t="shared" si="18"/>
        <v>100</v>
      </c>
      <c r="G70" s="1833">
        <f t="shared" si="18"/>
        <v>100</v>
      </c>
      <c r="H70" s="1833">
        <f t="shared" si="18"/>
        <v>100</v>
      </c>
      <c r="I70" s="1833">
        <f t="shared" si="18"/>
        <v>100</v>
      </c>
      <c r="J70" s="1833">
        <f t="shared" si="18"/>
        <v>100</v>
      </c>
      <c r="K70" s="1833">
        <f t="shared" si="18"/>
        <v>100</v>
      </c>
      <c r="L70" s="1833">
        <f t="shared" si="18"/>
        <v>100</v>
      </c>
      <c r="M70" s="1834">
        <f t="shared" si="18"/>
        <v>100</v>
      </c>
      <c r="N70" s="2987"/>
      <c r="O70" s="2987"/>
      <c r="P70" s="2028"/>
      <c r="Q70" s="1792"/>
    </row>
    <row r="71" spans="1:17" s="1742" customFormat="1" ht="15.75" thickTop="1">
      <c r="A71" s="1840"/>
      <c r="B71" s="1829">
        <f>B12</f>
        <v>111</v>
      </c>
      <c r="C71" s="468"/>
      <c r="D71" s="468"/>
      <c r="E71" s="468"/>
      <c r="F71" s="468"/>
      <c r="G71" s="468"/>
      <c r="H71" s="443"/>
      <c r="I71" s="443"/>
      <c r="J71" s="443"/>
      <c r="K71" s="443"/>
      <c r="L71" s="443"/>
      <c r="M71" s="1841"/>
      <c r="N71" s="2988"/>
      <c r="O71" s="2988"/>
      <c r="P71" s="2029"/>
      <c r="Q71" s="1844"/>
    </row>
    <row r="72" spans="1:17" s="1742" customFormat="1" ht="15.75" thickBot="1">
      <c r="A72" s="1840"/>
      <c r="B72" s="1832"/>
      <c r="C72" s="1845"/>
      <c r="D72" s="1826"/>
      <c r="E72" s="1826"/>
      <c r="F72" s="1826"/>
      <c r="G72" s="1826"/>
      <c r="H72" s="1826"/>
      <c r="I72" s="1826"/>
      <c r="J72" s="1826"/>
      <c r="K72" s="1826"/>
      <c r="L72" s="1826"/>
      <c r="M72" s="1827"/>
      <c r="N72" s="2987"/>
      <c r="O72" s="2987"/>
      <c r="P72" s="2029"/>
      <c r="Q72" s="1844"/>
    </row>
    <row r="73" spans="1:17" s="1742" customFormat="1" ht="15.75" thickTop="1">
      <c r="A73" s="1840"/>
      <c r="B73" s="1829">
        <f>B13</f>
        <v>111</v>
      </c>
      <c r="C73" s="468"/>
      <c r="D73" s="468"/>
      <c r="E73" s="468"/>
      <c r="F73" s="468"/>
      <c r="G73" s="468"/>
      <c r="H73" s="443"/>
      <c r="I73" s="443"/>
      <c r="J73" s="443"/>
      <c r="K73" s="443"/>
      <c r="L73" s="443"/>
      <c r="M73" s="1841"/>
      <c r="N73" s="2988"/>
      <c r="O73" s="2988"/>
      <c r="P73" s="2030"/>
      <c r="Q73" s="1847"/>
    </row>
    <row r="74" spans="1:17" s="1742" customFormat="1" ht="15.75" thickBot="1">
      <c r="A74" s="1840"/>
      <c r="B74" s="1832"/>
      <c r="C74" s="1845"/>
      <c r="D74" s="1845"/>
      <c r="E74" s="1845"/>
      <c r="F74" s="1845"/>
      <c r="G74" s="1845"/>
      <c r="H74" s="1848"/>
      <c r="I74" s="1848"/>
      <c r="J74" s="1848"/>
      <c r="K74" s="1848"/>
      <c r="L74" s="1848"/>
      <c r="M74" s="1849"/>
      <c r="N74" s="2988"/>
      <c r="O74" s="2988"/>
      <c r="P74" s="2029"/>
      <c r="Q74" s="1844"/>
    </row>
    <row r="75" spans="1:17" s="1742" customFormat="1" ht="15.75" thickTop="1">
      <c r="A75" s="1840"/>
      <c r="B75" s="1835">
        <f>B14</f>
        <v>111</v>
      </c>
      <c r="C75" s="409"/>
      <c r="D75" s="409"/>
      <c r="E75" s="409"/>
      <c r="F75" s="409"/>
      <c r="G75" s="409"/>
      <c r="H75" s="453"/>
      <c r="I75" s="453"/>
      <c r="J75" s="453"/>
      <c r="K75" s="453"/>
      <c r="L75" s="453"/>
      <c r="M75" s="1850"/>
      <c r="N75" s="2988"/>
      <c r="O75" s="2988"/>
      <c r="P75" s="2029"/>
      <c r="Q75" s="1844"/>
    </row>
    <row r="76" spans="1:17" s="1742" customFormat="1" ht="15.75" thickBot="1">
      <c r="A76" s="1851"/>
      <c r="B76" s="1852"/>
      <c r="C76" s="1853"/>
      <c r="D76" s="1853"/>
      <c r="E76" s="1853"/>
      <c r="F76" s="1853"/>
      <c r="G76" s="1853"/>
      <c r="H76" s="1854"/>
      <c r="I76" s="1854"/>
      <c r="J76" s="1854"/>
      <c r="K76" s="1854"/>
      <c r="L76" s="1854"/>
      <c r="M76" s="1855"/>
      <c r="N76" s="2988"/>
      <c r="O76" s="2988"/>
      <c r="P76" s="2029"/>
      <c r="Q76" s="1844"/>
    </row>
    <row r="77" spans="1:17">
      <c r="A77" s="1817" t="s">
        <v>2212</v>
      </c>
      <c r="B77" s="1818" t="s">
        <v>2338</v>
      </c>
      <c r="C77" s="1856" t="s">
        <v>2251</v>
      </c>
      <c r="D77" s="1856" t="s">
        <v>2252</v>
      </c>
      <c r="E77" s="1856" t="s">
        <v>2253</v>
      </c>
      <c r="F77" s="1856" t="s">
        <v>2254</v>
      </c>
      <c r="G77" s="1856" t="s">
        <v>2255</v>
      </c>
      <c r="H77" s="1819"/>
      <c r="I77" s="1819"/>
      <c r="J77" s="1819"/>
      <c r="K77" s="463"/>
      <c r="L77" s="463"/>
      <c r="M77" s="1857"/>
      <c r="N77" s="2986"/>
      <c r="O77" s="2986"/>
      <c r="P77" s="2028"/>
      <c r="Q77" s="1792"/>
    </row>
    <row r="78" spans="1:17" ht="15.75" thickBot="1">
      <c r="A78" s="1824"/>
      <c r="B78" s="1832"/>
      <c r="C78" s="1833">
        <v>100</v>
      </c>
      <c r="D78" s="1833">
        <f>C78-$K15</f>
        <v>97</v>
      </c>
      <c r="E78" s="1833">
        <f>D78-$K15</f>
        <v>94</v>
      </c>
      <c r="F78" s="1833">
        <f>E78-$K15</f>
        <v>91</v>
      </c>
      <c r="G78" s="1833">
        <f>F78-$K15</f>
        <v>88</v>
      </c>
      <c r="H78" s="1833"/>
      <c r="I78" s="1833"/>
      <c r="J78" s="1833"/>
      <c r="K78" s="1833"/>
      <c r="L78" s="1833"/>
      <c r="M78" s="1834"/>
      <c r="N78" s="2987"/>
      <c r="O78" s="2987"/>
      <c r="P78" s="2028"/>
      <c r="Q78" s="1792"/>
    </row>
    <row r="79" spans="1:17" ht="15.75" thickTop="1">
      <c r="A79" s="1824"/>
      <c r="B79" s="1829" t="s">
        <v>2256</v>
      </c>
      <c r="C79" s="579" t="s">
        <v>2251</v>
      </c>
      <c r="D79" s="579" t="s">
        <v>2252</v>
      </c>
      <c r="E79" s="579" t="s">
        <v>2253</v>
      </c>
      <c r="F79" s="579" t="s">
        <v>2254</v>
      </c>
      <c r="G79" s="579" t="s">
        <v>2255</v>
      </c>
      <c r="H79" s="1830"/>
      <c r="I79" s="1830"/>
      <c r="J79" s="1830"/>
      <c r="K79" s="428"/>
      <c r="L79" s="428"/>
      <c r="M79" s="1831"/>
      <c r="N79" s="2986"/>
      <c r="O79" s="2986"/>
      <c r="P79" s="2028"/>
      <c r="Q79" s="1792"/>
    </row>
    <row r="80" spans="1:17" ht="15.75" thickBot="1">
      <c r="A80" s="1824"/>
      <c r="B80" s="1832"/>
      <c r="C80" s="1833">
        <v>100</v>
      </c>
      <c r="D80" s="1833">
        <f>C80-$K17</f>
        <v>98</v>
      </c>
      <c r="E80" s="1833">
        <f>D80-$K17</f>
        <v>96</v>
      </c>
      <c r="F80" s="1833">
        <f>E80-$K17</f>
        <v>94</v>
      </c>
      <c r="G80" s="1833">
        <f>F80-$K17</f>
        <v>92</v>
      </c>
      <c r="H80" s="1833"/>
      <c r="I80" s="1833"/>
      <c r="J80" s="1833"/>
      <c r="K80" s="1833"/>
      <c r="L80" s="1833"/>
      <c r="M80" s="1834"/>
      <c r="N80" s="2987"/>
      <c r="O80" s="2987"/>
      <c r="P80" s="2028"/>
      <c r="Q80" s="1792"/>
    </row>
    <row r="81" spans="1:17" ht="15.75" thickTop="1">
      <c r="A81" s="1824"/>
      <c r="B81" s="1829" t="s">
        <v>2257</v>
      </c>
      <c r="C81" s="579" t="s">
        <v>2251</v>
      </c>
      <c r="D81" s="579" t="s">
        <v>2252</v>
      </c>
      <c r="E81" s="579" t="s">
        <v>2253</v>
      </c>
      <c r="F81" s="579" t="s">
        <v>2254</v>
      </c>
      <c r="G81" s="579" t="s">
        <v>2255</v>
      </c>
      <c r="H81" s="1830"/>
      <c r="I81" s="1830"/>
      <c r="J81" s="1830"/>
      <c r="K81" s="428"/>
      <c r="L81" s="428"/>
      <c r="M81" s="1831"/>
      <c r="N81" s="2986"/>
      <c r="O81" s="2986"/>
      <c r="P81" s="2028"/>
      <c r="Q81" s="1792"/>
    </row>
    <row r="82" spans="1:17" ht="15.75" thickBot="1">
      <c r="A82" s="1824"/>
      <c r="B82" s="1832"/>
      <c r="C82" s="1833">
        <v>100</v>
      </c>
      <c r="D82" s="1833">
        <f>C82-$K19</f>
        <v>98</v>
      </c>
      <c r="E82" s="1833">
        <f>D82-$K19</f>
        <v>96</v>
      </c>
      <c r="F82" s="1833">
        <f>E82-$K19</f>
        <v>94</v>
      </c>
      <c r="G82" s="1833">
        <f>F82-$K19</f>
        <v>92</v>
      </c>
      <c r="H82" s="1833"/>
      <c r="I82" s="1833"/>
      <c r="J82" s="1833"/>
      <c r="K82" s="1833"/>
      <c r="L82" s="1833"/>
      <c r="M82" s="1834"/>
      <c r="N82" s="2987"/>
      <c r="O82" s="2987"/>
      <c r="P82" s="2028"/>
      <c r="Q82" s="1792"/>
    </row>
    <row r="83" spans="1:17" ht="15.75" thickTop="1">
      <c r="A83" s="1824"/>
      <c r="B83" s="1835" t="s">
        <v>2300</v>
      </c>
      <c r="C83" s="1830" t="s">
        <v>2258</v>
      </c>
      <c r="D83" s="1830" t="s">
        <v>2259</v>
      </c>
      <c r="E83" s="1830" t="s">
        <v>2260</v>
      </c>
      <c r="F83" s="1830" t="s">
        <v>2261</v>
      </c>
      <c r="G83" s="1830" t="s">
        <v>2262</v>
      </c>
      <c r="H83" s="1830"/>
      <c r="I83" s="1830"/>
      <c r="J83" s="1830"/>
      <c r="K83" s="1830"/>
      <c r="L83" s="1830"/>
      <c r="M83" s="1858"/>
      <c r="N83" s="2987"/>
      <c r="O83" s="2987"/>
      <c r="P83" s="2028"/>
      <c r="Q83" s="1792"/>
    </row>
    <row r="84" spans="1:17" ht="15.75" thickBot="1">
      <c r="A84" s="1824"/>
      <c r="B84" s="1835"/>
      <c r="C84" s="1833">
        <v>100</v>
      </c>
      <c r="D84" s="1833">
        <f>C84-$K21</f>
        <v>98</v>
      </c>
      <c r="E84" s="1833">
        <f>D84-$K21</f>
        <v>96</v>
      </c>
      <c r="F84" s="1833">
        <f>E84-$K21</f>
        <v>94</v>
      </c>
      <c r="G84" s="1833">
        <f>F84-$K21</f>
        <v>92</v>
      </c>
      <c r="H84" s="1859"/>
      <c r="I84" s="1859"/>
      <c r="J84" s="1859"/>
      <c r="K84" s="1859"/>
      <c r="L84" s="1859"/>
      <c r="M84" s="1706"/>
      <c r="N84" s="2987"/>
      <c r="O84" s="2987"/>
      <c r="P84" s="2028"/>
      <c r="Q84" s="1792"/>
    </row>
    <row r="85" spans="1:17" ht="15.75" thickTop="1">
      <c r="A85" s="1824"/>
      <c r="B85" s="1829" t="s">
        <v>2339</v>
      </c>
      <c r="C85" s="579" t="s">
        <v>2251</v>
      </c>
      <c r="D85" s="579" t="s">
        <v>2252</v>
      </c>
      <c r="E85" s="579" t="s">
        <v>2253</v>
      </c>
      <c r="F85" s="579" t="s">
        <v>2254</v>
      </c>
      <c r="G85" s="579" t="s">
        <v>2255</v>
      </c>
      <c r="H85" s="1830"/>
      <c r="I85" s="1830"/>
      <c r="J85" s="1830"/>
      <c r="K85" s="428"/>
      <c r="L85" s="428"/>
      <c r="M85" s="1831"/>
      <c r="N85" s="2986"/>
      <c r="O85" s="2986"/>
      <c r="P85" s="2028"/>
      <c r="Q85" s="1792"/>
    </row>
    <row r="86" spans="1:17" ht="15.75" thickBot="1">
      <c r="A86" s="1824"/>
      <c r="B86" s="1832"/>
      <c r="C86" s="1833">
        <v>100</v>
      </c>
      <c r="D86" s="1833">
        <f>C86-$K23</f>
        <v>98</v>
      </c>
      <c r="E86" s="1833">
        <f>D86-$K23</f>
        <v>96</v>
      </c>
      <c r="F86" s="1833">
        <f>E86-$K23</f>
        <v>94</v>
      </c>
      <c r="G86" s="1833">
        <f>F86-$K23</f>
        <v>92</v>
      </c>
      <c r="H86" s="1833"/>
      <c r="I86" s="1833"/>
      <c r="J86" s="1833"/>
      <c r="K86" s="1833"/>
      <c r="L86" s="1833"/>
      <c r="M86" s="1834"/>
      <c r="N86" s="2987"/>
      <c r="O86" s="2987"/>
      <c r="P86" s="2028"/>
      <c r="Q86" s="1792"/>
    </row>
    <row r="87" spans="1:17" s="1655" customFormat="1" ht="27.75" thickTop="1">
      <c r="A87" s="1860"/>
      <c r="B87" s="1829" t="s">
        <v>2340</v>
      </c>
      <c r="C87" s="468"/>
      <c r="D87" s="468"/>
      <c r="E87" s="468"/>
      <c r="F87" s="468"/>
      <c r="G87" s="468"/>
      <c r="H87" s="468"/>
      <c r="I87" s="468"/>
      <c r="J87" s="468"/>
      <c r="K87" s="468"/>
      <c r="L87" s="468"/>
      <c r="M87" s="1861"/>
      <c r="N87" s="2985"/>
      <c r="O87" s="2985"/>
      <c r="P87" s="2028"/>
      <c r="Q87" s="1792"/>
    </row>
    <row r="88" spans="1:17" s="1655" customFormat="1" ht="15.75" thickBot="1">
      <c r="A88" s="1860"/>
      <c r="B88" s="1832"/>
      <c r="C88" s="1862">
        <v>100</v>
      </c>
      <c r="D88" s="1833">
        <f t="shared" ref="D88:M88" si="19">C88-$K25</f>
        <v>98</v>
      </c>
      <c r="E88" s="1833">
        <f t="shared" si="19"/>
        <v>96</v>
      </c>
      <c r="F88" s="1833">
        <f t="shared" si="19"/>
        <v>94</v>
      </c>
      <c r="G88" s="1833">
        <f t="shared" si="19"/>
        <v>92</v>
      </c>
      <c r="H88" s="1833">
        <f t="shared" si="19"/>
        <v>90</v>
      </c>
      <c r="I88" s="1833">
        <f t="shared" si="19"/>
        <v>88</v>
      </c>
      <c r="J88" s="1833">
        <f t="shared" si="19"/>
        <v>86</v>
      </c>
      <c r="K88" s="1833">
        <f t="shared" si="19"/>
        <v>84</v>
      </c>
      <c r="L88" s="1833">
        <f t="shared" si="19"/>
        <v>82</v>
      </c>
      <c r="M88" s="1833">
        <f t="shared" si="19"/>
        <v>80</v>
      </c>
      <c r="N88" s="2987"/>
      <c r="O88" s="2987"/>
      <c r="P88" s="2028"/>
      <c r="Q88" s="1792"/>
    </row>
    <row r="89" spans="1:17" s="1655" customFormat="1" ht="15.75" thickTop="1">
      <c r="A89" s="1860"/>
      <c r="B89" s="1829" t="str">
        <f>B27</f>
        <v>楼层</v>
      </c>
      <c r="C89" s="3317" t="s">
        <v>2989</v>
      </c>
      <c r="D89" s="3317" t="s">
        <v>2991</v>
      </c>
      <c r="E89" s="3317" t="s">
        <v>2992</v>
      </c>
      <c r="F89" s="1863"/>
      <c r="G89" s="468"/>
      <c r="H89" s="468"/>
      <c r="I89" s="468"/>
      <c r="J89" s="468"/>
      <c r="K89" s="468"/>
      <c r="L89" s="468"/>
      <c r="M89" s="1861"/>
      <c r="N89" s="2985"/>
      <c r="O89" s="2985"/>
      <c r="P89" s="2028"/>
      <c r="Q89" s="1792"/>
    </row>
    <row r="90" spans="1:17" s="1655" customFormat="1" ht="15.75" thickBot="1">
      <c r="A90" s="1860"/>
      <c r="B90" s="1832"/>
      <c r="C90" s="1862">
        <v>100</v>
      </c>
      <c r="D90" s="1833">
        <f>C90-$K27</f>
        <v>95</v>
      </c>
      <c r="E90" s="1833">
        <f t="shared" ref="E90:M90" si="20">D90-$K27</f>
        <v>90</v>
      </c>
      <c r="F90" s="1833">
        <f t="shared" si="20"/>
        <v>85</v>
      </c>
      <c r="G90" s="1833">
        <f t="shared" si="20"/>
        <v>80</v>
      </c>
      <c r="H90" s="1833">
        <f t="shared" si="20"/>
        <v>75</v>
      </c>
      <c r="I90" s="1833">
        <f t="shared" si="20"/>
        <v>70</v>
      </c>
      <c r="J90" s="1833">
        <f t="shared" si="20"/>
        <v>65</v>
      </c>
      <c r="K90" s="1833">
        <f t="shared" si="20"/>
        <v>60</v>
      </c>
      <c r="L90" s="1833">
        <f t="shared" si="20"/>
        <v>55</v>
      </c>
      <c r="M90" s="1833">
        <f t="shared" si="20"/>
        <v>50</v>
      </c>
      <c r="N90" s="2987"/>
      <c r="O90" s="2987"/>
      <c r="P90" s="2028"/>
      <c r="Q90" s="1792"/>
    </row>
    <row r="91" spans="1:17" s="1742" customFormat="1" ht="15.75" thickTop="1">
      <c r="A91" s="1840"/>
      <c r="B91" s="1829" t="str">
        <f>B28</f>
        <v>朝向</v>
      </c>
      <c r="C91" s="468"/>
      <c r="D91" s="468"/>
      <c r="E91" s="468"/>
      <c r="F91" s="468"/>
      <c r="G91" s="468"/>
      <c r="H91" s="443"/>
      <c r="I91" s="443"/>
      <c r="J91" s="443"/>
      <c r="K91" s="443"/>
      <c r="L91" s="443"/>
      <c r="M91" s="1841"/>
      <c r="N91" s="2988"/>
      <c r="O91" s="2988"/>
      <c r="P91" s="2029"/>
      <c r="Q91" s="1844"/>
    </row>
    <row r="92" spans="1:17" s="1742" customFormat="1" ht="15.75" thickBot="1">
      <c r="A92" s="1840"/>
      <c r="B92" s="1832"/>
      <c r="C92" s="1862">
        <v>100</v>
      </c>
      <c r="D92" s="1833">
        <f t="shared" ref="D92:M92" si="21">C92-$K28</f>
        <v>100</v>
      </c>
      <c r="E92" s="1833">
        <f t="shared" si="21"/>
        <v>100</v>
      </c>
      <c r="F92" s="1833">
        <f t="shared" si="21"/>
        <v>100</v>
      </c>
      <c r="G92" s="1833">
        <f t="shared" si="21"/>
        <v>100</v>
      </c>
      <c r="H92" s="1833">
        <f t="shared" si="21"/>
        <v>100</v>
      </c>
      <c r="I92" s="1833">
        <f t="shared" si="21"/>
        <v>100</v>
      </c>
      <c r="J92" s="1833">
        <f t="shared" si="21"/>
        <v>100</v>
      </c>
      <c r="K92" s="1833">
        <f t="shared" si="21"/>
        <v>100</v>
      </c>
      <c r="L92" s="1833">
        <f t="shared" si="21"/>
        <v>100</v>
      </c>
      <c r="M92" s="1833">
        <f t="shared" si="21"/>
        <v>100</v>
      </c>
      <c r="N92" s="2988"/>
      <c r="O92" s="2988"/>
      <c r="P92" s="2029"/>
      <c r="Q92" s="1844"/>
    </row>
    <row r="93" spans="1:17" ht="15.75" thickTop="1">
      <c r="A93" s="1824"/>
      <c r="B93" s="1829">
        <f>B29</f>
        <v>111</v>
      </c>
      <c r="C93" s="468"/>
      <c r="D93" s="468"/>
      <c r="E93" s="468"/>
      <c r="F93" s="468"/>
      <c r="G93" s="468"/>
      <c r="H93" s="468"/>
      <c r="I93" s="468"/>
      <c r="J93" s="468"/>
      <c r="K93" s="468"/>
      <c r="L93" s="468"/>
      <c r="M93" s="1861"/>
      <c r="N93" s="2986"/>
      <c r="O93" s="2986"/>
      <c r="P93" s="2028"/>
      <c r="Q93" s="1792"/>
    </row>
    <row r="94" spans="1:17" ht="15.75" thickBot="1">
      <c r="A94" s="1824"/>
      <c r="B94" s="1832"/>
      <c r="C94" s="1845"/>
      <c r="D94" s="1826"/>
      <c r="E94" s="1826"/>
      <c r="F94" s="1826"/>
      <c r="G94" s="1826"/>
      <c r="H94" s="1826"/>
      <c r="I94" s="1826"/>
      <c r="J94" s="1826"/>
      <c r="K94" s="1826"/>
      <c r="L94" s="1826"/>
      <c r="M94" s="1827"/>
      <c r="N94" s="2987"/>
      <c r="O94" s="2987"/>
      <c r="P94" s="2028"/>
      <c r="Q94" s="1792"/>
    </row>
    <row r="95" spans="1:17" ht="15.75" thickTop="1">
      <c r="A95" s="1824"/>
      <c r="B95" s="1829">
        <f>B30</f>
        <v>111</v>
      </c>
      <c r="C95" s="468"/>
      <c r="D95" s="468"/>
      <c r="E95" s="468"/>
      <c r="F95" s="468"/>
      <c r="G95" s="1548"/>
      <c r="H95" s="1548"/>
      <c r="I95" s="1548"/>
      <c r="J95" s="1548"/>
      <c r="K95" s="473"/>
      <c r="L95" s="473"/>
      <c r="M95" s="1864"/>
      <c r="N95" s="2986"/>
      <c r="O95" s="2986"/>
      <c r="P95" s="2028"/>
      <c r="Q95" s="1792"/>
    </row>
    <row r="96" spans="1:17" ht="15.75" thickBot="1">
      <c r="A96" s="1824"/>
      <c r="B96" s="1832"/>
      <c r="C96" s="1845"/>
      <c r="D96" s="1845"/>
      <c r="E96" s="1845"/>
      <c r="F96" s="1845"/>
      <c r="G96" s="1826"/>
      <c r="H96" s="1826"/>
      <c r="I96" s="1826"/>
      <c r="J96" s="1826"/>
      <c r="K96" s="1826"/>
      <c r="L96" s="1826"/>
      <c r="M96" s="1827"/>
      <c r="N96" s="2987"/>
      <c r="O96" s="2987"/>
      <c r="P96" s="2028"/>
      <c r="Q96" s="1792"/>
    </row>
    <row r="97" spans="1:17" ht="15.75" thickTop="1">
      <c r="A97" s="1824"/>
      <c r="B97" s="1829">
        <f>B31</f>
        <v>111</v>
      </c>
      <c r="C97" s="468"/>
      <c r="D97" s="468"/>
      <c r="E97" s="468"/>
      <c r="F97" s="468"/>
      <c r="G97" s="1548"/>
      <c r="H97" s="1548"/>
      <c r="I97" s="1548"/>
      <c r="J97" s="1548"/>
      <c r="K97" s="473"/>
      <c r="L97" s="473"/>
      <c r="M97" s="1864"/>
      <c r="N97" s="2986"/>
      <c r="O97" s="2986"/>
      <c r="P97" s="2028"/>
      <c r="Q97" s="1792"/>
    </row>
    <row r="98" spans="1:17" ht="15.75" thickBot="1">
      <c r="A98" s="1824"/>
      <c r="B98" s="1832"/>
      <c r="C98" s="1845"/>
      <c r="D98" s="1826"/>
      <c r="E98" s="1826"/>
      <c r="F98" s="1826"/>
      <c r="G98" s="1826"/>
      <c r="H98" s="1826"/>
      <c r="I98" s="1826"/>
      <c r="J98" s="1826"/>
      <c r="K98" s="1826"/>
      <c r="L98" s="1826"/>
      <c r="M98" s="1827"/>
      <c r="N98" s="2987"/>
      <c r="O98" s="2987"/>
      <c r="P98" s="2028"/>
      <c r="Q98" s="1792"/>
    </row>
    <row r="99" spans="1:17" ht="15.75" thickTop="1">
      <c r="A99" s="1824"/>
      <c r="B99" s="1835">
        <f>B32</f>
        <v>111</v>
      </c>
      <c r="C99" s="409"/>
      <c r="D99" s="409"/>
      <c r="E99" s="409"/>
      <c r="F99" s="409"/>
      <c r="G99" s="1865"/>
      <c r="H99" s="1865"/>
      <c r="I99" s="1865"/>
      <c r="J99" s="1865"/>
      <c r="K99" s="477"/>
      <c r="L99" s="477"/>
      <c r="M99" s="1866"/>
      <c r="N99" s="2986"/>
      <c r="O99" s="2986"/>
      <c r="P99" s="2028"/>
      <c r="Q99" s="1792"/>
    </row>
    <row r="100" spans="1:17" ht="15.75" thickBot="1">
      <c r="A100" s="1867"/>
      <c r="B100" s="1852"/>
      <c r="C100" s="1853"/>
      <c r="D100" s="1853"/>
      <c r="E100" s="1853"/>
      <c r="F100" s="1853"/>
      <c r="G100" s="1868"/>
      <c r="H100" s="1868"/>
      <c r="I100" s="1868"/>
      <c r="J100" s="1868"/>
      <c r="K100" s="1868"/>
      <c r="L100" s="1868"/>
      <c r="M100" s="1869"/>
      <c r="N100" s="2987"/>
      <c r="O100" s="2987"/>
      <c r="P100" s="2028"/>
      <c r="Q100" s="1792"/>
    </row>
    <row r="101" spans="1:17">
      <c r="A101" s="1817" t="s">
        <v>2217</v>
      </c>
      <c r="B101" s="1818" t="s">
        <v>2266</v>
      </c>
      <c r="C101" s="3318" t="s">
        <v>2993</v>
      </c>
      <c r="D101" s="1820"/>
      <c r="E101" s="1820"/>
      <c r="F101" s="1820"/>
      <c r="G101" s="1820"/>
      <c r="H101" s="1820"/>
      <c r="I101" s="1820"/>
      <c r="J101" s="1820"/>
      <c r="K101" s="417"/>
      <c r="L101" s="417"/>
      <c r="M101" s="1821"/>
      <c r="N101" s="2986"/>
      <c r="O101" s="2986"/>
      <c r="P101" s="2028"/>
      <c r="Q101" s="1792"/>
    </row>
    <row r="102" spans="1:17" ht="15.75" thickBot="1">
      <c r="A102" s="1824"/>
      <c r="B102" s="1832"/>
      <c r="C102" s="1833">
        <v>100</v>
      </c>
      <c r="D102" s="1833">
        <f t="shared" ref="D102:M102" si="22">C102-$K33</f>
        <v>98</v>
      </c>
      <c r="E102" s="1833">
        <f t="shared" si="22"/>
        <v>96</v>
      </c>
      <c r="F102" s="1833">
        <f t="shared" si="22"/>
        <v>94</v>
      </c>
      <c r="G102" s="1833">
        <f t="shared" si="22"/>
        <v>92</v>
      </c>
      <c r="H102" s="1833">
        <f t="shared" si="22"/>
        <v>90</v>
      </c>
      <c r="I102" s="1833">
        <f t="shared" si="22"/>
        <v>88</v>
      </c>
      <c r="J102" s="1833">
        <f t="shared" si="22"/>
        <v>86</v>
      </c>
      <c r="K102" s="1833">
        <f t="shared" si="22"/>
        <v>84</v>
      </c>
      <c r="L102" s="1833">
        <f t="shared" si="22"/>
        <v>82</v>
      </c>
      <c r="M102" s="1834">
        <f t="shared" si="22"/>
        <v>80</v>
      </c>
      <c r="N102" s="2987"/>
      <c r="O102" s="2987"/>
      <c r="P102" s="2028"/>
      <c r="Q102" s="1792"/>
    </row>
    <row r="103" spans="1:17" ht="15.75" thickTop="1">
      <c r="A103" s="1824"/>
      <c r="B103" s="1829" t="s">
        <v>2267</v>
      </c>
      <c r="C103" s="579" t="str">
        <f>C104&amp;"(含)"&amp;"-"&amp;D104</f>
        <v>0(含)-100</v>
      </c>
      <c r="D103" s="579" t="str">
        <f t="shared" ref="D103:L103" si="23">D104&amp;"(含)"&amp;"-"&amp;E104</f>
        <v>100(含)-300</v>
      </c>
      <c r="E103" s="579" t="str">
        <f t="shared" si="23"/>
        <v>300(含)-500</v>
      </c>
      <c r="F103" s="579" t="str">
        <f t="shared" si="23"/>
        <v>500(含)-1000</v>
      </c>
      <c r="G103" s="579" t="str">
        <f t="shared" si="23"/>
        <v>1000(含)-</v>
      </c>
      <c r="H103" s="579" t="str">
        <f t="shared" si="23"/>
        <v>(含)-</v>
      </c>
      <c r="I103" s="579" t="str">
        <f t="shared" si="23"/>
        <v>(含)-</v>
      </c>
      <c r="J103" s="579" t="str">
        <f t="shared" si="23"/>
        <v>(含)-</v>
      </c>
      <c r="K103" s="579" t="str">
        <f t="shared" si="23"/>
        <v>(含)-</v>
      </c>
      <c r="L103" s="579" t="str">
        <f t="shared" si="23"/>
        <v>(含)-</v>
      </c>
      <c r="M103" s="2031" t="str">
        <f>M104&amp;"(含)"&amp;"-"&amp;P104</f>
        <v>(含)-</v>
      </c>
      <c r="N103" s="2985"/>
      <c r="O103" s="2985"/>
      <c r="P103" s="2028"/>
      <c r="Q103" s="1792"/>
    </row>
    <row r="104" spans="1:17" s="1742" customFormat="1">
      <c r="A104" s="1870"/>
      <c r="B104" s="1871"/>
      <c r="C104" s="1872">
        <v>0</v>
      </c>
      <c r="D104" s="1872">
        <v>100</v>
      </c>
      <c r="E104" s="1872">
        <v>300</v>
      </c>
      <c r="F104" s="1872">
        <v>500</v>
      </c>
      <c r="G104" s="1872">
        <v>1000</v>
      </c>
      <c r="H104" s="1872"/>
      <c r="I104" s="1872"/>
      <c r="J104" s="485"/>
      <c r="K104" s="485"/>
      <c r="L104" s="485"/>
      <c r="M104" s="1873"/>
      <c r="N104" s="2988"/>
      <c r="O104" s="2988"/>
      <c r="P104" s="2029"/>
      <c r="Q104" s="1844"/>
    </row>
    <row r="105" spans="1:17" s="1742" customFormat="1" ht="15.75" thickBot="1">
      <c r="A105" s="1840"/>
      <c r="B105" s="1832"/>
      <c r="C105" s="1845">
        <v>96</v>
      </c>
      <c r="D105" s="1826">
        <v>98</v>
      </c>
      <c r="E105" s="1826">
        <v>100</v>
      </c>
      <c r="F105" s="1826">
        <v>98</v>
      </c>
      <c r="G105" s="1826">
        <v>96</v>
      </c>
      <c r="H105" s="1826"/>
      <c r="I105" s="1826"/>
      <c r="J105" s="1826"/>
      <c r="K105" s="1826"/>
      <c r="L105" s="1826"/>
      <c r="M105" s="1827"/>
      <c r="N105" s="2987"/>
      <c r="O105" s="2987"/>
      <c r="P105" s="2029"/>
      <c r="Q105" s="1844"/>
    </row>
    <row r="106" spans="1:17" ht="15" thickTop="1">
      <c r="A106" s="1874"/>
      <c r="B106" s="1829" t="s">
        <v>2268</v>
      </c>
      <c r="C106" s="3317" t="s">
        <v>3016</v>
      </c>
      <c r="D106" s="468"/>
      <c r="E106" s="1548"/>
      <c r="F106" s="1548"/>
      <c r="G106" s="1548"/>
      <c r="H106" s="1548"/>
      <c r="I106" s="1548"/>
      <c r="J106" s="1548"/>
      <c r="K106" s="473"/>
      <c r="L106" s="473"/>
      <c r="M106" s="1864"/>
      <c r="N106" s="2986"/>
      <c r="O106" s="2986"/>
      <c r="P106" s="2028"/>
      <c r="Q106" s="1792"/>
    </row>
    <row r="107" spans="1:17" ht="15.75" thickBot="1">
      <c r="A107" s="1824"/>
      <c r="B107" s="1832"/>
      <c r="C107" s="1833">
        <v>100</v>
      </c>
      <c r="D107" s="1833">
        <f t="shared" ref="D107:M107" si="24">C107-$K35</f>
        <v>98</v>
      </c>
      <c r="E107" s="1833">
        <f t="shared" si="24"/>
        <v>96</v>
      </c>
      <c r="F107" s="1833">
        <f t="shared" si="24"/>
        <v>94</v>
      </c>
      <c r="G107" s="1833">
        <f t="shared" si="24"/>
        <v>92</v>
      </c>
      <c r="H107" s="1833">
        <f t="shared" si="24"/>
        <v>90</v>
      </c>
      <c r="I107" s="1833">
        <f t="shared" si="24"/>
        <v>88</v>
      </c>
      <c r="J107" s="1833">
        <f t="shared" si="24"/>
        <v>86</v>
      </c>
      <c r="K107" s="1833">
        <f t="shared" si="24"/>
        <v>84</v>
      </c>
      <c r="L107" s="1833">
        <f t="shared" si="24"/>
        <v>82</v>
      </c>
      <c r="M107" s="1834">
        <f t="shared" si="24"/>
        <v>80</v>
      </c>
      <c r="N107" s="2987"/>
      <c r="O107" s="2987"/>
      <c r="P107" s="2028"/>
      <c r="Q107" s="1792"/>
    </row>
    <row r="108" spans="1:17" ht="15" thickTop="1">
      <c r="A108" s="1874"/>
      <c r="B108" s="1829" t="s">
        <v>2270</v>
      </c>
      <c r="C108" s="3317" t="s">
        <v>2995</v>
      </c>
      <c r="D108" s="3317" t="s">
        <v>2997</v>
      </c>
      <c r="E108" s="3317" t="s">
        <v>2998</v>
      </c>
      <c r="F108" s="3319" t="s">
        <v>2999</v>
      </c>
      <c r="G108" s="1548"/>
      <c r="H108" s="1548"/>
      <c r="I108" s="1548"/>
      <c r="J108" s="1548"/>
      <c r="K108" s="473"/>
      <c r="L108" s="473"/>
      <c r="M108" s="1864"/>
      <c r="N108" s="2986"/>
      <c r="O108" s="2986"/>
      <c r="P108" s="2028"/>
      <c r="Q108" s="1792"/>
    </row>
    <row r="109" spans="1:17" ht="15.75" thickBot="1">
      <c r="A109" s="1824"/>
      <c r="B109" s="1832"/>
      <c r="C109" s="1833">
        <v>100</v>
      </c>
      <c r="D109" s="1833">
        <f t="shared" ref="D109:M109" si="25">C109-$K36</f>
        <v>98</v>
      </c>
      <c r="E109" s="1833">
        <f t="shared" si="25"/>
        <v>96</v>
      </c>
      <c r="F109" s="1833">
        <f t="shared" si="25"/>
        <v>94</v>
      </c>
      <c r="G109" s="1833">
        <f t="shared" si="25"/>
        <v>92</v>
      </c>
      <c r="H109" s="1833">
        <f t="shared" si="25"/>
        <v>90</v>
      </c>
      <c r="I109" s="1833">
        <f t="shared" si="25"/>
        <v>88</v>
      </c>
      <c r="J109" s="1833">
        <f t="shared" si="25"/>
        <v>86</v>
      </c>
      <c r="K109" s="1833">
        <f t="shared" si="25"/>
        <v>84</v>
      </c>
      <c r="L109" s="1833">
        <f t="shared" si="25"/>
        <v>82</v>
      </c>
      <c r="M109" s="1834">
        <f t="shared" si="25"/>
        <v>80</v>
      </c>
      <c r="N109" s="2987"/>
      <c r="O109" s="2987"/>
      <c r="P109" s="2028"/>
      <c r="Q109" s="1792"/>
    </row>
    <row r="110" spans="1:17" ht="15" thickTop="1">
      <c r="A110" s="1874"/>
      <c r="B110" s="1829" t="s">
        <v>2271</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4"/>
      <c r="N110" s="2986"/>
      <c r="O110" s="2986"/>
      <c r="P110" s="2028"/>
      <c r="Q110" s="1792"/>
    </row>
    <row r="111" spans="1:17">
      <c r="A111" s="1874"/>
      <c r="B111" s="1835"/>
      <c r="C111" s="1876">
        <v>0.5</v>
      </c>
      <c r="D111" s="1876">
        <v>0.6</v>
      </c>
      <c r="E111" s="1876">
        <v>0.7</v>
      </c>
      <c r="F111" s="1876">
        <v>0.8</v>
      </c>
      <c r="G111" s="1876">
        <v>0.9</v>
      </c>
      <c r="H111" s="1876">
        <v>1</v>
      </c>
      <c r="I111" s="2454"/>
      <c r="J111" s="2454"/>
      <c r="K111" s="508"/>
      <c r="L111" s="508"/>
      <c r="M111" s="2455"/>
      <c r="N111" s="2986"/>
      <c r="O111" s="2986"/>
      <c r="P111" s="2028"/>
      <c r="Q111" s="1792"/>
    </row>
    <row r="112" spans="1:17" ht="15.75" thickBot="1">
      <c r="A112" s="1824"/>
      <c r="B112" s="1832"/>
      <c r="C112" s="1862">
        <v>100</v>
      </c>
      <c r="D112" s="1833">
        <f>C112+$K37</f>
        <v>102</v>
      </c>
      <c r="E112" s="1833">
        <f t="shared" ref="E112:M112" si="26">D112+$K37</f>
        <v>104</v>
      </c>
      <c r="F112" s="1833">
        <f t="shared" si="26"/>
        <v>106</v>
      </c>
      <c r="G112" s="1833">
        <f t="shared" si="26"/>
        <v>108</v>
      </c>
      <c r="H112" s="1833">
        <f t="shared" si="26"/>
        <v>110</v>
      </c>
      <c r="I112" s="1833">
        <f t="shared" si="26"/>
        <v>112</v>
      </c>
      <c r="J112" s="1833">
        <f t="shared" si="26"/>
        <v>114</v>
      </c>
      <c r="K112" s="1833">
        <f t="shared" si="26"/>
        <v>116</v>
      </c>
      <c r="L112" s="1833">
        <f t="shared" si="26"/>
        <v>118</v>
      </c>
      <c r="M112" s="1833">
        <f t="shared" si="26"/>
        <v>120</v>
      </c>
      <c r="N112" s="2987"/>
      <c r="O112" s="2987"/>
      <c r="P112" s="2028"/>
      <c r="Q112" s="1792"/>
    </row>
    <row r="113" spans="1:17" s="1742" customFormat="1" ht="15" thickTop="1">
      <c r="A113" s="1870"/>
      <c r="B113" s="1829" t="s">
        <v>2341</v>
      </c>
      <c r="C113" s="3317" t="s">
        <v>3018</v>
      </c>
      <c r="D113" s="468"/>
      <c r="E113" s="468"/>
      <c r="F113" s="468"/>
      <c r="G113" s="468"/>
      <c r="H113" s="1548"/>
      <c r="I113" s="1548"/>
      <c r="J113" s="1548"/>
      <c r="K113" s="473"/>
      <c r="L113" s="473"/>
      <c r="M113" s="1864"/>
      <c r="N113" s="2988"/>
      <c r="O113" s="2988"/>
      <c r="P113" s="2029"/>
      <c r="Q113" s="1844"/>
    </row>
    <row r="114" spans="1:17" s="1742" customFormat="1" ht="15.75" thickBot="1">
      <c r="A114" s="1840"/>
      <c r="B114" s="1832"/>
      <c r="C114" s="1833">
        <v>100</v>
      </c>
      <c r="D114" s="1833">
        <f>C114-$K38</f>
        <v>98</v>
      </c>
      <c r="E114" s="1833">
        <f t="shared" ref="E114:M114" si="27">D114-$K38</f>
        <v>96</v>
      </c>
      <c r="F114" s="1833">
        <f t="shared" si="27"/>
        <v>94</v>
      </c>
      <c r="G114" s="1833">
        <f t="shared" si="27"/>
        <v>92</v>
      </c>
      <c r="H114" s="1833">
        <f t="shared" si="27"/>
        <v>90</v>
      </c>
      <c r="I114" s="1833">
        <f t="shared" si="27"/>
        <v>88</v>
      </c>
      <c r="J114" s="1833">
        <f t="shared" si="27"/>
        <v>86</v>
      </c>
      <c r="K114" s="1833">
        <f t="shared" si="27"/>
        <v>84</v>
      </c>
      <c r="L114" s="1833">
        <f t="shared" si="27"/>
        <v>82</v>
      </c>
      <c r="M114" s="1833">
        <f t="shared" si="27"/>
        <v>80</v>
      </c>
      <c r="N114" s="2988"/>
      <c r="O114" s="2988"/>
      <c r="P114" s="2029"/>
      <c r="Q114" s="1844"/>
    </row>
    <row r="115" spans="1:17" ht="15" thickTop="1">
      <c r="A115" s="1874"/>
      <c r="B115" s="1829" t="s">
        <v>2272</v>
      </c>
      <c r="C115" s="3317" t="s">
        <v>3020</v>
      </c>
      <c r="D115" s="3317" t="s">
        <v>3021</v>
      </c>
      <c r="E115" s="1548"/>
      <c r="F115" s="1548"/>
      <c r="G115" s="1548"/>
      <c r="H115" s="1548"/>
      <c r="I115" s="1548"/>
      <c r="J115" s="1548"/>
      <c r="K115" s="473"/>
      <c r="L115" s="473"/>
      <c r="M115" s="1864"/>
      <c r="N115" s="2986"/>
      <c r="O115" s="2986"/>
      <c r="P115" s="2028"/>
      <c r="Q115" s="1792"/>
    </row>
    <row r="116" spans="1:17" ht="15.75" thickBot="1">
      <c r="A116" s="1824"/>
      <c r="B116" s="1832"/>
      <c r="C116" s="1833">
        <v>100</v>
      </c>
      <c r="D116" s="1833">
        <f t="shared" ref="D116:M116" si="28">C116-$K39</f>
        <v>98</v>
      </c>
      <c r="E116" s="1833">
        <f t="shared" si="28"/>
        <v>96</v>
      </c>
      <c r="F116" s="1833">
        <f t="shared" si="28"/>
        <v>94</v>
      </c>
      <c r="G116" s="1833">
        <f t="shared" si="28"/>
        <v>92</v>
      </c>
      <c r="H116" s="1833">
        <f t="shared" si="28"/>
        <v>90</v>
      </c>
      <c r="I116" s="1833">
        <f t="shared" si="28"/>
        <v>88</v>
      </c>
      <c r="J116" s="1833">
        <f t="shared" si="28"/>
        <v>86</v>
      </c>
      <c r="K116" s="1833">
        <f t="shared" si="28"/>
        <v>84</v>
      </c>
      <c r="L116" s="1833">
        <f t="shared" si="28"/>
        <v>82</v>
      </c>
      <c r="M116" s="1834">
        <f t="shared" si="28"/>
        <v>80</v>
      </c>
      <c r="N116" s="2987"/>
      <c r="O116" s="2987"/>
      <c r="P116" s="2028"/>
      <c r="Q116" s="1792"/>
    </row>
    <row r="117" spans="1:17" ht="15" thickTop="1">
      <c r="A117" s="1874"/>
      <c r="B117" s="1829" t="s">
        <v>2273</v>
      </c>
      <c r="C117" s="3317" t="s">
        <v>3022</v>
      </c>
      <c r="D117" s="3317" t="s">
        <v>3024</v>
      </c>
      <c r="E117" s="468"/>
      <c r="F117" s="468"/>
      <c r="G117" s="468"/>
      <c r="H117" s="1548"/>
      <c r="I117" s="1548"/>
      <c r="J117" s="1548"/>
      <c r="K117" s="473"/>
      <c r="L117" s="473"/>
      <c r="M117" s="1864"/>
      <c r="N117" s="2986"/>
      <c r="O117" s="2986"/>
      <c r="P117" s="2028"/>
      <c r="Q117" s="1792"/>
    </row>
    <row r="118" spans="1:17" ht="15.75" thickBot="1">
      <c r="A118" s="1824"/>
      <c r="B118" s="1832"/>
      <c r="C118" s="1833">
        <v>100</v>
      </c>
      <c r="D118" s="1833">
        <f>C118-$K40</f>
        <v>98</v>
      </c>
      <c r="E118" s="1833">
        <f>D118-$K40</f>
        <v>96</v>
      </c>
      <c r="F118" s="1833">
        <f>E118-$K40</f>
        <v>94</v>
      </c>
      <c r="G118" s="1833">
        <f>F118-$K40</f>
        <v>92</v>
      </c>
      <c r="H118" s="1833"/>
      <c r="I118" s="1833"/>
      <c r="J118" s="1833"/>
      <c r="K118" s="1833"/>
      <c r="L118" s="1833"/>
      <c r="M118" s="1834"/>
      <c r="N118" s="2987"/>
      <c r="O118" s="2987"/>
      <c r="P118" s="2028"/>
      <c r="Q118" s="1792"/>
    </row>
    <row r="119" spans="1:17" ht="15" thickTop="1">
      <c r="A119" s="1874"/>
      <c r="B119" s="2476" t="s">
        <v>2342</v>
      </c>
      <c r="C119" s="3319" t="s">
        <v>3025</v>
      </c>
      <c r="D119" s="3319" t="s">
        <v>3027</v>
      </c>
      <c r="E119" s="1548"/>
      <c r="F119" s="1548"/>
      <c r="G119" s="1548"/>
      <c r="H119" s="1548"/>
      <c r="I119" s="1548"/>
      <c r="J119" s="1548"/>
      <c r="K119" s="1548"/>
      <c r="L119" s="1548"/>
      <c r="M119" s="2477"/>
      <c r="N119" s="2987"/>
      <c r="O119" s="2987"/>
      <c r="P119" s="2478"/>
      <c r="Q119" s="2479"/>
    </row>
    <row r="120" spans="1:17" ht="15.75" thickBot="1">
      <c r="A120" s="1824"/>
      <c r="B120" s="1832"/>
      <c r="C120" s="1862">
        <v>100</v>
      </c>
      <c r="D120" s="1833">
        <f>C120-$K41</f>
        <v>98</v>
      </c>
      <c r="E120" s="1833">
        <f t="shared" ref="E120:M120" si="29">D120-$K41</f>
        <v>96</v>
      </c>
      <c r="F120" s="1833">
        <f t="shared" si="29"/>
        <v>94</v>
      </c>
      <c r="G120" s="1833">
        <f t="shared" si="29"/>
        <v>92</v>
      </c>
      <c r="H120" s="1833">
        <f t="shared" si="29"/>
        <v>90</v>
      </c>
      <c r="I120" s="1833">
        <f t="shared" si="29"/>
        <v>88</v>
      </c>
      <c r="J120" s="1833">
        <f t="shared" si="29"/>
        <v>86</v>
      </c>
      <c r="K120" s="1833">
        <f t="shared" si="29"/>
        <v>84</v>
      </c>
      <c r="L120" s="1833">
        <f t="shared" si="29"/>
        <v>82</v>
      </c>
      <c r="M120" s="1833">
        <f t="shared" si="29"/>
        <v>80</v>
      </c>
      <c r="N120" s="2987"/>
      <c r="O120" s="2987"/>
      <c r="P120" s="2028"/>
      <c r="Q120" s="1792"/>
    </row>
    <row r="121" spans="1:17" s="1742" customFormat="1" ht="15" thickTop="1">
      <c r="A121" s="1870"/>
      <c r="B121" s="1829" t="s">
        <v>2324</v>
      </c>
      <c r="C121" s="468"/>
      <c r="D121" s="468"/>
      <c r="E121" s="468"/>
      <c r="F121" s="1548"/>
      <c r="G121" s="443"/>
      <c r="H121" s="443"/>
      <c r="I121" s="443"/>
      <c r="J121" s="443"/>
      <c r="K121" s="443"/>
      <c r="L121" s="443"/>
      <c r="M121" s="1841"/>
      <c r="N121" s="2988"/>
      <c r="O121" s="2988"/>
      <c r="P121" s="2029"/>
      <c r="Q121" s="1844"/>
    </row>
    <row r="122" spans="1:17" s="1742" customFormat="1" ht="15.75" thickBot="1">
      <c r="A122" s="1840"/>
      <c r="B122" s="1825"/>
      <c r="C122" s="1845"/>
      <c r="D122" s="1845"/>
      <c r="E122" s="1845"/>
      <c r="F122" s="1845"/>
      <c r="G122" s="1845"/>
      <c r="H122" s="1845"/>
      <c r="I122" s="1845"/>
      <c r="J122" s="1845"/>
      <c r="K122" s="1845"/>
      <c r="L122" s="1845"/>
      <c r="M122" s="1845"/>
      <c r="N122" s="2988"/>
      <c r="O122" s="2988"/>
      <c r="P122" s="2029"/>
      <c r="Q122" s="1844"/>
    </row>
    <row r="123" spans="1:17" ht="15" thickTop="1">
      <c r="A123" s="1874"/>
      <c r="B123" s="1829" t="s">
        <v>2275</v>
      </c>
      <c r="C123" s="3317" t="s">
        <v>2995</v>
      </c>
      <c r="D123" s="3317" t="s">
        <v>2997</v>
      </c>
      <c r="E123" s="3317" t="s">
        <v>2998</v>
      </c>
      <c r="F123" s="3319" t="s">
        <v>2999</v>
      </c>
      <c r="G123" s="1548"/>
      <c r="H123" s="1548"/>
      <c r="I123" s="1548"/>
      <c r="J123" s="1548"/>
      <c r="K123" s="473"/>
      <c r="L123" s="473"/>
      <c r="M123" s="1864"/>
      <c r="N123" s="2986"/>
      <c r="O123" s="2986"/>
      <c r="P123" s="2028"/>
      <c r="Q123" s="1792"/>
    </row>
    <row r="124" spans="1:17" ht="15.75" thickBot="1">
      <c r="A124" s="1824"/>
      <c r="B124" s="1832"/>
      <c r="C124" s="1833">
        <v>100</v>
      </c>
      <c r="D124" s="1833">
        <f t="shared" ref="D124:M124" si="30">C124-$K43</f>
        <v>98</v>
      </c>
      <c r="E124" s="1833">
        <f t="shared" si="30"/>
        <v>96</v>
      </c>
      <c r="F124" s="1833">
        <f t="shared" si="30"/>
        <v>94</v>
      </c>
      <c r="G124" s="1833">
        <f t="shared" si="30"/>
        <v>92</v>
      </c>
      <c r="H124" s="1833">
        <f t="shared" si="30"/>
        <v>90</v>
      </c>
      <c r="I124" s="1833">
        <f t="shared" si="30"/>
        <v>88</v>
      </c>
      <c r="J124" s="1833">
        <f t="shared" si="30"/>
        <v>86</v>
      </c>
      <c r="K124" s="1833">
        <f t="shared" si="30"/>
        <v>84</v>
      </c>
      <c r="L124" s="1833">
        <f t="shared" si="30"/>
        <v>82</v>
      </c>
      <c r="M124" s="1834">
        <f t="shared" si="30"/>
        <v>80</v>
      </c>
      <c r="N124" s="2987"/>
      <c r="O124" s="2987"/>
      <c r="P124" s="2028"/>
      <c r="Q124" s="1792"/>
    </row>
    <row r="125" spans="1:17" ht="15" thickTop="1">
      <c r="A125" s="1874"/>
      <c r="B125" s="1829" t="s">
        <v>2276</v>
      </c>
      <c r="C125" s="579" t="s">
        <v>2251</v>
      </c>
      <c r="D125" s="579" t="s">
        <v>2252</v>
      </c>
      <c r="E125" s="579" t="s">
        <v>2253</v>
      </c>
      <c r="F125" s="579" t="s">
        <v>2254</v>
      </c>
      <c r="G125" s="579" t="s">
        <v>2255</v>
      </c>
      <c r="H125" s="1830"/>
      <c r="I125" s="1830"/>
      <c r="J125" s="1830"/>
      <c r="K125" s="428"/>
      <c r="L125" s="428"/>
      <c r="M125" s="1831"/>
      <c r="N125" s="2986"/>
      <c r="O125" s="2986"/>
      <c r="P125" s="2029"/>
      <c r="Q125" s="1792"/>
    </row>
    <row r="126" spans="1:17" ht="15.75" thickBot="1">
      <c r="A126" s="1824"/>
      <c r="B126" s="1832"/>
      <c r="C126" s="1833">
        <v>100</v>
      </c>
      <c r="D126" s="1833">
        <f>C126-$K44</f>
        <v>100</v>
      </c>
      <c r="E126" s="1833">
        <f>D126-$K44</f>
        <v>100</v>
      </c>
      <c r="F126" s="1833">
        <f>E126-$K44</f>
        <v>100</v>
      </c>
      <c r="G126" s="1833">
        <f>F126-$K44</f>
        <v>100</v>
      </c>
      <c r="H126" s="1833"/>
      <c r="I126" s="1833"/>
      <c r="J126" s="1833"/>
      <c r="K126" s="1833"/>
      <c r="L126" s="1833"/>
      <c r="M126" s="1834"/>
      <c r="N126" s="2987"/>
      <c r="O126" s="2987"/>
      <c r="P126" s="2028"/>
      <c r="Q126" s="1792"/>
    </row>
    <row r="127" spans="1:17" s="1742" customFormat="1" ht="15" thickTop="1">
      <c r="A127" s="1870"/>
      <c r="B127" s="1829">
        <f>B45</f>
        <v>111</v>
      </c>
      <c r="C127" s="468"/>
      <c r="D127" s="468"/>
      <c r="E127" s="468"/>
      <c r="F127" s="468"/>
      <c r="G127" s="468"/>
      <c r="H127" s="443"/>
      <c r="I127" s="443"/>
      <c r="J127" s="443"/>
      <c r="K127" s="443"/>
      <c r="L127" s="443"/>
      <c r="M127" s="1841"/>
      <c r="N127" s="2988"/>
      <c r="O127" s="2988"/>
      <c r="P127" s="2029"/>
      <c r="Q127" s="1844"/>
    </row>
    <row r="128" spans="1:17" s="1742" customFormat="1" ht="15.75" thickBot="1">
      <c r="A128" s="1840"/>
      <c r="B128" s="1832"/>
      <c r="C128" s="1845"/>
      <c r="D128" s="1826"/>
      <c r="E128" s="1826"/>
      <c r="F128" s="1826"/>
      <c r="G128" s="1845"/>
      <c r="H128" s="1848"/>
      <c r="I128" s="1848"/>
      <c r="J128" s="1848"/>
      <c r="K128" s="1848"/>
      <c r="L128" s="1848"/>
      <c r="M128" s="1849"/>
      <c r="N128" s="2988"/>
      <c r="O128" s="2988"/>
      <c r="P128" s="2029"/>
      <c r="Q128" s="1844"/>
    </row>
    <row r="129" spans="1:17" ht="15" thickTop="1">
      <c r="A129" s="1874"/>
      <c r="B129" s="1829">
        <f>B46</f>
        <v>111</v>
      </c>
      <c r="C129" s="468"/>
      <c r="D129" s="468"/>
      <c r="E129" s="468"/>
      <c r="F129" s="468"/>
      <c r="G129" s="1548"/>
      <c r="H129" s="1548"/>
      <c r="I129" s="1548"/>
      <c r="J129" s="1548"/>
      <c r="K129" s="473"/>
      <c r="L129" s="473"/>
      <c r="M129" s="1864"/>
      <c r="N129" s="2986"/>
      <c r="O129" s="2986"/>
      <c r="P129" s="2028"/>
      <c r="Q129" s="1792"/>
    </row>
    <row r="130" spans="1:17" ht="15.75" thickBot="1">
      <c r="A130" s="1824"/>
      <c r="B130" s="1832"/>
      <c r="C130" s="1845"/>
      <c r="D130" s="1845"/>
      <c r="E130" s="1845"/>
      <c r="F130" s="1845"/>
      <c r="G130" s="1826"/>
      <c r="H130" s="1826"/>
      <c r="I130" s="1826"/>
      <c r="J130" s="1826"/>
      <c r="K130" s="1826"/>
      <c r="L130" s="1826"/>
      <c r="M130" s="1827"/>
      <c r="N130" s="2987"/>
      <c r="O130" s="2987"/>
      <c r="P130" s="2028"/>
      <c r="Q130" s="1792"/>
    </row>
    <row r="131" spans="1:17" ht="15" thickTop="1">
      <c r="A131" s="1874"/>
      <c r="B131" s="1835">
        <f>B47</f>
        <v>111</v>
      </c>
      <c r="C131" s="409"/>
      <c r="D131" s="409"/>
      <c r="E131" s="409"/>
      <c r="F131" s="409"/>
      <c r="G131" s="1865"/>
      <c r="H131" s="1865"/>
      <c r="I131" s="1865"/>
      <c r="J131" s="1865"/>
      <c r="K131" s="409"/>
      <c r="L131" s="409"/>
      <c r="M131" s="1866"/>
      <c r="N131" s="2986"/>
      <c r="O131" s="2986"/>
      <c r="P131" s="2028"/>
      <c r="Q131" s="1792"/>
    </row>
    <row r="132" spans="1:17" ht="15.75" thickBot="1">
      <c r="A132" s="2480"/>
      <c r="B132" s="1852"/>
      <c r="C132" s="1853"/>
      <c r="D132" s="1853"/>
      <c r="E132" s="1853"/>
      <c r="F132" s="1853"/>
      <c r="G132" s="1868"/>
      <c r="H132" s="1868"/>
      <c r="I132" s="1868"/>
      <c r="J132" s="1868"/>
      <c r="K132" s="1868"/>
      <c r="L132" s="1868"/>
      <c r="M132" s="1869"/>
      <c r="N132" s="2987"/>
      <c r="O132" s="2987"/>
      <c r="P132" s="2028"/>
      <c r="Q132" s="179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 type="list" allowBlank="1" showInputMessage="1" showErrorMessage="1" sqref="D49"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0DE0B-8E21-41D8-B0EE-4091B465D0DF}">
  <dimension ref="A1"/>
  <sheetViews>
    <sheetView topLeftCell="A88" workbookViewId="0">
      <selection activeCell="O21" sqref="O21"/>
    </sheetView>
  </sheetViews>
  <sheetFormatPr defaultRowHeight="13.5"/>
  <sheetData/>
  <phoneticPr fontId="146"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2" t="s">
        <v>1229</v>
      </c>
      <c r="D1" s="1095"/>
      <c r="E1" s="924"/>
      <c r="F1" s="924"/>
      <c r="G1" s="924"/>
      <c r="H1" s="924"/>
      <c r="I1" s="924"/>
      <c r="J1" s="924"/>
      <c r="K1" s="924"/>
    </row>
    <row r="2" spans="1:33" s="139" customFormat="1" ht="18" customHeight="1">
      <c r="A2" s="81" t="s">
        <v>1230</v>
      </c>
      <c r="B2" s="84">
        <f ca="1">IF(C2="元",C32,ROUND(C32/10000,0))</f>
        <v>5</v>
      </c>
      <c r="C2" s="1371" t="str">
        <f>'数据-取费表'!B3</f>
        <v>万元</v>
      </c>
      <c r="D2" s="924"/>
      <c r="E2" s="924"/>
      <c r="F2" s="924"/>
      <c r="G2" s="924"/>
      <c r="H2" s="924"/>
      <c r="I2" s="924"/>
      <c r="J2" s="924"/>
      <c r="K2" s="924"/>
    </row>
    <row r="3" spans="1:33" s="139" customFormat="1" ht="18" customHeight="1" thickBot="1">
      <c r="A3" s="83" t="s">
        <v>1231</v>
      </c>
      <c r="B3" s="84" t="e">
        <f ca="1">ROUND(C32/IF(C1="仅计算典型户型",'数据-取费表'!E5,'数据-取费表'!B5),0)</f>
        <v>#DIV/0!</v>
      </c>
      <c r="C3" s="1371" t="s">
        <v>1232</v>
      </c>
      <c r="D3" s="924"/>
      <c r="E3" s="924"/>
      <c r="F3" s="924"/>
      <c r="G3" s="924"/>
      <c r="H3" s="924"/>
      <c r="I3" s="924"/>
      <c r="J3" s="924"/>
      <c r="K3" s="924"/>
    </row>
    <row r="4" spans="1:33" s="143" customFormat="1" ht="16.5" customHeight="1">
      <c r="A4" s="140" t="s">
        <v>1233</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1236</v>
      </c>
      <c r="B6" s="147" t="s">
        <v>1237</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1238</v>
      </c>
      <c r="B7" s="147" t="s">
        <v>1239</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1240</v>
      </c>
      <c r="B8" s="147" t="s">
        <v>1241</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1247</v>
      </c>
      <c r="C11" s="163">
        <f>IF(C1="仅计算典型户型",'数据-取费表'!F18,'数据-取费表'!E18)</f>
        <v>0</v>
      </c>
      <c r="D11" s="164"/>
      <c r="E11" s="34"/>
      <c r="F11" s="165">
        <f>1-'数据-取费表'!E20</f>
        <v>9.9999999999999978E-2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1248</v>
      </c>
      <c r="C12" s="13">
        <f>ROUND(C11*F12,0)</f>
        <v>0</v>
      </c>
      <c r="D12" s="164"/>
      <c r="E12" s="34"/>
      <c r="F12" s="167">
        <f>'数据-取费表'!E21</f>
        <v>0.03</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1250</v>
      </c>
      <c r="C13" s="13">
        <f>ROUND(IF('数据-取费表'!B10="住宅",C11*F13,0),0)</f>
        <v>0</v>
      </c>
      <c r="D13" s="164"/>
      <c r="E13" s="34"/>
      <c r="F13" s="167">
        <f>'数据-取费表'!E22</f>
        <v>0</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1252</v>
      </c>
      <c r="C14" s="13">
        <f>ROUND(D14*E14*F11,0)</f>
        <v>0</v>
      </c>
      <c r="D14" s="164">
        <f>IF(C1="仅计算典型户型",'数据-取费表'!E5,'数据-取费表'!B5)</f>
        <v>0</v>
      </c>
      <c r="E14" s="13">
        <f>'数据-取费表'!E23</f>
        <v>200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1254</v>
      </c>
      <c r="C15" s="175">
        <f>ROUND(C11*F15,0)</f>
        <v>0</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1256</v>
      </c>
      <c r="B16" s="162" t="s">
        <v>1257</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1258</v>
      </c>
      <c r="B17" s="162" t="s">
        <v>1259</v>
      </c>
      <c r="C17" s="13">
        <f>ROUND(D17*E17,0)</f>
        <v>0</v>
      </c>
      <c r="D17" s="164">
        <f>IF(C1="仅计算典型户型",'数据-取费表'!E5,'数据-取费表'!B5)</f>
        <v>0</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1261</v>
      </c>
      <c r="B18" s="162" t="s">
        <v>1262</v>
      </c>
      <c r="C18" s="13">
        <f>C19+C20-'数据-取费表'!E13</f>
        <v>-48176</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1264</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1265</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1236</v>
      </c>
      <c r="B21" s="177" t="s">
        <v>1266</v>
      </c>
      <c r="C21" s="178">
        <f>C16+C17+C18</f>
        <v>-48176</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1238</v>
      </c>
      <c r="B22" s="177" t="s">
        <v>1268</v>
      </c>
      <c r="C22" s="178">
        <f>ROUND(C21*F22,0)</f>
        <v>-964</v>
      </c>
      <c r="D22" s="180"/>
      <c r="E22" s="180"/>
      <c r="F22" s="181">
        <f>'数据-取费表'!E25</f>
        <v>0.02</v>
      </c>
      <c r="G22" s="156" t="s">
        <v>1269</v>
      </c>
      <c r="H22" s="159"/>
      <c r="I22" s="159"/>
      <c r="J22" s="159"/>
      <c r="K22" s="160"/>
      <c r="L22" s="182"/>
      <c r="M22" s="182"/>
      <c r="N22" s="182"/>
    </row>
    <row r="23" spans="1:33" s="166" customFormat="1" ht="13.5" customHeight="1">
      <c r="A23" s="995" t="s">
        <v>1240</v>
      </c>
      <c r="B23" s="177" t="s">
        <v>1270</v>
      </c>
      <c r="C23" s="178">
        <f>ROUND(C4*F23*F11,0)</f>
        <v>0</v>
      </c>
      <c r="D23" s="180"/>
      <c r="E23" s="180"/>
      <c r="F23" s="181">
        <f>'数据-取费表'!E26</f>
        <v>0.02</v>
      </c>
      <c r="G23" s="156" t="s">
        <v>1271</v>
      </c>
      <c r="H23" s="159"/>
      <c r="I23" s="159"/>
      <c r="J23" s="159"/>
      <c r="K23" s="160"/>
    </row>
    <row r="24" spans="1:33" s="166" customFormat="1" ht="13.5" customHeight="1">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5" t="s">
        <v>1275</v>
      </c>
      <c r="B25" s="179" t="s">
        <v>1276</v>
      </c>
      <c r="C25" s="188">
        <f ca="1">C27</f>
        <v>0</v>
      </c>
      <c r="D25" s="183">
        <f ca="1">C26</f>
        <v>0</v>
      </c>
      <c r="E25" s="189" t="s">
        <v>12</v>
      </c>
      <c r="F25" s="190">
        <f ca="1">'数据-取费表'!E27</f>
        <v>4.2000000000000003E-2</v>
      </c>
      <c r="G25" s="147" t="s">
        <v>1277</v>
      </c>
      <c r="H25" s="186"/>
      <c r="I25" s="186"/>
      <c r="J25" s="186"/>
      <c r="K25" s="187"/>
    </row>
    <row r="26" spans="1:33" s="196" customFormat="1" ht="13.5" customHeight="1">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5" t="s">
        <v>1282</v>
      </c>
      <c r="B28" s="198" t="s">
        <v>1283</v>
      </c>
      <c r="C28" s="199">
        <f>C30</f>
        <v>-7371</v>
      </c>
      <c r="D28" s="183">
        <f>C29</f>
        <v>0.15440000000000001</v>
      </c>
      <c r="E28" s="189" t="s">
        <v>12</v>
      </c>
      <c r="F28" s="200">
        <f>'数据-取费表'!E28</f>
        <v>0.15</v>
      </c>
      <c r="G28" s="185"/>
      <c r="H28" s="186"/>
      <c r="I28" s="186"/>
      <c r="J28" s="186"/>
      <c r="K28" s="187"/>
    </row>
    <row r="29" spans="1:33" s="204" customFormat="1" ht="13.5" customHeight="1">
      <c r="A29" s="996" t="s">
        <v>1284</v>
      </c>
      <c r="B29" s="202" t="s">
        <v>1285</v>
      </c>
      <c r="C29" s="193">
        <f>ROUND((1+C24)*F28,4)</f>
        <v>0.15440000000000001</v>
      </c>
      <c r="D29" s="193"/>
      <c r="E29" s="194"/>
      <c r="F29" s="203"/>
      <c r="G29" s="147" t="s">
        <v>1286</v>
      </c>
      <c r="H29" s="170"/>
      <c r="I29" s="170"/>
      <c r="J29" s="170"/>
      <c r="K29" s="171"/>
    </row>
    <row r="30" spans="1:33" s="204" customFormat="1" ht="13.5" customHeight="1">
      <c r="A30" s="996" t="s">
        <v>1287</v>
      </c>
      <c r="B30" s="202" t="s">
        <v>1288</v>
      </c>
      <c r="C30" s="205">
        <f>ROUND((C21+C22+C23)*F28,0)</f>
        <v>-7371</v>
      </c>
      <c r="D30" s="193"/>
      <c r="E30" s="206"/>
      <c r="F30" s="203"/>
      <c r="G30" s="147"/>
      <c r="H30" s="170"/>
      <c r="I30" s="170"/>
      <c r="J30" s="170"/>
      <c r="K30" s="171"/>
    </row>
    <row r="31" spans="1:33" s="182" customFormat="1" ht="13.5" customHeight="1" thickBot="1">
      <c r="A31" s="1373" t="s">
        <v>1289</v>
      </c>
      <c r="B31" s="177" t="s">
        <v>1290</v>
      </c>
      <c r="C31" s="207">
        <f>ROUND(C4*F31/(1+'数据-取费表'!F30),0)</f>
        <v>0</v>
      </c>
      <c r="D31" s="152"/>
      <c r="E31" s="208"/>
      <c r="F31" s="209">
        <f>'数据-取费表'!E29</f>
        <v>5.6000000000000001E-2</v>
      </c>
      <c r="G31" s="210" t="s">
        <v>1291</v>
      </c>
      <c r="H31" s="211"/>
      <c r="I31" s="211"/>
      <c r="J31" s="211"/>
      <c r="K31" s="212"/>
    </row>
    <row r="32" spans="1:33" s="161" customFormat="1" ht="13.5" customHeight="1" thickBot="1">
      <c r="A32" s="213" t="s">
        <v>1292</v>
      </c>
      <c r="B32" s="214"/>
      <c r="C32" s="215">
        <f ca="1">ROUND((C4-C21-C22-C23-C25-C28-C31)/(1+C24+D25+D28),0)</f>
        <v>47753</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zoomScale="80" zoomScaleNormal="60" zoomScaleSheetLayoutView="80" workbookViewId="0">
      <selection activeCell="C12" sqref="C12"/>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1946</v>
      </c>
      <c r="B1" s="222"/>
      <c r="C1" s="611"/>
      <c r="D1" s="1595" t="s">
        <v>2690</v>
      </c>
      <c r="E1" s="1596" t="s">
        <v>1183</v>
      </c>
      <c r="F1" s="1597"/>
      <c r="G1" s="1598" t="e">
        <f>MATCH(C1,'数据-取费表'!A19:A19,0)+5</f>
        <v>#N/A</v>
      </c>
      <c r="H1" s="295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1856</v>
      </c>
      <c r="B2" s="642">
        <f ca="1">IF(C2="元",IF('数据-取费表'!B29="租赁期内按合同租金",C40+L47+J29,C40+L47),ROUND(IF('数据-取费表'!B29="租赁期内按合同租金",(C40+L47+J29)/10000,(C40+L47)/10000),0))</f>
        <v>1051</v>
      </c>
      <c r="C2" s="1489" t="str">
        <f>'数据-取费表'!B3</f>
        <v>万元</v>
      </c>
      <c r="D2" s="927"/>
      <c r="E2" s="928"/>
      <c r="F2" s="928"/>
      <c r="G2" s="953"/>
      <c r="H2" s="929"/>
      <c r="I2" s="929"/>
      <c r="J2" s="929"/>
      <c r="K2" s="930"/>
      <c r="L2" s="929"/>
      <c r="M2" s="929"/>
    </row>
    <row r="3" spans="1:37" ht="18" customHeight="1" thickBot="1">
      <c r="A3" s="226" t="s">
        <v>1857</v>
      </c>
      <c r="B3" s="643">
        <f ca="1">ROUND(IF('数据-取费表'!B29="租赁期内按合同租金",(C40+L47+J29)/F43,(C40+L47)/F43),0)</f>
        <v>43645</v>
      </c>
      <c r="C3" s="1489" t="s">
        <v>1947</v>
      </c>
      <c r="D3" s="927"/>
      <c r="E3" s="928"/>
      <c r="F3" s="928"/>
      <c r="G3" s="953"/>
      <c r="H3" s="227" t="s">
        <v>1948</v>
      </c>
      <c r="I3" s="929"/>
      <c r="J3" s="929"/>
      <c r="K3" s="930"/>
      <c r="L3" s="929"/>
      <c r="M3" s="929"/>
    </row>
    <row r="4" spans="1:37" ht="18" customHeight="1">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c r="A5" s="232">
        <v>1</v>
      </c>
      <c r="B5" s="233" t="s">
        <v>1954</v>
      </c>
      <c r="C5" s="234">
        <f ca="1">C6+C10+C12</f>
        <v>554596</v>
      </c>
      <c r="D5" s="1603" t="s">
        <v>2668</v>
      </c>
      <c r="E5" s="927"/>
      <c r="F5" s="1056"/>
      <c r="G5" s="951"/>
      <c r="H5" s="232">
        <v>1</v>
      </c>
      <c r="I5" s="233" t="s">
        <v>1954</v>
      </c>
      <c r="J5" s="234">
        <f ca="1">J6+J10+J12</f>
        <v>0</v>
      </c>
      <c r="K5" s="1490" t="s">
        <v>1955</v>
      </c>
      <c r="L5" s="927"/>
      <c r="M5" s="1056"/>
    </row>
    <row r="6" spans="1:37" ht="18" customHeight="1">
      <c r="A6" s="1057" t="s">
        <v>1956</v>
      </c>
      <c r="B6" s="1412" t="s">
        <v>1957</v>
      </c>
      <c r="C6" s="234">
        <f>ROUND(F6*F8*F7*(1-F9),0)</f>
        <v>553904</v>
      </c>
      <c r="D6" s="36" t="s">
        <v>2644</v>
      </c>
      <c r="E6" s="235" t="s">
        <v>1958</v>
      </c>
      <c r="F6" s="236">
        <f>'数据-取费表'!B30</f>
        <v>7</v>
      </c>
      <c r="G6" s="951"/>
      <c r="H6" s="1057" t="s">
        <v>1956</v>
      </c>
      <c r="I6" s="1412" t="s">
        <v>1957</v>
      </c>
      <c r="J6" s="234">
        <f>ROUND(M6*M8*M7*(1-M9),0)</f>
        <v>0</v>
      </c>
      <c r="K6" s="36" t="s">
        <v>2644</v>
      </c>
      <c r="L6" s="235" t="s">
        <v>1958</v>
      </c>
      <c r="M6" s="236">
        <f>'数据-取费表'!B37</f>
        <v>0</v>
      </c>
    </row>
    <row r="7" spans="1:37" ht="18" customHeight="1">
      <c r="A7" s="1090"/>
      <c r="B7" s="238"/>
      <c r="C7" s="239"/>
      <c r="D7" s="240"/>
      <c r="E7" s="235" t="s">
        <v>1959</v>
      </c>
      <c r="F7" s="236">
        <f>IF('数据-取费表'!B42="",IF(D1="仅计算典型户型",'数据-取费表'!E5,'数据-取费表'!B5),'数据-取费表'!B42)</f>
        <v>240.88</v>
      </c>
      <c r="G7" s="951"/>
      <c r="H7" s="237"/>
      <c r="I7" s="238"/>
      <c r="J7" s="239"/>
      <c r="K7" s="240"/>
      <c r="L7" s="235" t="s">
        <v>1959</v>
      </c>
      <c r="M7" s="236">
        <f>IF('数据-取费表'!B42="",IF(D1="仅计算典型户型",'数据-取费表'!E5,'数据-取费表'!B5),'数据-取费表'!B42)</f>
        <v>240.88</v>
      </c>
    </row>
    <row r="8" spans="1:37" ht="18" customHeight="1">
      <c r="A8" s="1090"/>
      <c r="B8" s="238"/>
      <c r="C8" s="239"/>
      <c r="D8" s="240"/>
      <c r="E8" s="235" t="s">
        <v>1960</v>
      </c>
      <c r="F8" s="236">
        <f>'数据-取费表'!B43</f>
        <v>365</v>
      </c>
      <c r="G8" s="951"/>
      <c r="H8" s="237"/>
      <c r="I8" s="238"/>
      <c r="J8" s="239"/>
      <c r="K8" s="240"/>
      <c r="L8" s="235" t="s">
        <v>1961</v>
      </c>
      <c r="M8" s="236">
        <f>'数据-取费表'!B43</f>
        <v>365</v>
      </c>
    </row>
    <row r="9" spans="1:37" ht="18" customHeight="1">
      <c r="A9" s="1090"/>
      <c r="B9" s="238"/>
      <c r="C9" s="239"/>
      <c r="D9" s="244"/>
      <c r="E9" s="235" t="s">
        <v>1962</v>
      </c>
      <c r="F9" s="245">
        <f>'数据-取费表'!B33</f>
        <v>0.1</v>
      </c>
      <c r="G9" s="951"/>
      <c r="H9" s="237"/>
      <c r="I9" s="238"/>
      <c r="J9" s="1059"/>
      <c r="K9" s="43"/>
      <c r="L9" s="246" t="s">
        <v>1962</v>
      </c>
      <c r="M9" s="245">
        <f>'数据-取费表'!B39</f>
        <v>0</v>
      </c>
    </row>
    <row r="10" spans="1:37" ht="18" customHeight="1">
      <c r="A10" s="1057" t="s">
        <v>1963</v>
      </c>
      <c r="B10" s="1491" t="s">
        <v>1964</v>
      </c>
      <c r="C10" s="1058">
        <f ca="1">ROUND(IF(F10="押一",C6/12*F11,IF(F10="押二",C6/12*2*F11,IF(F10="押三",C6/12*3*F11,C11*F11))),0)</f>
        <v>692</v>
      </c>
      <c r="D10" s="1492" t="s">
        <v>2650</v>
      </c>
      <c r="E10" s="246" t="s">
        <v>1965</v>
      </c>
      <c r="F10" s="1493" t="s">
        <v>1966</v>
      </c>
      <c r="G10" s="951"/>
      <c r="H10" s="1057" t="s">
        <v>1963</v>
      </c>
      <c r="I10" s="1491" t="s">
        <v>1964</v>
      </c>
      <c r="J10" s="1058">
        <f ca="1">ROUND(IF(M10="押一",J6/12*M11,IF(M10="押二",J6/12*2*M11,IF(M10="押三",J6/12*3*M11,J11*M11))),0)</f>
        <v>0</v>
      </c>
      <c r="K10" s="36" t="s">
        <v>2650</v>
      </c>
      <c r="L10" s="246" t="s">
        <v>1965</v>
      </c>
      <c r="M10" s="1493"/>
    </row>
    <row r="11" spans="1:37" s="257" customFormat="1" ht="18" customHeight="1">
      <c r="A11" s="263"/>
      <c r="B11" s="1494" t="s">
        <v>1967</v>
      </c>
      <c r="C11" s="1062"/>
      <c r="D11" s="240"/>
      <c r="E11" s="246" t="s">
        <v>1968</v>
      </c>
      <c r="F11" s="247">
        <f ca="1">'数据-取费表'!B31</f>
        <v>1.4999999999999999E-2</v>
      </c>
      <c r="G11" s="952"/>
      <c r="H11" s="241"/>
      <c r="I11" s="1494" t="s">
        <v>1969</v>
      </c>
      <c r="J11" s="1062"/>
      <c r="K11" s="240"/>
      <c r="L11" s="246" t="s">
        <v>1968</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1970</v>
      </c>
      <c r="B12" s="1495" t="s">
        <v>1971</v>
      </c>
      <c r="C12" s="1068"/>
      <c r="D12" s="1496"/>
      <c r="E12" s="1074"/>
      <c r="F12" s="1069"/>
      <c r="G12" s="951"/>
      <c r="H12" s="1067" t="s">
        <v>1970</v>
      </c>
      <c r="I12" s="1495" t="s">
        <v>1971</v>
      </c>
      <c r="J12" s="1068"/>
      <c r="K12" s="1084"/>
      <c r="L12" s="1074"/>
      <c r="M12" s="1085"/>
    </row>
    <row r="13" spans="1:37" s="257" customFormat="1" ht="18" customHeight="1" thickTop="1">
      <c r="A13" s="1063">
        <v>2</v>
      </c>
      <c r="B13" s="1064" t="s">
        <v>1972</v>
      </c>
      <c r="C13" s="243">
        <f ca="1">ROUND(C29*F13,0)</f>
        <v>1131565</v>
      </c>
      <c r="D13" s="1065" t="s">
        <v>1973</v>
      </c>
      <c r="E13" s="1065" t="s">
        <v>1974</v>
      </c>
      <c r="F13" s="1066">
        <f>'数据-取费表'!E20</f>
        <v>0.9</v>
      </c>
      <c r="G13" s="952"/>
      <c r="H13" s="1063">
        <v>2</v>
      </c>
      <c r="I13" s="1064" t="s">
        <v>1972</v>
      </c>
      <c r="J13" s="1059">
        <f ca="1">ROUND(J14*J15,0)</f>
        <v>0</v>
      </c>
      <c r="K13" s="1070" t="s">
        <v>1973</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1975</v>
      </c>
      <c r="B14" s="235" t="s">
        <v>1976</v>
      </c>
      <c r="C14" s="254">
        <f>IF(D1="仅计算典型户型",'数据-取费表'!F18,'数据-取费表'!E18)</f>
        <v>867168</v>
      </c>
      <c r="D14" s="1298" t="s">
        <v>1977</v>
      </c>
      <c r="E14" s="1299"/>
      <c r="F14" s="799"/>
      <c r="G14" s="952"/>
      <c r="H14" s="253" t="s">
        <v>1956</v>
      </c>
      <c r="I14" s="235" t="s">
        <v>1978</v>
      </c>
      <c r="J14" s="13">
        <f ca="1">C29</f>
        <v>1257294</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1979</v>
      </c>
      <c r="B15" s="235" t="s">
        <v>1980</v>
      </c>
      <c r="C15" s="13">
        <f>ROUND(C14*F15,0)</f>
        <v>26015</v>
      </c>
      <c r="D15" s="255" t="s">
        <v>1981</v>
      </c>
      <c r="E15" s="255" t="s">
        <v>1982</v>
      </c>
      <c r="F15" s="256">
        <f>'数据-取费表'!E21</f>
        <v>0.03</v>
      </c>
      <c r="G15" s="951"/>
      <c r="H15" s="1073" t="s">
        <v>1983</v>
      </c>
      <c r="I15" s="1074" t="s">
        <v>1984</v>
      </c>
      <c r="J15" s="1086">
        <f>'数据-取费表'!B40</f>
        <v>0</v>
      </c>
      <c r="K15" s="1087"/>
      <c r="L15" s="1088"/>
      <c r="M15" s="1089"/>
    </row>
    <row r="16" spans="1:37" s="257" customFormat="1" ht="18" customHeight="1" thickTop="1">
      <c r="A16" s="253" t="s">
        <v>1985</v>
      </c>
      <c r="B16" s="235" t="s">
        <v>1986</v>
      </c>
      <c r="C16" s="13">
        <f>ROUND(C14*F16,0)</f>
        <v>0</v>
      </c>
      <c r="D16" s="235" t="s">
        <v>1981</v>
      </c>
      <c r="E16" s="235" t="s">
        <v>1982</v>
      </c>
      <c r="F16" s="258">
        <f>IF('数据-取费表'!B10="住宅",'数据-取费表'!E22,0)</f>
        <v>0</v>
      </c>
      <c r="G16" s="952"/>
      <c r="H16" s="1063" t="s">
        <v>14</v>
      </c>
      <c r="I16" s="1064" t="s">
        <v>1987</v>
      </c>
      <c r="J16" s="243">
        <f ca="1">ROUND(J17+J22+J23+J24,0)</f>
        <v>18859</v>
      </c>
      <c r="K16" s="1070" t="s">
        <v>1988</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1989</v>
      </c>
      <c r="B17" s="235" t="s">
        <v>1990</v>
      </c>
      <c r="C17" s="13">
        <f>ROUND(F17*IF(D1="仅计算典型户型",'数据-取费表'!E5,'数据-取费表'!B5),0)</f>
        <v>48176</v>
      </c>
      <c r="D17" s="235" t="s">
        <v>1991</v>
      </c>
      <c r="E17" s="235" t="s">
        <v>1992</v>
      </c>
      <c r="F17" s="15">
        <f>'数据-取费表'!E23</f>
        <v>200</v>
      </c>
      <c r="G17" s="952"/>
      <c r="H17" s="253" t="s">
        <v>1993</v>
      </c>
      <c r="I17" s="235" t="s">
        <v>1994</v>
      </c>
      <c r="J17" s="2797">
        <f>ROUND(IF(AND(项目基本情况!B7="自然人",项目基本情况!B6="北京市"),J6*M17/(1+'数据-取费表'!F30),J18+J19+J20),0)</f>
        <v>0</v>
      </c>
      <c r="K17" s="1298" t="s">
        <v>1995</v>
      </c>
      <c r="L17" s="1301" t="s">
        <v>1996</v>
      </c>
      <c r="M17" s="2796">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1997</v>
      </c>
      <c r="B18" s="235" t="s">
        <v>1998</v>
      </c>
      <c r="C18" s="13">
        <f>ROUND(C14*F18,0)</f>
        <v>13008</v>
      </c>
      <c r="D18" s="235" t="s">
        <v>1981</v>
      </c>
      <c r="E18" s="235" t="s">
        <v>1982</v>
      </c>
      <c r="F18" s="258">
        <f>'数据-取费表'!E24</f>
        <v>1.4999999999999999E-2</v>
      </c>
      <c r="G18" s="951"/>
      <c r="H18" s="253" t="s">
        <v>1999</v>
      </c>
      <c r="I18" s="235" t="s">
        <v>2000</v>
      </c>
      <c r="J18" s="13" t="str">
        <f>IF(项目基本情况!B7="自然人","——",ROUND(J6*M18/(1+'数据-取费表'!F30),0))</f>
        <v>——</v>
      </c>
      <c r="K18" s="1301" t="s">
        <v>2670</v>
      </c>
      <c r="L18" s="235" t="s">
        <v>1982</v>
      </c>
      <c r="M18" s="258">
        <f>'数据-取费表'!E29</f>
        <v>5.6000000000000001E-2</v>
      </c>
    </row>
    <row r="19" spans="1:37" s="257" customFormat="1" ht="18" customHeight="1">
      <c r="A19" s="253" t="s">
        <v>1993</v>
      </c>
      <c r="B19" s="235" t="s">
        <v>2001</v>
      </c>
      <c r="C19" s="13">
        <f>SUM(C14:C18)</f>
        <v>954367</v>
      </c>
      <c r="D19" s="33" t="s">
        <v>2002</v>
      </c>
      <c r="E19" s="1303"/>
      <c r="F19" s="15"/>
      <c r="G19" s="952"/>
      <c r="H19" s="253" t="s">
        <v>1979</v>
      </c>
      <c r="I19" s="235" t="s">
        <v>2003</v>
      </c>
      <c r="J19" s="13" t="str">
        <f>IF(项目基本情况!B7="自然人","——",IF(K19="按租金收入计税",ROUND(J6*M19/(1+'数据-取费表'!F30),0),ROUND(C29*M19*0.7,0)))</f>
        <v>——</v>
      </c>
      <c r="K19" s="1406"/>
      <c r="L19" s="235" t="s">
        <v>1982</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1963</v>
      </c>
      <c r="B20" s="235" t="s">
        <v>2005</v>
      </c>
      <c r="C20" s="13">
        <f>ROUND(C19*F20,0)</f>
        <v>19087</v>
      </c>
      <c r="D20" s="259" t="s">
        <v>2006</v>
      </c>
      <c r="E20" s="235" t="s">
        <v>2007</v>
      </c>
      <c r="F20" s="258">
        <f>'数据-取费表'!E25</f>
        <v>0.02</v>
      </c>
      <c r="G20" s="952"/>
      <c r="H20" s="253" t="s">
        <v>1985</v>
      </c>
      <c r="I20" s="36" t="s">
        <v>2008</v>
      </c>
      <c r="J20" s="14" t="str">
        <f>IF(项目基本情况!B7="自然人","——",ROUND(M20*M21,0))</f>
        <v>——</v>
      </c>
      <c r="K20" s="261" t="s">
        <v>2009</v>
      </c>
      <c r="L20" s="235" t="s">
        <v>2010</v>
      </c>
      <c r="M20" s="262">
        <f>'数据-取费表'!E40</f>
        <v>3</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2011</v>
      </c>
      <c r="B21" s="235" t="s">
        <v>2012</v>
      </c>
      <c r="C21" s="597">
        <f>F21</f>
        <v>0.02</v>
      </c>
      <c r="D21" s="259" t="s">
        <v>2013</v>
      </c>
      <c r="E21" s="235" t="s">
        <v>2014</v>
      </c>
      <c r="F21" s="258">
        <f>'数据-取费表'!E26</f>
        <v>0.02</v>
      </c>
      <c r="G21" s="951"/>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3"/>
      <c r="F22" s="15"/>
      <c r="G22" s="951"/>
      <c r="H22" s="253" t="s">
        <v>1983</v>
      </c>
      <c r="I22" s="235" t="s">
        <v>2018</v>
      </c>
      <c r="J22" s="13">
        <f ca="1">ROUND(J14*M22,0)</f>
        <v>18859</v>
      </c>
      <c r="K22" s="1301" t="s">
        <v>2019</v>
      </c>
      <c r="L22" s="235" t="s">
        <v>1982</v>
      </c>
      <c r="M22" s="265">
        <f>'数据-取费表'!B45</f>
        <v>1.4999999999999999E-2</v>
      </c>
    </row>
    <row r="23" spans="1:37" ht="18" customHeight="1">
      <c r="A23" s="253" t="s">
        <v>1999</v>
      </c>
      <c r="B23" s="235" t="s">
        <v>2020</v>
      </c>
      <c r="C23" s="13">
        <f ca="1">IF('数据-取费表'!B24&lt;=1,ROUND(C19*F24*F23/2,0)+ROUND(C20*F24*F23/2,0),ROUND(C19*(POWER((1+F24),F23/2)-1),0)+ROUND(C20*(POWER((1+F24),F23/2)-1),0))</f>
        <v>40885</v>
      </c>
      <c r="D23" s="1402" t="str">
        <f>IF(F23&lt;=1,"(建造成本+管理费用)×利率×(建设周期÷2)","(建造成本+管理费用)×((1+利率)^(建设周期÷2)-1)")</f>
        <v>(建造成本+管理费用)×((1+利率)^(建设周期÷2)-1)</v>
      </c>
      <c r="E23" s="235" t="s">
        <v>2021</v>
      </c>
      <c r="F23" s="262">
        <f>'数据-取费表'!B22</f>
        <v>2</v>
      </c>
      <c r="G23" s="951"/>
      <c r="H23" s="253" t="s">
        <v>2011</v>
      </c>
      <c r="I23" s="235" t="s">
        <v>2022</v>
      </c>
      <c r="J23" s="13">
        <f ca="1">ROUND(J13*M23,0)</f>
        <v>0</v>
      </c>
      <c r="K23" s="1301" t="s">
        <v>2023</v>
      </c>
      <c r="L23" s="235" t="s">
        <v>2024</v>
      </c>
      <c r="M23" s="266">
        <f>'数据-取费表'!B46</f>
        <v>1.5E-3</v>
      </c>
    </row>
    <row r="24" spans="1:37" s="257" customFormat="1" ht="18" customHeight="1" thickBot="1">
      <c r="A24" s="253" t="s">
        <v>2025</v>
      </c>
      <c r="B24" s="235" t="s">
        <v>2026</v>
      </c>
      <c r="C24" s="13">
        <f ca="1">ROUND(IF('数据-取费表'!B24&lt;=1,F21*F24*F23/2,F21*(POWER((1+F24),F23/2)-1)),4)</f>
        <v>8.0000000000000004E-4</v>
      </c>
      <c r="D24" s="1402" t="str">
        <f>IF(F23&lt;=1,"销售费用×利率×(建设周期÷2)","销售费用×((1+利率)^(建设周期÷2)-1)")</f>
        <v>销售费用×((1+利率)^(建设周期÷2)-1)</v>
      </c>
      <c r="E24" s="235" t="s">
        <v>2027</v>
      </c>
      <c r="F24" s="267">
        <f ca="1">'数据-取费表'!E27</f>
        <v>4.2000000000000003E-2</v>
      </c>
      <c r="G24" s="952"/>
      <c r="H24" s="1073" t="s">
        <v>2016</v>
      </c>
      <c r="I24" s="1074" t="s">
        <v>2005</v>
      </c>
      <c r="J24" s="1075">
        <f ca="1">ROUND(J5*M24,0)</f>
        <v>0</v>
      </c>
      <c r="K24" s="1076" t="s">
        <v>2028</v>
      </c>
      <c r="L24" s="1074" t="s">
        <v>2024</v>
      </c>
      <c r="M24" s="1069">
        <f>'数据-取费表'!B47</f>
        <v>0.02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2029</v>
      </c>
      <c r="B25" s="235" t="s">
        <v>2030</v>
      </c>
      <c r="C25" s="13"/>
      <c r="D25" s="33" t="s">
        <v>2031</v>
      </c>
      <c r="E25" s="1303"/>
      <c r="F25" s="15"/>
      <c r="G25" s="952"/>
      <c r="H25" s="1063" t="s">
        <v>22</v>
      </c>
      <c r="I25" s="1078" t="s">
        <v>2032</v>
      </c>
      <c r="J25" s="243">
        <f ca="1">J5-J16</f>
        <v>-18859</v>
      </c>
      <c r="K25" s="1079" t="s">
        <v>2033</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1975</v>
      </c>
      <c r="B26" s="235" t="s">
        <v>2034</v>
      </c>
      <c r="C26" s="13">
        <f>ROUND((C19+C20)*F26,0)</f>
        <v>146018</v>
      </c>
      <c r="D26" s="259" t="s">
        <v>2035</v>
      </c>
      <c r="E26" s="246" t="s">
        <v>2036</v>
      </c>
      <c r="F26" s="245">
        <f>'数据-取费表'!E28</f>
        <v>0.15</v>
      </c>
      <c r="G26" s="652"/>
      <c r="H26" s="232" t="s">
        <v>23</v>
      </c>
      <c r="I26" s="233" t="s">
        <v>2037</v>
      </c>
      <c r="J26" s="234">
        <f ca="1">IF(J5&lt;&gt;0,ROUND(J25*(1-((1+M28)/(1+M26))^M27)/(M26-M28),0),0)</f>
        <v>0</v>
      </c>
      <c r="K26" s="261" t="s">
        <v>2038</v>
      </c>
      <c r="L26" s="235" t="s">
        <v>2039</v>
      </c>
      <c r="M26" s="245">
        <f>'数据-取费表'!B16</f>
        <v>5.5E-2</v>
      </c>
    </row>
    <row r="27" spans="1:37" ht="18" customHeight="1">
      <c r="A27" s="253" t="s">
        <v>2040</v>
      </c>
      <c r="B27" s="235" t="s">
        <v>2041</v>
      </c>
      <c r="C27" s="13">
        <f>ROUND(F21*F26,4)</f>
        <v>3.0000000000000001E-3</v>
      </c>
      <c r="D27" s="259" t="s">
        <v>2042</v>
      </c>
      <c r="E27" s="255"/>
      <c r="F27" s="256"/>
      <c r="G27" s="652"/>
      <c r="H27" s="237"/>
      <c r="I27" s="238"/>
      <c r="J27" s="239"/>
      <c r="K27" s="269" t="s">
        <v>2043</v>
      </c>
      <c r="L27" s="235" t="s">
        <v>2044</v>
      </c>
      <c r="M27" s="270" t="str">
        <f>'数据-取费表'!B41</f>
        <v>——</v>
      </c>
    </row>
    <row r="28" spans="1:37" ht="18" customHeight="1">
      <c r="A28" s="253" t="s">
        <v>2045</v>
      </c>
      <c r="B28" s="235" t="s">
        <v>2046</v>
      </c>
      <c r="C28" s="13">
        <f>ROUND(F28/(1+'数据-取费表'!F30),4)</f>
        <v>5.33E-2</v>
      </c>
      <c r="D28" s="259" t="s">
        <v>2047</v>
      </c>
      <c r="E28" s="235" t="s">
        <v>2007</v>
      </c>
      <c r="F28" s="258">
        <f>'数据-取费表'!E29</f>
        <v>5.6000000000000001E-2</v>
      </c>
      <c r="G28" s="652"/>
      <c r="H28" s="241"/>
      <c r="I28" s="242"/>
      <c r="J28" s="243"/>
      <c r="K28" s="264"/>
      <c r="L28" s="235" t="s">
        <v>2048</v>
      </c>
      <c r="M28" s="245">
        <f>'数据-取费表'!B38</f>
        <v>0</v>
      </c>
    </row>
    <row r="29" spans="1:37" ht="18" customHeight="1" thickBot="1">
      <c r="A29" s="1073" t="s">
        <v>2049</v>
      </c>
      <c r="B29" s="1074" t="s">
        <v>2050</v>
      </c>
      <c r="C29" s="1075">
        <f ca="1">ROUND((C19+C20+C23+C26)/(1-F21-C24-C27-C28),0)</f>
        <v>1257294</v>
      </c>
      <c r="D29" s="1076"/>
      <c r="E29" s="1074"/>
      <c r="F29" s="1077"/>
      <c r="G29" s="652"/>
      <c r="H29" s="271" t="s">
        <v>24</v>
      </c>
      <c r="I29" s="272" t="s">
        <v>2051</v>
      </c>
      <c r="J29" s="273">
        <f ca="1">ROUND(J26/(1+F40)^F41,0)</f>
        <v>0</v>
      </c>
      <c r="K29" s="274" t="s">
        <v>2052</v>
      </c>
      <c r="L29" s="275"/>
      <c r="M29" s="276">
        <f>IF(D1="仅计算典型户型",'数据-取费表'!E5,'数据-取费表'!B5)</f>
        <v>240.88</v>
      </c>
    </row>
    <row r="30" spans="1:37" ht="18" customHeight="1" thickTop="1">
      <c r="A30" s="1063" t="s">
        <v>14</v>
      </c>
      <c r="B30" s="1064" t="s">
        <v>2053</v>
      </c>
      <c r="C30" s="243">
        <f ca="1">ROUND(C31+C36+C37+C38,0)</f>
        <v>68575</v>
      </c>
      <c r="D30" s="1070" t="s">
        <v>2054</v>
      </c>
      <c r="E30" s="1071"/>
      <c r="F30" s="1072"/>
      <c r="G30" s="652"/>
      <c r="H30" s="931"/>
      <c r="I30" s="932"/>
      <c r="J30" s="933"/>
      <c r="K30" s="934"/>
      <c r="L30" s="935"/>
      <c r="M30" s="936"/>
    </row>
    <row r="31" spans="1:37" ht="18" customHeight="1">
      <c r="A31" s="253" t="s">
        <v>1956</v>
      </c>
      <c r="B31" s="235" t="s">
        <v>1994</v>
      </c>
      <c r="C31" s="2797">
        <f>ROUND(IF(AND(项目基本情况!B7="自然人",项目基本情况!B6="北京市"),C6*F31/(1+'数据-取费表'!F30),C32+C33+C34),0)</f>
        <v>36927</v>
      </c>
      <c r="D31" s="1298" t="s">
        <v>2055</v>
      </c>
      <c r="E31" s="1301" t="s">
        <v>2056</v>
      </c>
      <c r="F31" s="2796">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1975</v>
      </c>
      <c r="B32" s="235" t="s">
        <v>2057</v>
      </c>
      <c r="C32" s="13" t="str">
        <f>IF(项目基本情况!B7="自然人","——",ROUND(C6*F32/(1+'数据-取费表'!F30),0))</f>
        <v>——</v>
      </c>
      <c r="D32" s="1301" t="s">
        <v>2669</v>
      </c>
      <c r="E32" s="235" t="s">
        <v>2007</v>
      </c>
      <c r="F32" s="267">
        <f>'数据-取费表'!E29</f>
        <v>5.6000000000000001E-2</v>
      </c>
      <c r="G32" s="652"/>
      <c r="H32" s="937"/>
      <c r="I32" s="938"/>
      <c r="J32" s="939"/>
      <c r="K32" s="940"/>
      <c r="L32" s="941"/>
      <c r="M32" s="942"/>
    </row>
    <row r="33" spans="1:18" ht="18" customHeight="1">
      <c r="A33" s="253" t="s">
        <v>1979</v>
      </c>
      <c r="B33" s="235" t="s">
        <v>2003</v>
      </c>
      <c r="C33" s="13" t="str">
        <f>IF(项目基本情况!B7="自然人","——",IF(D33="按租金收入计税",ROUND(C6*F33/(1+'数据-取费表'!F30),0),IF(D33="按房产原值计税",ROUND(C29*F33*0.7,0),'数据-取费表'!B44)))</f>
        <v>——</v>
      </c>
      <c r="D33" s="1406" t="s">
        <v>2822</v>
      </c>
      <c r="E33" s="235" t="s">
        <v>1982</v>
      </c>
      <c r="F33" s="258">
        <f>IF(D33="按票据","——",IF(D33="按租金收入计税",'数据-取费表'!E39,'数据-取费表'!E38))</f>
        <v>0.12</v>
      </c>
      <c r="G33" s="652"/>
      <c r="H33" s="943"/>
      <c r="I33" s="278" t="s">
        <v>2059</v>
      </c>
      <c r="J33" s="279"/>
      <c r="K33" s="944"/>
      <c r="L33" s="943"/>
      <c r="M33" s="943"/>
    </row>
    <row r="34" spans="1:18" ht="18" customHeight="1">
      <c r="A34" s="1057" t="s">
        <v>1985</v>
      </c>
      <c r="B34" s="36" t="s">
        <v>2008</v>
      </c>
      <c r="C34" s="14" t="str">
        <f>IF(项目基本情况!B7="自然人","——",ROUND(F34*F35,0))</f>
        <v>——</v>
      </c>
      <c r="D34" s="261" t="s">
        <v>2009</v>
      </c>
      <c r="E34" s="235" t="s">
        <v>2010</v>
      </c>
      <c r="F34" s="262">
        <f>'数据-取费表'!E40</f>
        <v>3</v>
      </c>
      <c r="G34" s="652"/>
      <c r="H34" s="931"/>
      <c r="I34" s="280" t="s">
        <v>2060</v>
      </c>
      <c r="J34" s="281">
        <f ca="1">ROUND(C13*J35,0)</f>
        <v>0</v>
      </c>
      <c r="K34" s="945"/>
      <c r="L34" s="946"/>
      <c r="M34" s="946"/>
    </row>
    <row r="35" spans="1:18" ht="24.6" customHeight="1">
      <c r="A35" s="1061"/>
      <c r="B35" s="244"/>
      <c r="C35" s="17"/>
      <c r="D35" s="264"/>
      <c r="E35" s="235" t="s">
        <v>2015</v>
      </c>
      <c r="F35" s="236">
        <f>IF(D1="仅计算典型户型",'数据-取费表'!E6,'数据-取费表'!B6)</f>
        <v>0</v>
      </c>
      <c r="G35" s="652" t="s">
        <v>2758</v>
      </c>
      <c r="H35" s="931"/>
      <c r="I35" s="282" t="s">
        <v>2061</v>
      </c>
      <c r="J35" s="283">
        <f>'数据-取费表'!B18</f>
        <v>0</v>
      </c>
      <c r="K35" s="944"/>
      <c r="L35" s="943"/>
      <c r="M35" s="943"/>
    </row>
    <row r="36" spans="1:18" ht="18" customHeight="1">
      <c r="A36" s="1060" t="s">
        <v>1963</v>
      </c>
      <c r="B36" s="235" t="s">
        <v>2062</v>
      </c>
      <c r="C36" s="13">
        <f ca="1">ROUND(C29*F36,0)</f>
        <v>18859</v>
      </c>
      <c r="D36" s="1301" t="s">
        <v>2063</v>
      </c>
      <c r="E36" s="235" t="s">
        <v>2007</v>
      </c>
      <c r="F36" s="265">
        <f>'数据-取费表'!B45</f>
        <v>1.4999999999999999E-2</v>
      </c>
      <c r="G36" s="652"/>
      <c r="H36" s="943"/>
      <c r="I36" s="284" t="s">
        <v>2064</v>
      </c>
      <c r="J36" s="285"/>
      <c r="K36" s="947"/>
      <c r="L36" s="943"/>
      <c r="M36" s="943"/>
    </row>
    <row r="37" spans="1:18" ht="18" customHeight="1">
      <c r="A37" s="253" t="s">
        <v>2011</v>
      </c>
      <c r="B37" s="235" t="s">
        <v>2022</v>
      </c>
      <c r="C37" s="13">
        <f ca="1">ROUND(C13*F37,0)</f>
        <v>1697</v>
      </c>
      <c r="D37" s="1301" t="s">
        <v>2023</v>
      </c>
      <c r="E37" s="235" t="s">
        <v>2024</v>
      </c>
      <c r="F37" s="266">
        <f>'数据-取费表'!B46</f>
        <v>1.5E-3</v>
      </c>
      <c r="G37" s="652"/>
      <c r="H37" s="943"/>
      <c r="I37" s="132" t="s">
        <v>2065</v>
      </c>
      <c r="J37" s="286"/>
      <c r="K37" s="947"/>
      <c r="L37" s="943"/>
      <c r="M37" s="943"/>
    </row>
    <row r="38" spans="1:18" ht="18" customHeight="1" thickBot="1">
      <c r="A38" s="1073" t="s">
        <v>2016</v>
      </c>
      <c r="B38" s="1074" t="s">
        <v>2005</v>
      </c>
      <c r="C38" s="1075">
        <f ca="1">ROUND(C5*F38,0)</f>
        <v>11092</v>
      </c>
      <c r="D38" s="1076" t="s">
        <v>2028</v>
      </c>
      <c r="E38" s="1074" t="s">
        <v>2024</v>
      </c>
      <c r="F38" s="1069">
        <f>'数据-取费表'!B47</f>
        <v>0.02</v>
      </c>
      <c r="G38" s="652"/>
      <c r="H38" s="943"/>
      <c r="I38" s="280" t="s">
        <v>2066</v>
      </c>
      <c r="J38" s="136">
        <f ca="1">ROUND(J34/C39,3)</f>
        <v>0</v>
      </c>
      <c r="K38" s="948"/>
      <c r="L38" s="943"/>
      <c r="M38" s="943"/>
    </row>
    <row r="39" spans="1:18" ht="18" customHeight="1" thickTop="1">
      <c r="A39" s="1063" t="s">
        <v>22</v>
      </c>
      <c r="B39" s="1078" t="s">
        <v>2067</v>
      </c>
      <c r="C39" s="243">
        <f ca="1">C5-C30</f>
        <v>486021</v>
      </c>
      <c r="D39" s="1079" t="s">
        <v>2068</v>
      </c>
      <c r="E39" s="1080"/>
      <c r="F39" s="1081"/>
      <c r="G39" s="652"/>
      <c r="H39" s="943"/>
      <c r="I39" s="280" t="s">
        <v>2069</v>
      </c>
      <c r="J39" s="136">
        <f ca="1">1-J38</f>
        <v>1</v>
      </c>
      <c r="K39" s="948"/>
      <c r="L39" s="943"/>
      <c r="M39" s="943"/>
    </row>
    <row r="40" spans="1:18" s="652" customFormat="1" ht="18" customHeight="1">
      <c r="A40" s="232" t="s">
        <v>23</v>
      </c>
      <c r="B40" s="233" t="s">
        <v>2070</v>
      </c>
      <c r="C40" s="234">
        <f ca="1">ROUND(C39*(1-((1+F42)/(1+F40))^F41)/(F40-F42),0)</f>
        <v>10513118</v>
      </c>
      <c r="D40" s="261" t="s">
        <v>2038</v>
      </c>
      <c r="E40" s="235" t="s">
        <v>2039</v>
      </c>
      <c r="F40" s="245">
        <f>'数据-取费表'!B16</f>
        <v>5.5E-2</v>
      </c>
      <c r="H40" s="949"/>
      <c r="I40" s="132" t="s">
        <v>2071</v>
      </c>
      <c r="J40" s="133"/>
      <c r="K40" s="948"/>
      <c r="L40" s="949"/>
      <c r="M40" s="949"/>
      <c r="Q40" s="656"/>
    </row>
    <row r="41" spans="1:18" s="652" customFormat="1" ht="18" customHeight="1">
      <c r="A41" s="237"/>
      <c r="B41" s="238"/>
      <c r="C41" s="239"/>
      <c r="D41" s="269" t="s">
        <v>2072</v>
      </c>
      <c r="E41" s="1274" t="s">
        <v>3000</v>
      </c>
      <c r="F41" s="270">
        <f>IF('数据-取费表'!B29="租赁期内按合同租金",'数据-取费表'!B35,IF(E41="收益年期(n)",'数据-取费表'!B34,'数据-取费表'!B13))</f>
        <v>32.450000000000003</v>
      </c>
      <c r="H41" s="950"/>
      <c r="I41" s="135" t="s">
        <v>1944</v>
      </c>
      <c r="J41" s="136">
        <f ca="1">ROUND(C13/C40,3)</f>
        <v>0.108</v>
      </c>
      <c r="K41" s="947"/>
      <c r="L41" s="950"/>
      <c r="M41" s="950"/>
      <c r="Q41" s="656"/>
    </row>
    <row r="42" spans="1:18" s="652" customFormat="1" ht="18" customHeight="1">
      <c r="A42" s="241"/>
      <c r="B42" s="242"/>
      <c r="C42" s="243"/>
      <c r="D42" s="264"/>
      <c r="E42" s="235" t="s">
        <v>2048</v>
      </c>
      <c r="F42" s="245">
        <f>'数据-取费表'!B32</f>
        <v>0.03</v>
      </c>
      <c r="H42" s="950"/>
      <c r="I42" s="135" t="s">
        <v>1945</v>
      </c>
      <c r="J42" s="137">
        <f ca="1">1-J41</f>
        <v>0.89200000000000002</v>
      </c>
      <c r="K42" s="947"/>
      <c r="L42" s="950"/>
      <c r="M42" s="950"/>
      <c r="Q42" s="656"/>
    </row>
    <row r="43" spans="1:18" s="652" customFormat="1" ht="18" customHeight="1" thickBot="1">
      <c r="A43" s="271" t="s">
        <v>24</v>
      </c>
      <c r="B43" s="272" t="s">
        <v>2073</v>
      </c>
      <c r="C43" s="273">
        <f ca="1">ROUND(C40/F43,0)</f>
        <v>43645</v>
      </c>
      <c r="D43" s="274" t="s">
        <v>2074</v>
      </c>
      <c r="E43" s="275" t="s">
        <v>2075</v>
      </c>
      <c r="F43" s="276">
        <f>IF(D1="仅计算典型户型",'数据-取费表'!E5,'数据-取费表'!B5)</f>
        <v>240.88</v>
      </c>
      <c r="G43" s="654"/>
      <c r="H43" s="950"/>
      <c r="I43" s="950"/>
      <c r="J43" s="950"/>
      <c r="K43" s="947"/>
      <c r="L43" s="950"/>
      <c r="M43" s="950"/>
      <c r="O43" s="1041" t="s">
        <v>2076</v>
      </c>
      <c r="P43" s="1042"/>
      <c r="Q43" s="1038"/>
      <c r="R43" s="1042"/>
    </row>
    <row r="44" spans="1:18" s="652" customFormat="1" ht="18" customHeight="1" thickBot="1">
      <c r="A44" s="649"/>
      <c r="B44" s="649"/>
      <c r="C44" s="651"/>
      <c r="D44" s="649"/>
      <c r="E44" s="649"/>
      <c r="F44" s="649"/>
      <c r="G44" s="654"/>
      <c r="K44" s="653"/>
      <c r="O44" s="1043" t="s">
        <v>2077</v>
      </c>
      <c r="P44" s="1044" t="s">
        <v>2078</v>
      </c>
      <c r="Q44" s="1045" t="s">
        <v>2079</v>
      </c>
      <c r="R44" s="1046" t="s">
        <v>2080</v>
      </c>
    </row>
    <row r="45" spans="1:18" s="652" customFormat="1" ht="18" customHeight="1" thickBot="1">
      <c r="A45" s="649"/>
      <c r="B45" s="649"/>
      <c r="C45" s="651"/>
      <c r="D45" s="649"/>
      <c r="E45" s="649"/>
      <c r="F45" s="649"/>
      <c r="G45" s="655"/>
      <c r="K45" s="653"/>
      <c r="O45" s="1047" t="s">
        <v>949</v>
      </c>
      <c r="P45" s="1048" t="s">
        <v>2081</v>
      </c>
      <c r="Q45" s="1049">
        <f ca="1">C40+J29</f>
        <v>10513118</v>
      </c>
      <c r="R45" s="1050" t="s">
        <v>2082</v>
      </c>
    </row>
    <row r="46" spans="1:18" s="652" customFormat="1" ht="18" customHeight="1" thickBot="1">
      <c r="A46" s="649"/>
      <c r="D46" s="649"/>
      <c r="E46" s="649"/>
      <c r="F46" s="649"/>
      <c r="K46" s="653"/>
      <c r="O46" s="1047" t="s">
        <v>950</v>
      </c>
      <c r="P46" s="1048" t="s">
        <v>2083</v>
      </c>
      <c r="Q46" s="1049" t="str">
        <f>J61</f>
        <v>0</v>
      </c>
      <c r="R46" s="1050" t="s">
        <v>2084</v>
      </c>
    </row>
    <row r="47" spans="1:18" s="652" customFormat="1" ht="21.75" thickBot="1">
      <c r="A47" s="1497" t="s">
        <v>2085</v>
      </c>
      <c r="C47" s="992">
        <f ca="1">IF(C2="元",C69-C40,ROUND((C69-C40)/10000,0))</f>
        <v>-1082</v>
      </c>
      <c r="D47" s="1498" t="str">
        <f>C2</f>
        <v>万元</v>
      </c>
      <c r="E47" s="649"/>
      <c r="F47" s="649"/>
      <c r="I47" s="1499" t="s">
        <v>2086</v>
      </c>
      <c r="J47" s="1023"/>
      <c r="K47" s="1024"/>
      <c r="L47" s="1037" t="str">
        <f>IF(M48="住宅",0,IF(L49&gt;J52,L61,J61))</f>
        <v>0</v>
      </c>
      <c r="O47" s="1051" t="s">
        <v>951</v>
      </c>
      <c r="P47" s="1048" t="s">
        <v>2087</v>
      </c>
      <c r="Q47" s="1049">
        <f ca="1">C29</f>
        <v>1257294</v>
      </c>
      <c r="R47" s="1050" t="s">
        <v>2082</v>
      </c>
    </row>
    <row r="48" spans="1:18" s="652" customFormat="1" ht="15.75" thickBot="1">
      <c r="A48" s="228" t="s">
        <v>2088</v>
      </c>
      <c r="B48" s="229" t="s">
        <v>2089</v>
      </c>
      <c r="C48" s="229" t="s">
        <v>2090</v>
      </c>
      <c r="D48" s="229" t="s">
        <v>2091</v>
      </c>
      <c r="E48" s="986" t="s">
        <v>2092</v>
      </c>
      <c r="F48" s="987"/>
      <c r="I48" s="1500" t="s">
        <v>2093</v>
      </c>
      <c r="J48" s="1501" t="s">
        <v>3001</v>
      </c>
      <c r="K48" s="1502" t="s">
        <v>2094</v>
      </c>
      <c r="L48" s="1025">
        <f>'数据-取费表'!B11</f>
        <v>50</v>
      </c>
      <c r="M48" s="1038" t="str">
        <f>IF('数据-取费表'!B10="住宅","住宅","非住宅")</f>
        <v>非住宅</v>
      </c>
      <c r="O48" s="1051" t="s">
        <v>952</v>
      </c>
      <c r="P48" s="1048" t="s">
        <v>2095</v>
      </c>
      <c r="Q48" s="1052" t="e">
        <f>J59</f>
        <v>#VALUE!</v>
      </c>
      <c r="R48" s="1050"/>
    </row>
    <row r="49" spans="1:18" s="652" customFormat="1" ht="15.75" thickBot="1">
      <c r="A49" s="1098" t="s">
        <v>963</v>
      </c>
      <c r="B49" s="233" t="s">
        <v>2096</v>
      </c>
      <c r="C49" s="1099">
        <f ca="1">C50+C54+C56</f>
        <v>0</v>
      </c>
      <c r="D49" s="1100"/>
      <c r="E49" s="44"/>
      <c r="F49" s="15"/>
      <c r="I49" s="1503" t="s">
        <v>2097</v>
      </c>
      <c r="J49" s="1504" t="s">
        <v>3002</v>
      </c>
      <c r="K49" s="1505" t="s">
        <v>2098</v>
      </c>
      <c r="L49" s="863">
        <f>'数据-取费表'!B13</f>
        <v>32.450000000000003</v>
      </c>
      <c r="O49" s="1051" t="s">
        <v>953</v>
      </c>
      <c r="P49" s="1048" t="s">
        <v>2099</v>
      </c>
      <c r="Q49" s="1052">
        <f>J53</f>
        <v>7.4999999999999997E-2</v>
      </c>
      <c r="R49" s="1050"/>
    </row>
    <row r="50" spans="1:18" s="652" customFormat="1" ht="15.75" thickBot="1">
      <c r="A50" s="260" t="s">
        <v>1956</v>
      </c>
      <c r="B50" s="1412" t="s">
        <v>2100</v>
      </c>
      <c r="C50" s="234">
        <f>ROUND(F50*F52*F51*(1-F53),0)</f>
        <v>0</v>
      </c>
      <c r="D50" s="42" t="s">
        <v>2645</v>
      </c>
      <c r="E50" s="1506" t="s">
        <v>2101</v>
      </c>
      <c r="F50" s="988"/>
      <c r="I50" s="1503" t="s">
        <v>2102</v>
      </c>
      <c r="J50" s="863">
        <f>'数据-取费表'!B27</f>
        <v>2016</v>
      </c>
      <c r="K50" s="1507" t="s">
        <v>2103</v>
      </c>
      <c r="L50" s="1026"/>
      <c r="O50" s="1051" t="s">
        <v>954</v>
      </c>
      <c r="P50" s="1048" t="s">
        <v>2104</v>
      </c>
      <c r="Q50" s="1049">
        <f>J54</f>
        <v>32.450000000000003</v>
      </c>
      <c r="R50" s="1050" t="s">
        <v>2105</v>
      </c>
    </row>
    <row r="51" spans="1:18" s="652" customFormat="1" ht="15.75" thickBot="1">
      <c r="A51" s="237"/>
      <c r="B51" s="238"/>
      <c r="C51" s="239"/>
      <c r="D51" s="240"/>
      <c r="E51" s="255" t="s">
        <v>1959</v>
      </c>
      <c r="F51" s="985">
        <f>F7</f>
        <v>240.88</v>
      </c>
      <c r="I51" s="1503" t="s">
        <v>2106</v>
      </c>
      <c r="J51" s="1027">
        <f>SUMPRODUCT((I64:I66=J48)*(J63:L63=J49)*(J64:L66))</f>
        <v>60</v>
      </c>
      <c r="K51" s="1507" t="s">
        <v>2107</v>
      </c>
      <c r="L51" s="1026"/>
      <c r="O51" s="1047" t="s">
        <v>955</v>
      </c>
      <c r="P51" s="1048" t="str">
        <f>IF(C2="元","收益价值(元)","收益价值(万元)")</f>
        <v>收益价值(万元)</v>
      </c>
      <c r="Q51" s="1049">
        <f ca="1">ROUND(IF(C2="元",Q45+Q46,(Q45+Q46)/10000),0)</f>
        <v>1051</v>
      </c>
      <c r="R51" s="1050" t="s">
        <v>956</v>
      </c>
    </row>
    <row r="52" spans="1:18" s="652" customFormat="1" ht="16.5" thickBot="1">
      <c r="A52" s="237"/>
      <c r="B52" s="238"/>
      <c r="C52" s="239"/>
      <c r="D52" s="240"/>
      <c r="E52" s="235" t="s">
        <v>1961</v>
      </c>
      <c r="F52" s="236">
        <f>F8</f>
        <v>365</v>
      </c>
      <c r="I52" s="1508" t="s">
        <v>2108</v>
      </c>
      <c r="J52" s="1028">
        <f>IF(J50="",J51,J50+J51-YEAR('数据-取费表'!B2))</f>
        <v>54</v>
      </c>
      <c r="K52" s="1509" t="s">
        <v>2109</v>
      </c>
      <c r="L52" s="1029">
        <f ca="1">ROUND(-PV('数据-取费表'!B15,J52,(C40-C13*J35)),0)</f>
        <v>195177566</v>
      </c>
      <c r="O52" s="1041" t="s">
        <v>2110</v>
      </c>
      <c r="P52" s="1042"/>
      <c r="Q52" s="1038"/>
      <c r="R52" s="1042"/>
    </row>
    <row r="53" spans="1:18" s="652" customFormat="1" ht="15.75" thickBot="1">
      <c r="A53" s="241"/>
      <c r="B53" s="242"/>
      <c r="C53" s="243"/>
      <c r="D53" s="244"/>
      <c r="E53" s="235" t="s">
        <v>1962</v>
      </c>
      <c r="F53" s="1036"/>
      <c r="I53" s="1510" t="s">
        <v>2111</v>
      </c>
      <c r="J53" s="1030">
        <v>7.4999999999999997E-2</v>
      </c>
      <c r="K53" s="1510" t="s">
        <v>2112</v>
      </c>
      <c r="L53" s="1030"/>
      <c r="O53" s="1043" t="s">
        <v>2077</v>
      </c>
      <c r="P53" s="1044" t="s">
        <v>2078</v>
      </c>
      <c r="Q53" s="1045" t="s">
        <v>2079</v>
      </c>
      <c r="R53" s="1046" t="s">
        <v>2080</v>
      </c>
    </row>
    <row r="54" spans="1:18" s="652" customFormat="1" ht="29.25" customHeight="1" thickBot="1">
      <c r="A54" s="1057" t="s">
        <v>1963</v>
      </c>
      <c r="B54" s="1491" t="s">
        <v>1964</v>
      </c>
      <c r="C54" s="1058">
        <f ca="1">ROUND(IF(F54="押一",C50/12*F11,IF(F54="押二",C50/12*2*F11,IF(F54="押三",C50/12*3*F11,C55*F11))),0)</f>
        <v>0</v>
      </c>
      <c r="D54" s="1492" t="s">
        <v>2651</v>
      </c>
      <c r="E54" s="246" t="s">
        <v>1965</v>
      </c>
      <c r="F54" s="1493"/>
      <c r="I54" s="1599" t="s">
        <v>2653</v>
      </c>
      <c r="J54" s="1031">
        <f>IF(M48="住宅",IF(E1="——",MAX(J52,L49),MAX(J52,L49-'数据-取费表'!B26)),IF(E1="——",MIN(J52,L49),MIN(J52,L49-'数据-取费表'!B26)))</f>
        <v>32.450000000000003</v>
      </c>
      <c r="K54" s="3592" t="s">
        <v>2643</v>
      </c>
      <c r="L54" s="3593"/>
      <c r="O54" s="1047" t="s">
        <v>949</v>
      </c>
      <c r="P54" s="1048" t="s">
        <v>2081</v>
      </c>
      <c r="Q54" s="1049">
        <f ca="1">C40+J29</f>
        <v>10513118</v>
      </c>
      <c r="R54" s="1050" t="s">
        <v>2082</v>
      </c>
    </row>
    <row r="55" spans="1:18" s="652" customFormat="1" ht="20.25" thickBot="1">
      <c r="A55" s="1057"/>
      <c r="B55" s="1511" t="s">
        <v>1969</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2113</v>
      </c>
      <c r="Q55" s="1049">
        <f>L61</f>
        <v>0</v>
      </c>
      <c r="R55" s="1050" t="s">
        <v>2114</v>
      </c>
    </row>
    <row r="56" spans="1:18" s="652" customFormat="1" ht="20.25" thickBot="1">
      <c r="A56" s="1067" t="s">
        <v>1970</v>
      </c>
      <c r="B56" s="1495" t="s">
        <v>1971</v>
      </c>
      <c r="C56" s="1068"/>
      <c r="D56" s="1084"/>
      <c r="E56" s="1514"/>
      <c r="F56" s="1123"/>
      <c r="I56" s="1515" t="s">
        <v>2115</v>
      </c>
      <c r="J56" s="1290" t="e">
        <f>ROUND(IF(J48="钢混",J58/J51,1-(1-2%)*(J51-J58)/J51),3)</f>
        <v>#VALUE!</v>
      </c>
      <c r="K56" s="1516" t="s">
        <v>2116</v>
      </c>
      <c r="L56" s="1032"/>
      <c r="O56" s="1051" t="s">
        <v>951</v>
      </c>
      <c r="P56" s="1048" t="s">
        <v>2117</v>
      </c>
      <c r="Q56" s="1049">
        <f>IF(L56="比较法",L50,IF(L56="基准地价",L51,0))</f>
        <v>0</v>
      </c>
      <c r="R56" s="1050" t="s">
        <v>2082</v>
      </c>
    </row>
    <row r="57" spans="1:18" s="652" customFormat="1" ht="44.25" thickTop="1" thickBot="1">
      <c r="A57" s="1063">
        <v>2</v>
      </c>
      <c r="B57" s="1064" t="s">
        <v>1972</v>
      </c>
      <c r="C57" s="1122">
        <f ca="1">C13</f>
        <v>1131565</v>
      </c>
      <c r="D57" s="983"/>
      <c r="E57" s="984"/>
      <c r="F57" s="991"/>
      <c r="I57" s="1517" t="s">
        <v>2118</v>
      </c>
      <c r="J57" s="1035" t="s">
        <v>3003</v>
      </c>
      <c r="K57" s="1503" t="s">
        <v>2119</v>
      </c>
      <c r="L57" s="863" t="str">
        <f>IF(L49&lt;J52,"——",L49-J52)</f>
        <v>——</v>
      </c>
      <c r="O57" s="1051" t="s">
        <v>952</v>
      </c>
      <c r="P57" s="1048" t="s">
        <v>2120</v>
      </c>
      <c r="Q57" s="1052">
        <f>L53</f>
        <v>0</v>
      </c>
      <c r="R57" s="1050"/>
    </row>
    <row r="58" spans="1:18" s="652" customFormat="1" ht="29.25" thickBot="1">
      <c r="A58" s="990"/>
      <c r="B58" s="235" t="s">
        <v>2050</v>
      </c>
      <c r="C58" s="104">
        <f ca="1">C29</f>
        <v>1257294</v>
      </c>
      <c r="D58" s="983"/>
      <c r="E58" s="984"/>
      <c r="F58" s="991"/>
      <c r="I58" s="1518" t="s">
        <v>2121</v>
      </c>
      <c r="J58" s="1034" t="str">
        <f>IF(OR(M48="住宅",J52&lt;L49,J57="是"),"——",J52-L49)</f>
        <v>——</v>
      </c>
      <c r="K58" s="1503" t="s">
        <v>2122</v>
      </c>
      <c r="L58" s="863" t="str">
        <f>IF(L49&lt;J52,"——",IF(L56="比较法",L50,IF(L56="基准地价",L51,L52)))</f>
        <v>——</v>
      </c>
      <c r="O58" s="1051" t="s">
        <v>953</v>
      </c>
      <c r="P58" s="1048" t="s">
        <v>2123</v>
      </c>
      <c r="Q58" s="1049" t="e">
        <f>L59</f>
        <v>#DIV/0!</v>
      </c>
      <c r="R58" s="1050" t="s">
        <v>2124</v>
      </c>
    </row>
    <row r="59" spans="1:18" s="652" customFormat="1" ht="29.25" thickBot="1">
      <c r="A59" s="248" t="s">
        <v>14</v>
      </c>
      <c r="B59" s="249" t="s">
        <v>2053</v>
      </c>
      <c r="C59" s="250">
        <f ca="1">ROUND(C60+C65+C66+C67,0)</f>
        <v>20556</v>
      </c>
      <c r="D59" s="12" t="s">
        <v>2054</v>
      </c>
      <c r="E59" s="1303"/>
      <c r="F59" s="15"/>
      <c r="I59" s="1518" t="s">
        <v>2125</v>
      </c>
      <c r="J59" s="1289" t="e">
        <f>IF(J56&lt;0.4,0.4,J56)</f>
        <v>#VALUE!</v>
      </c>
      <c r="K59" s="1509" t="s">
        <v>2126</v>
      </c>
      <c r="L59" s="863" t="e">
        <f>ROUND(POWER(1+L53,L48-L49)*(POWER(1+L53,L49)-1)/(POWER(1+L53,L48)-1),4)</f>
        <v>#DIV/0!</v>
      </c>
      <c r="O59" s="1051" t="s">
        <v>954</v>
      </c>
      <c r="P59" s="1048" t="str">
        <f>K60</f>
        <v>建筑物剩余耐用年限下的土地年期修正系数Kn</v>
      </c>
      <c r="Q59" s="1049" t="e">
        <f>L60</f>
        <v>#DIV/0!</v>
      </c>
      <c r="R59" s="1050" t="s">
        <v>2127</v>
      </c>
    </row>
    <row r="60" spans="1:18" s="652" customFormat="1" ht="29.25" thickBot="1">
      <c r="A60" s="253" t="s">
        <v>15</v>
      </c>
      <c r="B60" s="235" t="s">
        <v>1994</v>
      </c>
      <c r="C60" s="2797">
        <f>ROUND(IF(AND(项目基本情况!B7="自然人",项目基本情况!B6="北京市"),C50*F60/(1+'数据-取费表'!F30),C61+C62+C63),0)</f>
        <v>0</v>
      </c>
      <c r="D60" s="1298" t="s">
        <v>2055</v>
      </c>
      <c r="E60" s="1301" t="s">
        <v>2056</v>
      </c>
      <c r="F60" s="2796">
        <f>IF(项目基本情况!B7="企业","——",IF('数据-取费表'!B10="住宅",IF(F50*F51*F52/12/(1+'数据-取费表'!F30)&gt;100000,4%,2.5%),IF(F50*F51*F52/12/(1+'数据-取费表'!F30)&gt;100000,12%,7%)))</f>
        <v>7.0000000000000007E-2</v>
      </c>
      <c r="I60" s="1518" t="s">
        <v>2128</v>
      </c>
      <c r="J60" s="1034" t="str">
        <f>IF(OR(M48="住宅",J52&lt;L49,J57="是"),"——",ROUND(C29*J59,0))</f>
        <v>——</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1051</v>
      </c>
      <c r="R60" s="1050" t="s">
        <v>956</v>
      </c>
    </row>
    <row r="61" spans="1:18" s="652" customFormat="1" ht="16.5" thickBot="1">
      <c r="A61" s="253" t="s">
        <v>16</v>
      </c>
      <c r="B61" s="235" t="s">
        <v>2057</v>
      </c>
      <c r="C61" s="13" t="str">
        <f>IF(项目基本情况!B7="自然人","——",ROUND(C49*F61/(1+'数据-取费表'!F30),0))</f>
        <v>——</v>
      </c>
      <c r="D61" s="1301" t="s">
        <v>2058</v>
      </c>
      <c r="E61" s="235" t="s">
        <v>2007</v>
      </c>
      <c r="F61" s="267">
        <f t="shared" ref="F61:F67" si="0">F32</f>
        <v>5.6000000000000001E-2</v>
      </c>
      <c r="I61" s="1519" t="s">
        <v>2129</v>
      </c>
      <c r="J61" s="1033" t="str">
        <f>IF(OR(M48="住宅",J52&lt;L49,J57="是"),"0",ROUND(J60/(1+J53)^J54,0))</f>
        <v>0</v>
      </c>
      <c r="K61" s="1520" t="s">
        <v>2130</v>
      </c>
      <c r="L61" s="1033">
        <f>IF(OR(M48="住宅",L49&lt;J52),0,ROUND(L58*(L59/L60-1),0))</f>
        <v>0</v>
      </c>
      <c r="O61" s="1041" t="s">
        <v>2131</v>
      </c>
      <c r="P61" s="1042"/>
      <c r="Q61" s="1038"/>
      <c r="R61" s="1042"/>
    </row>
    <row r="62" spans="1:18" s="652" customFormat="1" ht="15.75" thickBot="1">
      <c r="A62" s="253" t="s">
        <v>17</v>
      </c>
      <c r="B62" s="235" t="s">
        <v>2132</v>
      </c>
      <c r="C62" s="13" t="str">
        <f>IF(项目基本情况!B7="自然人","——",IF(D62="按租金收入计税",ROUND(C50*F62/(1+'数据-取费表'!F30),0),IF(D62="按房产原值计税",ROUND(C58*F62*0.7,0),'数据-取费表'!B44)))</f>
        <v>——</v>
      </c>
      <c r="D62" s="1406" t="s">
        <v>2004</v>
      </c>
      <c r="E62" s="235" t="s">
        <v>2007</v>
      </c>
      <c r="F62" s="258">
        <f t="shared" si="0"/>
        <v>0.12</v>
      </c>
      <c r="O62" s="1043" t="s">
        <v>2077</v>
      </c>
      <c r="P62" s="1044" t="s">
        <v>2078</v>
      </c>
      <c r="Q62" s="1045" t="s">
        <v>2079</v>
      </c>
      <c r="R62" s="1046" t="s">
        <v>2080</v>
      </c>
    </row>
    <row r="63" spans="1:18" s="652" customFormat="1" ht="15.75" thickBot="1">
      <c r="A63" s="260" t="s">
        <v>18</v>
      </c>
      <c r="B63" s="36" t="s">
        <v>2133</v>
      </c>
      <c r="C63" s="14" t="str">
        <f>IF(项目基本情况!B7="自然人","——",ROUND(F63*F64,0))</f>
        <v>——</v>
      </c>
      <c r="D63" s="261" t="s">
        <v>2134</v>
      </c>
      <c r="E63" s="235" t="s">
        <v>2135</v>
      </c>
      <c r="F63" s="262">
        <f t="shared" si="0"/>
        <v>3</v>
      </c>
      <c r="I63" s="1521" t="s">
        <v>2136</v>
      </c>
      <c r="J63" s="1293" t="s">
        <v>2137</v>
      </c>
      <c r="K63" s="1293" t="s">
        <v>2138</v>
      </c>
      <c r="L63" s="1293" t="s">
        <v>2139</v>
      </c>
      <c r="M63" s="1292" t="s">
        <v>2140</v>
      </c>
      <c r="O63" s="1047" t="s">
        <v>949</v>
      </c>
      <c r="P63" s="1048" t="s">
        <v>2081</v>
      </c>
      <c r="Q63" s="1049">
        <f ca="1">C40+J29</f>
        <v>10513118</v>
      </c>
      <c r="R63" s="1050" t="s">
        <v>2082</v>
      </c>
    </row>
    <row r="64" spans="1:18" s="652" customFormat="1" ht="20.25" thickBot="1">
      <c r="A64" s="263"/>
      <c r="B64" s="244"/>
      <c r="C64" s="17"/>
      <c r="D64" s="264"/>
      <c r="E64" s="235" t="s">
        <v>2141</v>
      </c>
      <c r="F64" s="236">
        <f t="shared" si="0"/>
        <v>0</v>
      </c>
      <c r="I64" s="1521" t="s">
        <v>2142</v>
      </c>
      <c r="J64" s="1293">
        <v>70</v>
      </c>
      <c r="K64" s="1293">
        <v>50</v>
      </c>
      <c r="L64" s="1293">
        <v>80</v>
      </c>
      <c r="M64" s="1291">
        <v>0.02</v>
      </c>
      <c r="O64" s="1047" t="s">
        <v>950</v>
      </c>
      <c r="P64" s="1048" t="s">
        <v>2113</v>
      </c>
      <c r="Q64" s="1049">
        <f>L61</f>
        <v>0</v>
      </c>
      <c r="R64" s="1050" t="s">
        <v>2114</v>
      </c>
    </row>
    <row r="65" spans="1:18" s="652" customFormat="1" ht="23.25" thickBot="1">
      <c r="A65" s="253" t="s">
        <v>19</v>
      </c>
      <c r="B65" s="235" t="s">
        <v>2062</v>
      </c>
      <c r="C65" s="13">
        <f ca="1">ROUND(C58*F65,0)</f>
        <v>18859</v>
      </c>
      <c r="D65" s="1301" t="s">
        <v>2063</v>
      </c>
      <c r="E65" s="235" t="s">
        <v>2007</v>
      </c>
      <c r="F65" s="265">
        <f t="shared" si="0"/>
        <v>1.4999999999999999E-2</v>
      </c>
      <c r="I65" s="1521" t="s">
        <v>2143</v>
      </c>
      <c r="J65" s="1293">
        <v>50</v>
      </c>
      <c r="K65" s="1293">
        <v>35</v>
      </c>
      <c r="L65" s="1293">
        <v>60</v>
      </c>
      <c r="M65" s="1292">
        <v>0</v>
      </c>
      <c r="O65" s="1051" t="s">
        <v>951</v>
      </c>
      <c r="P65" s="1048" t="s">
        <v>2117</v>
      </c>
      <c r="Q65" s="1053">
        <f ca="1">L52</f>
        <v>195177566</v>
      </c>
      <c r="R65" s="1054" t="s">
        <v>2144</v>
      </c>
    </row>
    <row r="66" spans="1:18" s="652" customFormat="1" ht="20.25" thickBot="1">
      <c r="A66" s="253" t="s">
        <v>20</v>
      </c>
      <c r="B66" s="235" t="s">
        <v>2022</v>
      </c>
      <c r="C66" s="13">
        <f ca="1">ROUND(C57*F66,0)</f>
        <v>1697</v>
      </c>
      <c r="D66" s="1301" t="s">
        <v>2023</v>
      </c>
      <c r="E66" s="235" t="s">
        <v>2024</v>
      </c>
      <c r="F66" s="266">
        <f t="shared" si="0"/>
        <v>1.5E-3</v>
      </c>
      <c r="I66" s="1521" t="s">
        <v>2145</v>
      </c>
      <c r="J66" s="1293">
        <v>40</v>
      </c>
      <c r="K66" s="1293">
        <v>30</v>
      </c>
      <c r="L66" s="1293">
        <v>50</v>
      </c>
      <c r="M66" s="1291">
        <v>0.02</v>
      </c>
      <c r="O66" s="1051" t="s">
        <v>952</v>
      </c>
      <c r="P66" s="1055" t="s">
        <v>2146</v>
      </c>
      <c r="Q66" s="1049">
        <f ca="1">ROUND(Q67-Q68*Q69,0)</f>
        <v>486021</v>
      </c>
      <c r="R66" s="1050"/>
    </row>
    <row r="67" spans="1:18" s="652" customFormat="1" ht="15.75" thickBot="1">
      <c r="A67" s="253" t="s">
        <v>21</v>
      </c>
      <c r="B67" s="235" t="s">
        <v>2005</v>
      </c>
      <c r="C67" s="13">
        <f ca="1">ROUND(C49*F67,0)</f>
        <v>0</v>
      </c>
      <c r="D67" s="1301" t="s">
        <v>2028</v>
      </c>
      <c r="E67" s="235" t="s">
        <v>2024</v>
      </c>
      <c r="F67" s="245">
        <f t="shared" si="0"/>
        <v>0.02</v>
      </c>
      <c r="O67" s="1051" t="s">
        <v>957</v>
      </c>
      <c r="P67" s="1055" t="s">
        <v>2147</v>
      </c>
      <c r="Q67" s="1049">
        <f ca="1">C39</f>
        <v>486021</v>
      </c>
      <c r="R67" s="1050" t="s">
        <v>2082</v>
      </c>
    </row>
    <row r="68" spans="1:18" ht="15.75" thickBot="1">
      <c r="A68" s="248" t="s">
        <v>22</v>
      </c>
      <c r="B68" s="41" t="s">
        <v>2032</v>
      </c>
      <c r="C68" s="250">
        <f ca="1">C49-C59</f>
        <v>-20556</v>
      </c>
      <c r="D68" s="1298" t="s">
        <v>2033</v>
      </c>
      <c r="E68" s="1300"/>
      <c r="F68" s="268"/>
      <c r="H68" s="652"/>
      <c r="I68" s="652"/>
      <c r="J68" s="652"/>
      <c r="K68" s="652"/>
      <c r="L68" s="652"/>
      <c r="M68" s="652"/>
      <c r="O68" s="1051" t="s">
        <v>958</v>
      </c>
      <c r="P68" s="1055" t="s">
        <v>2148</v>
      </c>
      <c r="Q68" s="1049">
        <f ca="1">C13</f>
        <v>1131565</v>
      </c>
      <c r="R68" s="1050" t="s">
        <v>2082</v>
      </c>
    </row>
    <row r="69" spans="1:18" ht="15.75" thickBot="1">
      <c r="A69" s="232" t="s">
        <v>23</v>
      </c>
      <c r="B69" s="233" t="s">
        <v>2070</v>
      </c>
      <c r="C69" s="234">
        <f ca="1">ROUND(C68*(1-((1+F71)/(1+F69))^F70)/(F69-F71),0)</f>
        <v>-307975</v>
      </c>
      <c r="D69" s="261" t="s">
        <v>2038</v>
      </c>
      <c r="E69" s="235" t="s">
        <v>2039</v>
      </c>
      <c r="F69" s="245">
        <f>F40</f>
        <v>5.5E-2</v>
      </c>
      <c r="H69" s="652"/>
      <c r="I69" s="652"/>
      <c r="J69" s="652"/>
      <c r="K69" s="652"/>
      <c r="L69" s="652"/>
      <c r="M69" s="652"/>
      <c r="O69" s="1051" t="s">
        <v>959</v>
      </c>
      <c r="P69" s="1055" t="s">
        <v>2149</v>
      </c>
      <c r="Q69" s="1052">
        <f>J35</f>
        <v>0</v>
      </c>
      <c r="R69" s="1050"/>
    </row>
    <row r="70" spans="1:18" ht="15.75" thickBot="1">
      <c r="A70" s="237"/>
      <c r="B70" s="238"/>
      <c r="C70" s="239"/>
      <c r="D70" s="269" t="s">
        <v>2072</v>
      </c>
      <c r="E70" s="235" t="s">
        <v>2044</v>
      </c>
      <c r="F70" s="270">
        <f>F41</f>
        <v>32.450000000000003</v>
      </c>
      <c r="H70" s="652"/>
      <c r="I70" s="652"/>
      <c r="J70" s="652"/>
      <c r="K70" s="652"/>
      <c r="L70" s="652"/>
      <c r="M70" s="652"/>
      <c r="O70" s="1051" t="s">
        <v>953</v>
      </c>
      <c r="P70" s="1048" t="s">
        <v>2120</v>
      </c>
      <c r="Q70" s="1052">
        <f>L53</f>
        <v>0</v>
      </c>
      <c r="R70" s="1050"/>
    </row>
    <row r="71" spans="1:18" ht="20.25" thickBot="1">
      <c r="A71" s="241"/>
      <c r="B71" s="242"/>
      <c r="C71" s="243"/>
      <c r="D71" s="264"/>
      <c r="E71" s="235" t="s">
        <v>2048</v>
      </c>
      <c r="F71" s="1036"/>
      <c r="H71" s="652"/>
      <c r="M71" s="652"/>
      <c r="O71" s="1051" t="s">
        <v>954</v>
      </c>
      <c r="P71" s="1048" t="s">
        <v>2123</v>
      </c>
      <c r="Q71" s="1049" t="e">
        <f>L59</f>
        <v>#DIV/0!</v>
      </c>
      <c r="R71" s="1050" t="s">
        <v>2124</v>
      </c>
    </row>
    <row r="72" spans="1:18" ht="15.75" thickBot="1">
      <c r="A72" s="271" t="s">
        <v>24</v>
      </c>
      <c r="B72" s="272" t="s">
        <v>2073</v>
      </c>
      <c r="C72" s="273">
        <f ca="1">ROUND(C69/F72,0)</f>
        <v>-1279</v>
      </c>
      <c r="D72" s="274" t="s">
        <v>2074</v>
      </c>
      <c r="E72" s="275" t="s">
        <v>2075</v>
      </c>
      <c r="F72" s="276">
        <f>F43</f>
        <v>240.88</v>
      </c>
      <c r="O72" s="1051" t="s">
        <v>960</v>
      </c>
      <c r="P72" s="1048" t="str">
        <f>K60</f>
        <v>建筑物剩余耐用年限下的土地年期修正系数Kn</v>
      </c>
      <c r="Q72" s="1049" t="e">
        <f>L60</f>
        <v>#DIV/0!</v>
      </c>
      <c r="R72" s="1050" t="s">
        <v>2127</v>
      </c>
    </row>
    <row r="73" spans="1:18" ht="15.75" thickBot="1">
      <c r="A73" s="652"/>
      <c r="B73" s="656"/>
      <c r="C73" s="656"/>
      <c r="D73" s="652"/>
      <c r="E73" s="652"/>
      <c r="F73" s="652"/>
      <c r="O73" s="1047" t="s">
        <v>955</v>
      </c>
      <c r="P73" s="1048" t="str">
        <f>IF(C2="元","收益价值(元)","收益价值(万元)")</f>
        <v>收益价值(万元)</v>
      </c>
      <c r="Q73" s="1049">
        <f ca="1">ROUND(IF(C2="元",Q63+Q64,(Q63+Q64)/10000),0)</f>
        <v>1051</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F27" sqref="F27"/>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544</v>
      </c>
      <c r="C2" s="79" t="str">
        <f>'数据-取费表'!B3</f>
        <v>万元</v>
      </c>
      <c r="D2" s="1486" t="s">
        <v>1183</v>
      </c>
      <c r="E2" s="1151" t="e">
        <f ca="1">SUMIF(INDIRECT("'"&amp;G2&amp;"'"&amp;"!A:A"),"承租人权益价值",INDIRECT("'"&amp;G2&amp;"'"&amp;"!c:c"))</f>
        <v>#REF!</v>
      </c>
      <c r="F2" s="1487" t="str">
        <f>C2</f>
        <v>万元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22587</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6"/>
      <c r="I4" s="2956"/>
      <c r="J4" s="2956"/>
      <c r="K4" s="2956"/>
      <c r="L4" s="2956"/>
      <c r="M4" s="2956"/>
      <c r="N4" s="2956"/>
      <c r="O4" s="2956"/>
      <c r="P4" s="2956"/>
      <c r="Q4" s="2956"/>
      <c r="R4" s="2956"/>
      <c r="S4" s="2956"/>
      <c r="T4" s="2956"/>
      <c r="U4" s="2956"/>
      <c r="V4" s="2956"/>
      <c r="W4" s="2956"/>
      <c r="X4" s="2956"/>
      <c r="Y4" s="2956"/>
      <c r="Z4" s="2956"/>
      <c r="AA4" s="2956"/>
      <c r="AB4" s="2956"/>
      <c r="AC4" s="2956"/>
      <c r="AD4" s="2956"/>
      <c r="AE4" s="2956"/>
      <c r="AF4" s="2956"/>
      <c r="AG4" s="2956"/>
      <c r="AH4" s="2956"/>
      <c r="AI4" s="2956"/>
      <c r="AJ4" s="2956"/>
      <c r="AK4" s="2956"/>
      <c r="AL4" s="2956"/>
      <c r="AM4" s="2956"/>
      <c r="AN4" s="2956"/>
      <c r="AO4" s="2956"/>
      <c r="AP4" s="2956"/>
      <c r="AQ4" s="2956"/>
      <c r="AR4" s="2956"/>
      <c r="AS4" s="2956"/>
      <c r="AT4" s="2956"/>
      <c r="AU4" s="2956"/>
      <c r="AV4" s="2956"/>
      <c r="AW4" s="2956"/>
      <c r="AX4" s="2956"/>
      <c r="AY4" s="2956"/>
      <c r="AZ4" s="2956"/>
      <c r="BA4" s="2956"/>
      <c r="BB4" s="2956"/>
      <c r="BC4" s="2956"/>
      <c r="BD4" s="2956"/>
      <c r="BE4" s="2956"/>
      <c r="BF4" s="2956"/>
      <c r="BG4" s="2956"/>
      <c r="BH4" s="2956"/>
      <c r="BI4" s="2956"/>
      <c r="BJ4" s="2956"/>
      <c r="BK4" s="2956"/>
      <c r="BL4" s="2956"/>
      <c r="BM4" s="2956"/>
      <c r="BN4" s="2956"/>
      <c r="BO4" s="2956"/>
      <c r="BP4" s="2956"/>
      <c r="BQ4" s="2956"/>
      <c r="BR4" s="2956"/>
      <c r="BS4" s="2956"/>
      <c r="BT4" s="2956"/>
      <c r="BU4" s="2956"/>
      <c r="BV4" s="2956"/>
      <c r="BW4" s="2956"/>
      <c r="BX4" s="2956"/>
      <c r="BY4" s="2956"/>
      <c r="BZ4" s="2956"/>
      <c r="CA4" s="2956"/>
      <c r="CB4" s="2956"/>
      <c r="CC4" s="2956"/>
      <c r="CD4" s="2956"/>
      <c r="CE4" s="2956"/>
      <c r="CF4" s="2956"/>
      <c r="CG4" s="2956"/>
      <c r="CH4" s="2956"/>
      <c r="CI4" s="2956"/>
      <c r="CJ4" s="2956"/>
      <c r="CK4" s="2956"/>
      <c r="CL4" s="2956"/>
      <c r="CM4" s="2956"/>
      <c r="CN4" s="2956"/>
      <c r="CO4" s="2956"/>
      <c r="CP4" s="2956"/>
      <c r="CQ4" s="2956"/>
      <c r="CR4" s="2956"/>
      <c r="CS4" s="2956"/>
      <c r="CT4" s="2956"/>
      <c r="CU4" s="2956"/>
      <c r="CV4" s="2956"/>
      <c r="CW4" s="2956"/>
      <c r="CX4" s="2956"/>
      <c r="CY4" s="2956"/>
      <c r="CZ4" s="2956"/>
      <c r="DA4" s="2956"/>
      <c r="DB4" s="2956"/>
      <c r="DC4" s="2956"/>
      <c r="DD4" s="2956"/>
      <c r="DE4" s="2956"/>
      <c r="DF4" s="2956"/>
      <c r="DG4" s="2956"/>
      <c r="DH4" s="2956"/>
      <c r="DI4" s="2956"/>
      <c r="DJ4" s="2956"/>
      <c r="DK4" s="2956"/>
      <c r="DL4" s="2956"/>
      <c r="DM4" s="2956"/>
      <c r="DN4" s="2956"/>
      <c r="DO4" s="2956"/>
      <c r="DP4" s="2956"/>
      <c r="DQ4" s="2956"/>
      <c r="DR4" s="2956"/>
      <c r="DS4" s="2956"/>
    </row>
    <row r="5" spans="1:123" s="91" customFormat="1" ht="13.5" customHeight="1">
      <c r="A5" s="120" t="s">
        <v>1860</v>
      </c>
      <c r="B5" s="89" t="s">
        <v>1861</v>
      </c>
      <c r="C5" s="111">
        <f>C6+C7+C8</f>
        <v>3157217</v>
      </c>
      <c r="D5" s="111" t="s">
        <v>1862</v>
      </c>
      <c r="E5" s="1137" t="s">
        <v>1863</v>
      </c>
      <c r="F5" s="1137"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6">
        <f>12525*D10</f>
        <v>3017022</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92019</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48176</v>
      </c>
      <c r="D8" s="1141"/>
      <c r="E8" s="115"/>
      <c r="F8" s="1140"/>
      <c r="G8" s="1488" t="s">
        <v>3006</v>
      </c>
    </row>
    <row r="9" spans="1:123" s="91" customFormat="1" ht="13.5" customHeight="1">
      <c r="A9" s="993" t="s">
        <v>945</v>
      </c>
      <c r="B9" s="97" t="s">
        <v>1871</v>
      </c>
      <c r="C9" s="1142">
        <f>ROUND(D9*E9,0)</f>
        <v>0</v>
      </c>
      <c r="D9" s="1143">
        <f>IF('数据-取费表'!B10="住宅",IF(B1="仅计算典型户型",'数据-取费表'!E5,'数据-取费表'!B5),0)</f>
        <v>0</v>
      </c>
      <c r="E9" s="1142">
        <f>'数据-取费表'!E11</f>
        <v>160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1872</v>
      </c>
      <c r="C10" s="1142">
        <f>ROUND(D10*E10,0)</f>
        <v>48176</v>
      </c>
      <c r="D10" s="1143">
        <f>IF('数据-取费表'!B10&lt;&gt;"住宅",IF(B1="仅计算典型户型",'数据-取费表'!E5,'数据-取费表'!B5),0)</f>
        <v>240.88</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9"/>
      <c r="F14" s="1139"/>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9"/>
      <c r="F15" s="1139"/>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5"/>
      <c r="D17" s="1145"/>
      <c r="E17" s="1145"/>
      <c r="F17" s="1145"/>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9"/>
      <c r="F18" s="1140">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t="str">
        <f>IF(G19="已包含在土地取得成本中","0",ROUND(D19*E19,0))</f>
        <v>0</v>
      </c>
      <c r="D19" s="1146">
        <f>IF(B1="仅计算典型户型",'数据-取费表'!E5,'数据-取费表'!B5)</f>
        <v>240.88</v>
      </c>
      <c r="E19" s="111">
        <f>'数据-取费表'!E15</f>
        <v>200</v>
      </c>
      <c r="F19" s="112"/>
      <c r="G19" s="1488" t="s">
        <v>3005</v>
      </c>
    </row>
    <row r="20" spans="1:123" s="91" customFormat="1" ht="13.5" customHeight="1">
      <c r="A20" s="120" t="s">
        <v>1884</v>
      </c>
      <c r="B20" s="89" t="s">
        <v>1885</v>
      </c>
      <c r="C20" s="99">
        <f>ROUND((C5+C19)*F20,0)</f>
        <v>63144</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273428</v>
      </c>
      <c r="D22" s="101">
        <f ca="1">C26</f>
        <v>8.0000000000000004E-4</v>
      </c>
      <c r="E22" s="102" t="s">
        <v>1889</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6">
        <f ca="1">ROUND(IF('数据-取费表'!B24&lt;=1,C5*F22*'数据-取费表'!B25,C5*(POWER((1+F22),'数据-取费表'!B25)-1)),0)</f>
        <v>270776</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6">
        <f ca="1">ROUND(IF('数据-取费表'!B24&lt;=1,C19*F22*('数据-取费表'!B21/2+'数据-取费表'!B23),C19*(POWER((1+F22),('数据-取费表'!B21/2+'数据-取费表'!B23))-1)),0)</f>
        <v>0</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6">
        <f ca="1">ROUND(IF('数据-取费表'!B24&lt;=1,C20*F22*'数据-取费表'!B25/2,C20*(POWER((1+F22),'数据-取费表'!B25/2)-1)),0)</f>
        <v>2652</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1902</v>
      </c>
      <c r="B27" s="110" t="s">
        <v>1903</v>
      </c>
      <c r="C27" s="111">
        <f>C28</f>
        <v>483054</v>
      </c>
      <c r="D27" s="101">
        <f>C29</f>
        <v>3.0000000000000001E-3</v>
      </c>
      <c r="E27" s="102" t="s">
        <v>1889</v>
      </c>
      <c r="F27" s="112">
        <f>'数据-取费表'!E28</f>
        <v>0.15</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483054</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1907</v>
      </c>
      <c r="B30" s="89" t="s">
        <v>1908</v>
      </c>
      <c r="C30" s="101">
        <f>ROUND(F30/(1+'数据-取费表'!F30),4)</f>
        <v>5.33E-2</v>
      </c>
      <c r="D30" s="102" t="s">
        <v>1889</v>
      </c>
      <c r="E30" s="107"/>
      <c r="F30" s="103">
        <f>'数据-取费表'!E29</f>
        <v>5.6000000000000001E-2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4309072</v>
      </c>
      <c r="D31" s="1146"/>
      <c r="E31" s="111"/>
      <c r="F31" s="1147"/>
      <c r="G31" s="100" t="s">
        <v>1911</v>
      </c>
    </row>
    <row r="32" spans="1:123" s="88" customFormat="1" ht="15.75">
      <c r="A32" s="117" t="s">
        <v>1912</v>
      </c>
      <c r="B32" s="118"/>
      <c r="C32" s="1148"/>
      <c r="D32" s="1148"/>
      <c r="E32" s="1148"/>
      <c r="F32" s="1148"/>
      <c r="G32" s="119"/>
      <c r="H32" s="2956"/>
      <c r="I32" s="2956"/>
      <c r="J32" s="2956"/>
      <c r="K32" s="2956"/>
      <c r="L32" s="2956"/>
      <c r="M32" s="2956"/>
      <c r="N32" s="2956"/>
      <c r="O32" s="2956"/>
      <c r="P32" s="2956"/>
      <c r="Q32" s="2956"/>
      <c r="R32" s="2956"/>
      <c r="S32" s="2956"/>
      <c r="T32" s="2956"/>
      <c r="U32" s="2956"/>
      <c r="V32" s="2956"/>
      <c r="W32" s="2956"/>
      <c r="X32" s="2956"/>
      <c r="Y32" s="2956"/>
      <c r="Z32" s="2956"/>
      <c r="AA32" s="2956"/>
      <c r="AB32" s="2956"/>
      <c r="AC32" s="2956"/>
      <c r="AD32" s="2956"/>
      <c r="AE32" s="2956"/>
      <c r="AF32" s="2956"/>
      <c r="AG32" s="2956"/>
      <c r="AH32" s="2956"/>
      <c r="AI32" s="2956"/>
      <c r="AJ32" s="2956"/>
      <c r="AK32" s="2956"/>
      <c r="AL32" s="2956"/>
      <c r="AM32" s="2956"/>
      <c r="AN32" s="2956"/>
      <c r="AO32" s="2956"/>
      <c r="AP32" s="2956"/>
      <c r="AQ32" s="2956"/>
      <c r="AR32" s="2956"/>
      <c r="AS32" s="2956"/>
      <c r="AT32" s="2956"/>
      <c r="AU32" s="2956"/>
      <c r="AV32" s="2956"/>
      <c r="AW32" s="2956"/>
      <c r="AX32" s="2956"/>
      <c r="AY32" s="2956"/>
      <c r="AZ32" s="2956"/>
      <c r="BA32" s="2956"/>
      <c r="BB32" s="2956"/>
      <c r="BC32" s="2956"/>
      <c r="BD32" s="2956"/>
      <c r="BE32" s="2956"/>
      <c r="BF32" s="2956"/>
      <c r="BG32" s="2956"/>
      <c r="BH32" s="2956"/>
      <c r="BI32" s="2956"/>
      <c r="BJ32" s="2956"/>
      <c r="BK32" s="2956"/>
      <c r="BL32" s="2956"/>
      <c r="BM32" s="2956"/>
      <c r="BN32" s="2956"/>
      <c r="BO32" s="2956"/>
      <c r="BP32" s="2956"/>
      <c r="BQ32" s="2956"/>
      <c r="BR32" s="2956"/>
      <c r="BS32" s="2956"/>
      <c r="BT32" s="2956"/>
      <c r="BU32" s="2956"/>
      <c r="BV32" s="2956"/>
      <c r="BW32" s="2956"/>
      <c r="BX32" s="2956"/>
      <c r="BY32" s="2956"/>
      <c r="BZ32" s="2956"/>
      <c r="CA32" s="2956"/>
      <c r="CB32" s="2956"/>
      <c r="CC32" s="2956"/>
      <c r="CD32" s="2956"/>
      <c r="CE32" s="2956"/>
      <c r="CF32" s="2956"/>
      <c r="CG32" s="2956"/>
      <c r="CH32" s="2956"/>
      <c r="CI32" s="2956"/>
      <c r="CJ32" s="2956"/>
      <c r="CK32" s="2956"/>
      <c r="CL32" s="2956"/>
      <c r="CM32" s="2956"/>
      <c r="CN32" s="2956"/>
      <c r="CO32" s="2956"/>
      <c r="CP32" s="2956"/>
      <c r="CQ32" s="2956"/>
      <c r="CR32" s="2956"/>
      <c r="CS32" s="2956"/>
      <c r="CT32" s="2956"/>
      <c r="CU32" s="2956"/>
      <c r="CV32" s="2956"/>
      <c r="CW32" s="2956"/>
      <c r="CX32" s="2956"/>
      <c r="CY32" s="2956"/>
      <c r="CZ32" s="2956"/>
      <c r="DA32" s="2956"/>
      <c r="DB32" s="2956"/>
      <c r="DC32" s="2956"/>
      <c r="DD32" s="2956"/>
      <c r="DE32" s="2956"/>
      <c r="DF32" s="2956"/>
      <c r="DG32" s="2956"/>
      <c r="DH32" s="2956"/>
      <c r="DI32" s="2956"/>
      <c r="DJ32" s="2956"/>
      <c r="DK32" s="2956"/>
      <c r="DL32" s="2956"/>
      <c r="DM32" s="2956"/>
      <c r="DN32" s="2956"/>
      <c r="DO32" s="2956"/>
      <c r="DP32" s="2956"/>
      <c r="DQ32" s="2956"/>
      <c r="DR32" s="2956"/>
      <c r="DS32" s="2956"/>
    </row>
    <row r="33" spans="1:123" s="91" customFormat="1" ht="13.5" customHeight="1">
      <c r="A33" s="120" t="s">
        <v>1913</v>
      </c>
      <c r="B33" s="89" t="s">
        <v>1914</v>
      </c>
      <c r="C33" s="121">
        <f>SUM(C34:C38)</f>
        <v>954367</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867168</v>
      </c>
      <c r="D34" s="1138"/>
      <c r="E34" s="115"/>
      <c r="F34" s="1149" t="str">
        <f>IF('数据-取费表'!B26=0,"",'数据-取费表'!E20)</f>
        <v/>
      </c>
      <c r="G34" s="95"/>
    </row>
    <row r="35" spans="1:123" ht="13.5" customHeight="1">
      <c r="A35" s="92" t="s">
        <v>1867</v>
      </c>
      <c r="B35" s="93" t="s">
        <v>1916</v>
      </c>
      <c r="C35" s="115">
        <f>ROUND(C34*F35,0)</f>
        <v>26015</v>
      </c>
      <c r="D35" s="115"/>
      <c r="E35" s="115"/>
      <c r="F35" s="1150">
        <f>'数据-取费表'!E21</f>
        <v>0.03</v>
      </c>
      <c r="G35" s="95" t="s">
        <v>1917</v>
      </c>
    </row>
    <row r="36" spans="1:123" ht="24">
      <c r="A36" s="92" t="s">
        <v>1869</v>
      </c>
      <c r="B36" s="93" t="s">
        <v>1918</v>
      </c>
      <c r="C36" s="115">
        <f>ROUND(IF('数据-取费表'!B10="住宅",C34*F36,0),0)</f>
        <v>0</v>
      </c>
      <c r="D36" s="115"/>
      <c r="E36" s="115"/>
      <c r="F36" s="1150">
        <f>'数据-取费表'!E22</f>
        <v>0</v>
      </c>
      <c r="G36" s="123" t="s">
        <v>1919</v>
      </c>
    </row>
    <row r="37" spans="1:123" s="122" customFormat="1" ht="13.5" customHeight="1">
      <c r="A37" s="92" t="s">
        <v>1900</v>
      </c>
      <c r="B37" s="93" t="s">
        <v>1920</v>
      </c>
      <c r="C37" s="115">
        <f>ROUND(E37*D37,0)</f>
        <v>48176</v>
      </c>
      <c r="D37" s="1138">
        <f>IF(B1="仅计算典型户型",'数据-取费表'!E5,'数据-取费表'!B5)</f>
        <v>240.88</v>
      </c>
      <c r="E37" s="115">
        <f>'数据-取费表'!E23</f>
        <v>200</v>
      </c>
      <c r="F37" s="1150"/>
      <c r="G37" s="124" t="s">
        <v>1921</v>
      </c>
    </row>
    <row r="38" spans="1:123" ht="13.5" customHeight="1">
      <c r="A38" s="92" t="s">
        <v>1922</v>
      </c>
      <c r="B38" s="93" t="s">
        <v>1923</v>
      </c>
      <c r="C38" s="115">
        <f>ROUND(C34*F38,0)</f>
        <v>13008</v>
      </c>
      <c r="D38" s="115"/>
      <c r="E38" s="115"/>
      <c r="F38" s="1150">
        <f>'数据-取费表'!E24</f>
        <v>1.4999999999999999E-2</v>
      </c>
      <c r="G38" s="95" t="s">
        <v>1917</v>
      </c>
    </row>
    <row r="39" spans="1:123" s="91" customFormat="1" ht="13.5" customHeight="1">
      <c r="A39" s="120" t="s">
        <v>1882</v>
      </c>
      <c r="B39" s="89" t="s">
        <v>1885</v>
      </c>
      <c r="C39" s="99">
        <f>ROUND(C33*F20,0)</f>
        <v>19087</v>
      </c>
      <c r="D39" s="99"/>
      <c r="E39" s="99"/>
      <c r="F39" s="2858">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3">
        <f>F21</f>
        <v>0.02</v>
      </c>
      <c r="D40" s="102" t="s">
        <v>1925</v>
      </c>
      <c r="E40" s="99"/>
      <c r="F40" s="2858">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40885</v>
      </c>
      <c r="D41" s="101">
        <f ca="1">C44</f>
        <v>8.0000000000000004E-4</v>
      </c>
      <c r="E41" s="102" t="s">
        <v>1925</v>
      </c>
      <c r="F41" s="2858">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40083</v>
      </c>
      <c r="D42" s="104"/>
      <c r="E42" s="104"/>
      <c r="F42" s="105"/>
      <c r="G42" s="3594" t="s">
        <v>1927</v>
      </c>
    </row>
    <row r="43" spans="1:123" ht="13.5" customHeight="1">
      <c r="A43" s="92" t="s">
        <v>1867</v>
      </c>
      <c r="B43" s="93" t="s">
        <v>1896</v>
      </c>
      <c r="C43" s="104">
        <f ca="1">ROUND(IF('数据-取费表'!B24&lt;=1,C39*F22*'数据-取费表'!B23/2,C39*(POWER((1+F22),'数据-取费表'!B23/2)-1)),0)</f>
        <v>802</v>
      </c>
      <c r="D43" s="104"/>
      <c r="E43" s="104"/>
      <c r="F43" s="105"/>
      <c r="G43" s="3595"/>
    </row>
    <row r="44" spans="1:123" ht="13.5" customHeight="1">
      <c r="A44" s="92" t="s">
        <v>1869</v>
      </c>
      <c r="B44" s="93" t="s">
        <v>1898</v>
      </c>
      <c r="C44" s="104">
        <f ca="1">ROUND(IF('数据-取费表'!B24&lt;=1,C40*F22*'数据-取费表'!B23/2,C40*(POWER((1+F22),'数据-取费表'!B23/2)-1)),4)</f>
        <v>8.0000000000000004E-4</v>
      </c>
      <c r="D44" s="104"/>
      <c r="E44" s="104"/>
      <c r="F44" s="105"/>
      <c r="G44" s="3596"/>
    </row>
    <row r="45" spans="1:123" s="91" customFormat="1" ht="13.5" customHeight="1">
      <c r="A45" s="120" t="s">
        <v>1891</v>
      </c>
      <c r="B45" s="110" t="s">
        <v>1903</v>
      </c>
      <c r="C45" s="111">
        <f>C46</f>
        <v>146018</v>
      </c>
      <c r="D45" s="101">
        <f>C47</f>
        <v>3.0000000000000001E-3</v>
      </c>
      <c r="E45" s="102" t="s">
        <v>1925</v>
      </c>
      <c r="F45" s="2859">
        <f>F27</f>
        <v>0.15</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146018</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1902</v>
      </c>
      <c r="B48" s="89" t="s">
        <v>1931</v>
      </c>
      <c r="C48" s="1273">
        <f>ROUND(F30/(1+'数据-取费表'!F30),4)</f>
        <v>5.33E-2</v>
      </c>
      <c r="D48" s="102" t="s">
        <v>1925</v>
      </c>
      <c r="E48" s="99"/>
      <c r="F48" s="2858">
        <f>F30</f>
        <v>5.6000000000000001E-2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1933</v>
      </c>
      <c r="B49" s="89" t="s">
        <v>1934</v>
      </c>
      <c r="C49" s="99">
        <f ca="1">ROUND((C33+C39+C41+C45)/(1-C40-D41-D45-C48),0)</f>
        <v>1257294</v>
      </c>
      <c r="D49" s="99"/>
      <c r="E49" s="99"/>
      <c r="F49" s="126"/>
      <c r="G49" s="100" t="s">
        <v>1935</v>
      </c>
    </row>
    <row r="50" spans="1:123" s="122" customFormat="1" ht="24">
      <c r="A50" s="994" t="s">
        <v>1936</v>
      </c>
      <c r="B50" s="89" t="s">
        <v>1937</v>
      </c>
      <c r="C50" s="99"/>
      <c r="D50" s="99"/>
      <c r="E50" s="99"/>
      <c r="F50" s="126">
        <f>IF('数据-取费表'!B26=0,'数据-取费表'!E20,1)</f>
        <v>0.9</v>
      </c>
      <c r="G50" s="113" t="s">
        <v>1938</v>
      </c>
    </row>
    <row r="51" spans="1:123" ht="16.5" customHeight="1">
      <c r="A51" s="994" t="s">
        <v>1939</v>
      </c>
      <c r="B51" s="89" t="s">
        <v>1940</v>
      </c>
      <c r="C51" s="99">
        <f ca="1">ROUND(C49*F50,0)</f>
        <v>1131565</v>
      </c>
      <c r="D51" s="99"/>
      <c r="E51" s="99"/>
      <c r="F51" s="126"/>
      <c r="G51" s="100" t="s">
        <v>1941</v>
      </c>
    </row>
    <row r="52" spans="1:123" s="88" customFormat="1" ht="16.5" thickBot="1">
      <c r="A52" s="127" t="s">
        <v>1942</v>
      </c>
      <c r="B52" s="128"/>
      <c r="C52" s="129">
        <f ca="1">C31+C51</f>
        <v>5440637</v>
      </c>
      <c r="D52" s="128"/>
      <c r="E52" s="128"/>
      <c r="F52" s="128"/>
      <c r="G52" s="130"/>
      <c r="H52" s="2956"/>
      <c r="I52" s="2956"/>
      <c r="J52" s="2956"/>
      <c r="K52" s="2956"/>
      <c r="L52" s="2956"/>
      <c r="M52" s="2956"/>
      <c r="N52" s="2956"/>
      <c r="O52" s="2956"/>
      <c r="P52" s="2956"/>
      <c r="Q52" s="2956"/>
      <c r="R52" s="2956"/>
      <c r="S52" s="2956"/>
      <c r="T52" s="2956"/>
      <c r="U52" s="2956"/>
      <c r="V52" s="2956"/>
      <c r="W52" s="2956"/>
      <c r="X52" s="2956"/>
      <c r="Y52" s="2956"/>
      <c r="Z52" s="2956"/>
      <c r="AA52" s="2956"/>
      <c r="AB52" s="2956"/>
      <c r="AC52" s="2956"/>
      <c r="AD52" s="2956"/>
      <c r="AE52" s="2956"/>
      <c r="AF52" s="2956"/>
      <c r="AG52" s="2956"/>
      <c r="AH52" s="2956"/>
      <c r="AI52" s="2956"/>
      <c r="AJ52" s="2956"/>
      <c r="AK52" s="2956"/>
      <c r="AL52" s="2956"/>
      <c r="AM52" s="2956"/>
      <c r="AN52" s="2956"/>
      <c r="AO52" s="2956"/>
      <c r="AP52" s="2956"/>
      <c r="AQ52" s="2956"/>
      <c r="AR52" s="2956"/>
      <c r="AS52" s="2956"/>
      <c r="AT52" s="2956"/>
      <c r="AU52" s="2956"/>
      <c r="AV52" s="2956"/>
      <c r="AW52" s="2956"/>
      <c r="AX52" s="2956"/>
      <c r="AY52" s="2956"/>
      <c r="AZ52" s="2956"/>
      <c r="BA52" s="2956"/>
      <c r="BB52" s="2956"/>
      <c r="BC52" s="2956"/>
      <c r="BD52" s="2956"/>
      <c r="BE52" s="2956"/>
      <c r="BF52" s="2956"/>
      <c r="BG52" s="2956"/>
      <c r="BH52" s="2956"/>
      <c r="BI52" s="2956"/>
      <c r="BJ52" s="2956"/>
      <c r="BK52" s="2956"/>
      <c r="BL52" s="2956"/>
      <c r="BM52" s="2956"/>
      <c r="BN52" s="2956"/>
      <c r="BO52" s="2956"/>
      <c r="BP52" s="2956"/>
      <c r="BQ52" s="2956"/>
      <c r="BR52" s="2956"/>
      <c r="BS52" s="2956"/>
      <c r="BT52" s="2956"/>
      <c r="BU52" s="2956"/>
      <c r="BV52" s="2956"/>
      <c r="BW52" s="2956"/>
      <c r="BX52" s="2956"/>
      <c r="BY52" s="2956"/>
      <c r="BZ52" s="2956"/>
      <c r="CA52" s="2956"/>
      <c r="CB52" s="2956"/>
      <c r="CC52" s="2956"/>
      <c r="CD52" s="2956"/>
      <c r="CE52" s="2956"/>
      <c r="CF52" s="2956"/>
      <c r="CG52" s="2956"/>
      <c r="CH52" s="2956"/>
      <c r="CI52" s="2956"/>
      <c r="CJ52" s="2956"/>
      <c r="CK52" s="2956"/>
      <c r="CL52" s="2956"/>
      <c r="CM52" s="2956"/>
      <c r="CN52" s="2956"/>
      <c r="CO52" s="2956"/>
      <c r="CP52" s="2956"/>
      <c r="CQ52" s="2956"/>
      <c r="CR52" s="2956"/>
      <c r="CS52" s="2956"/>
      <c r="CT52" s="2956"/>
      <c r="CU52" s="2956"/>
      <c r="CV52" s="2956"/>
      <c r="CW52" s="2956"/>
      <c r="CX52" s="2956"/>
      <c r="CY52" s="2956"/>
      <c r="CZ52" s="2956"/>
      <c r="DA52" s="2956"/>
      <c r="DB52" s="2956"/>
      <c r="DC52" s="2956"/>
      <c r="DD52" s="2956"/>
      <c r="DE52" s="2956"/>
      <c r="DF52" s="2956"/>
      <c r="DG52" s="2956"/>
      <c r="DH52" s="2956"/>
      <c r="DI52" s="2956"/>
      <c r="DJ52" s="2956"/>
      <c r="DK52" s="2956"/>
      <c r="DL52" s="2956"/>
      <c r="DM52" s="2956"/>
      <c r="DN52" s="2956"/>
      <c r="DO52" s="2956"/>
      <c r="DP52" s="2956"/>
      <c r="DQ52" s="2956"/>
      <c r="DR52" s="2956"/>
      <c r="DS52" s="2956"/>
    </row>
    <row r="55" spans="1:123" ht="15">
      <c r="B55" s="132" t="s">
        <v>1943</v>
      </c>
      <c r="C55" s="133"/>
    </row>
    <row r="56" spans="1:123">
      <c r="B56" s="135" t="s">
        <v>1944</v>
      </c>
      <c r="C56" s="136">
        <f ca="1">ROUND(C51/C52,3)</f>
        <v>0.20799999999999999</v>
      </c>
    </row>
    <row r="57" spans="1:123">
      <c r="B57" s="135" t="s">
        <v>1945</v>
      </c>
      <c r="C57" s="137">
        <f ca="1">1-C56</f>
        <v>0.79200000000000004</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W44"/>
  <sheetViews>
    <sheetView zoomScale="80" zoomScaleNormal="80" workbookViewId="0">
      <selection activeCell="F29" sqref="F29"/>
    </sheetView>
  </sheetViews>
  <sheetFormatPr defaultRowHeight="13.15" customHeight="1"/>
  <cols>
    <col min="1" max="1" width="9.5" style="3138" customWidth="1"/>
    <col min="2" max="2" width="8.875" style="3138"/>
    <col min="3" max="5" width="12.875" style="3138" customWidth="1"/>
    <col min="6" max="6" width="47.5" style="3138" customWidth="1"/>
    <col min="7" max="7" width="13" style="3311" customWidth="1"/>
    <col min="8" max="8" width="8.875" style="3231"/>
    <col min="9" max="9" width="8.875" style="3232"/>
    <col min="10" max="10" width="5.75" style="3312" customWidth="1"/>
    <col min="11" max="11" width="11.75" style="3312" customWidth="1"/>
    <col min="12" max="13" width="10.75" style="3312" customWidth="1"/>
    <col min="14" max="14" width="10" style="3312" customWidth="1"/>
    <col min="15" max="16" width="10.5" style="3312" bestFit="1" customWidth="1"/>
    <col min="17" max="17" width="10" style="3312" customWidth="1"/>
    <col min="18" max="18" width="10.125" style="3312" customWidth="1"/>
    <col min="19" max="19" width="10" style="3312" customWidth="1"/>
    <col min="20" max="20" width="26.125" style="3312" customWidth="1"/>
    <col min="21" max="21" width="8.875" style="3312"/>
    <col min="22" max="22" width="8.875" style="3232"/>
    <col min="23" max="23" width="8.875" style="3231"/>
    <col min="24" max="256" width="8.875" style="3138"/>
    <col min="257" max="257" width="9.5" style="3138" customWidth="1"/>
    <col min="258" max="258" width="8.875" style="3138"/>
    <col min="259" max="261" width="12.875" style="3138" customWidth="1"/>
    <col min="262" max="262" width="47.5" style="3138" customWidth="1"/>
    <col min="263" max="263" width="13" style="3138" customWidth="1"/>
    <col min="264" max="265" width="8.875" style="3138"/>
    <col min="266" max="266" width="5.75" style="3138" customWidth="1"/>
    <col min="267" max="267" width="11.75" style="3138" customWidth="1"/>
    <col min="268" max="269" width="10.75" style="3138" customWidth="1"/>
    <col min="270" max="270" width="10" style="3138" customWidth="1"/>
    <col min="271" max="272" width="10.5" style="3138" bestFit="1" customWidth="1"/>
    <col min="273" max="273" width="10" style="3138" customWidth="1"/>
    <col min="274" max="274" width="10.125" style="3138" customWidth="1"/>
    <col min="275" max="275" width="10" style="3138" customWidth="1"/>
    <col min="276" max="276" width="26.125" style="3138" customWidth="1"/>
    <col min="277" max="512" width="8.875" style="3138"/>
    <col min="513" max="513" width="9.5" style="3138" customWidth="1"/>
    <col min="514" max="514" width="8.875" style="3138"/>
    <col min="515" max="517" width="12.875" style="3138" customWidth="1"/>
    <col min="518" max="518" width="47.5" style="3138" customWidth="1"/>
    <col min="519" max="519" width="13" style="3138" customWidth="1"/>
    <col min="520" max="521" width="8.875" style="3138"/>
    <col min="522" max="522" width="5.75" style="3138" customWidth="1"/>
    <col min="523" max="523" width="11.75" style="3138" customWidth="1"/>
    <col min="524" max="525" width="10.75" style="3138" customWidth="1"/>
    <col min="526" max="526" width="10" style="3138" customWidth="1"/>
    <col min="527" max="528" width="10.5" style="3138" bestFit="1" customWidth="1"/>
    <col min="529" max="529" width="10" style="3138" customWidth="1"/>
    <col min="530" max="530" width="10.125" style="3138" customWidth="1"/>
    <col min="531" max="531" width="10" style="3138" customWidth="1"/>
    <col min="532" max="532" width="26.125" style="3138" customWidth="1"/>
    <col min="533" max="768" width="8.875" style="3138"/>
    <col min="769" max="769" width="9.5" style="3138" customWidth="1"/>
    <col min="770" max="770" width="8.875" style="3138"/>
    <col min="771" max="773" width="12.875" style="3138" customWidth="1"/>
    <col min="774" max="774" width="47.5" style="3138" customWidth="1"/>
    <col min="775" max="775" width="13" style="3138" customWidth="1"/>
    <col min="776" max="777" width="8.875" style="3138"/>
    <col min="778" max="778" width="5.75" style="3138" customWidth="1"/>
    <col min="779" max="779" width="11.75" style="3138" customWidth="1"/>
    <col min="780" max="781" width="10.75" style="3138" customWidth="1"/>
    <col min="782" max="782" width="10" style="3138" customWidth="1"/>
    <col min="783" max="784" width="10.5" style="3138" bestFit="1" customWidth="1"/>
    <col min="785" max="785" width="10" style="3138" customWidth="1"/>
    <col min="786" max="786" width="10.125" style="3138" customWidth="1"/>
    <col min="787" max="787" width="10" style="3138" customWidth="1"/>
    <col min="788" max="788" width="26.125" style="3138" customWidth="1"/>
    <col min="789" max="1024" width="8.875" style="3138"/>
    <col min="1025" max="1025" width="9.5" style="3138" customWidth="1"/>
    <col min="1026" max="1026" width="8.875" style="3138"/>
    <col min="1027" max="1029" width="12.875" style="3138" customWidth="1"/>
    <col min="1030" max="1030" width="47.5" style="3138" customWidth="1"/>
    <col min="1031" max="1031" width="13" style="3138" customWidth="1"/>
    <col min="1032" max="1033" width="8.875" style="3138"/>
    <col min="1034" max="1034" width="5.75" style="3138" customWidth="1"/>
    <col min="1035" max="1035" width="11.75" style="3138" customWidth="1"/>
    <col min="1036" max="1037" width="10.75" style="3138" customWidth="1"/>
    <col min="1038" max="1038" width="10" style="3138" customWidth="1"/>
    <col min="1039" max="1040" width="10.5" style="3138" bestFit="1" customWidth="1"/>
    <col min="1041" max="1041" width="10" style="3138" customWidth="1"/>
    <col min="1042" max="1042" width="10.125" style="3138" customWidth="1"/>
    <col min="1043" max="1043" width="10" style="3138" customWidth="1"/>
    <col min="1044" max="1044" width="26.125" style="3138" customWidth="1"/>
    <col min="1045" max="1280" width="8.875" style="3138"/>
    <col min="1281" max="1281" width="9.5" style="3138" customWidth="1"/>
    <col min="1282" max="1282" width="8.875" style="3138"/>
    <col min="1283" max="1285" width="12.875" style="3138" customWidth="1"/>
    <col min="1286" max="1286" width="47.5" style="3138" customWidth="1"/>
    <col min="1287" max="1287" width="13" style="3138" customWidth="1"/>
    <col min="1288" max="1289" width="8.875" style="3138"/>
    <col min="1290" max="1290" width="5.75" style="3138" customWidth="1"/>
    <col min="1291" max="1291" width="11.75" style="3138" customWidth="1"/>
    <col min="1292" max="1293" width="10.75" style="3138" customWidth="1"/>
    <col min="1294" max="1294" width="10" style="3138" customWidth="1"/>
    <col min="1295" max="1296" width="10.5" style="3138" bestFit="1" customWidth="1"/>
    <col min="1297" max="1297" width="10" style="3138" customWidth="1"/>
    <col min="1298" max="1298" width="10.125" style="3138" customWidth="1"/>
    <col min="1299" max="1299" width="10" style="3138" customWidth="1"/>
    <col min="1300" max="1300" width="26.125" style="3138" customWidth="1"/>
    <col min="1301" max="1536" width="8.875" style="3138"/>
    <col min="1537" max="1537" width="9.5" style="3138" customWidth="1"/>
    <col min="1538" max="1538" width="8.875" style="3138"/>
    <col min="1539" max="1541" width="12.875" style="3138" customWidth="1"/>
    <col min="1542" max="1542" width="47.5" style="3138" customWidth="1"/>
    <col min="1543" max="1543" width="13" style="3138" customWidth="1"/>
    <col min="1544" max="1545" width="8.875" style="3138"/>
    <col min="1546" max="1546" width="5.75" style="3138" customWidth="1"/>
    <col min="1547" max="1547" width="11.75" style="3138" customWidth="1"/>
    <col min="1548" max="1549" width="10.75" style="3138" customWidth="1"/>
    <col min="1550" max="1550" width="10" style="3138" customWidth="1"/>
    <col min="1551" max="1552" width="10.5" style="3138" bestFit="1" customWidth="1"/>
    <col min="1553" max="1553" width="10" style="3138" customWidth="1"/>
    <col min="1554" max="1554" width="10.125" style="3138" customWidth="1"/>
    <col min="1555" max="1555" width="10" style="3138" customWidth="1"/>
    <col min="1556" max="1556" width="26.125" style="3138" customWidth="1"/>
    <col min="1557" max="1792" width="8.875" style="3138"/>
    <col min="1793" max="1793" width="9.5" style="3138" customWidth="1"/>
    <col min="1794" max="1794" width="8.875" style="3138"/>
    <col min="1795" max="1797" width="12.875" style="3138" customWidth="1"/>
    <col min="1798" max="1798" width="47.5" style="3138" customWidth="1"/>
    <col min="1799" max="1799" width="13" style="3138" customWidth="1"/>
    <col min="1800" max="1801" width="8.875" style="3138"/>
    <col min="1802" max="1802" width="5.75" style="3138" customWidth="1"/>
    <col min="1803" max="1803" width="11.75" style="3138" customWidth="1"/>
    <col min="1804" max="1805" width="10.75" style="3138" customWidth="1"/>
    <col min="1806" max="1806" width="10" style="3138" customWidth="1"/>
    <col min="1807" max="1808" width="10.5" style="3138" bestFit="1" customWidth="1"/>
    <col min="1809" max="1809" width="10" style="3138" customWidth="1"/>
    <col min="1810" max="1810" width="10.125" style="3138" customWidth="1"/>
    <col min="1811" max="1811" width="10" style="3138" customWidth="1"/>
    <col min="1812" max="1812" width="26.125" style="3138" customWidth="1"/>
    <col min="1813" max="2048" width="8.875" style="3138"/>
    <col min="2049" max="2049" width="9.5" style="3138" customWidth="1"/>
    <col min="2050" max="2050" width="8.875" style="3138"/>
    <col min="2051" max="2053" width="12.875" style="3138" customWidth="1"/>
    <col min="2054" max="2054" width="47.5" style="3138" customWidth="1"/>
    <col min="2055" max="2055" width="13" style="3138" customWidth="1"/>
    <col min="2056" max="2057" width="8.875" style="3138"/>
    <col min="2058" max="2058" width="5.75" style="3138" customWidth="1"/>
    <col min="2059" max="2059" width="11.75" style="3138" customWidth="1"/>
    <col min="2060" max="2061" width="10.75" style="3138" customWidth="1"/>
    <col min="2062" max="2062" width="10" style="3138" customWidth="1"/>
    <col min="2063" max="2064" width="10.5" style="3138" bestFit="1" customWidth="1"/>
    <col min="2065" max="2065" width="10" style="3138" customWidth="1"/>
    <col min="2066" max="2066" width="10.125" style="3138" customWidth="1"/>
    <col min="2067" max="2067" width="10" style="3138" customWidth="1"/>
    <col min="2068" max="2068" width="26.125" style="3138" customWidth="1"/>
    <col min="2069" max="2304" width="8.875" style="3138"/>
    <col min="2305" max="2305" width="9.5" style="3138" customWidth="1"/>
    <col min="2306" max="2306" width="8.875" style="3138"/>
    <col min="2307" max="2309" width="12.875" style="3138" customWidth="1"/>
    <col min="2310" max="2310" width="47.5" style="3138" customWidth="1"/>
    <col min="2311" max="2311" width="13" style="3138" customWidth="1"/>
    <col min="2312" max="2313" width="8.875" style="3138"/>
    <col min="2314" max="2314" width="5.75" style="3138" customWidth="1"/>
    <col min="2315" max="2315" width="11.75" style="3138" customWidth="1"/>
    <col min="2316" max="2317" width="10.75" style="3138" customWidth="1"/>
    <col min="2318" max="2318" width="10" style="3138" customWidth="1"/>
    <col min="2319" max="2320" width="10.5" style="3138" bestFit="1" customWidth="1"/>
    <col min="2321" max="2321" width="10" style="3138" customWidth="1"/>
    <col min="2322" max="2322" width="10.125" style="3138" customWidth="1"/>
    <col min="2323" max="2323" width="10" style="3138" customWidth="1"/>
    <col min="2324" max="2324" width="26.125" style="3138" customWidth="1"/>
    <col min="2325" max="2560" width="8.875" style="3138"/>
    <col min="2561" max="2561" width="9.5" style="3138" customWidth="1"/>
    <col min="2562" max="2562" width="8.875" style="3138"/>
    <col min="2563" max="2565" width="12.875" style="3138" customWidth="1"/>
    <col min="2566" max="2566" width="47.5" style="3138" customWidth="1"/>
    <col min="2567" max="2567" width="13" style="3138" customWidth="1"/>
    <col min="2568" max="2569" width="8.875" style="3138"/>
    <col min="2570" max="2570" width="5.75" style="3138" customWidth="1"/>
    <col min="2571" max="2571" width="11.75" style="3138" customWidth="1"/>
    <col min="2572" max="2573" width="10.75" style="3138" customWidth="1"/>
    <col min="2574" max="2574" width="10" style="3138" customWidth="1"/>
    <col min="2575" max="2576" width="10.5" style="3138" bestFit="1" customWidth="1"/>
    <col min="2577" max="2577" width="10" style="3138" customWidth="1"/>
    <col min="2578" max="2578" width="10.125" style="3138" customWidth="1"/>
    <col min="2579" max="2579" width="10" style="3138" customWidth="1"/>
    <col min="2580" max="2580" width="26.125" style="3138" customWidth="1"/>
    <col min="2581" max="2816" width="8.875" style="3138"/>
    <col min="2817" max="2817" width="9.5" style="3138" customWidth="1"/>
    <col min="2818" max="2818" width="8.875" style="3138"/>
    <col min="2819" max="2821" width="12.875" style="3138" customWidth="1"/>
    <col min="2822" max="2822" width="47.5" style="3138" customWidth="1"/>
    <col min="2823" max="2823" width="13" style="3138" customWidth="1"/>
    <col min="2824" max="2825" width="8.875" style="3138"/>
    <col min="2826" max="2826" width="5.75" style="3138" customWidth="1"/>
    <col min="2827" max="2827" width="11.75" style="3138" customWidth="1"/>
    <col min="2828" max="2829" width="10.75" style="3138" customWidth="1"/>
    <col min="2830" max="2830" width="10" style="3138" customWidth="1"/>
    <col min="2831" max="2832" width="10.5" style="3138" bestFit="1" customWidth="1"/>
    <col min="2833" max="2833" width="10" style="3138" customWidth="1"/>
    <col min="2834" max="2834" width="10.125" style="3138" customWidth="1"/>
    <col min="2835" max="2835" width="10" style="3138" customWidth="1"/>
    <col min="2836" max="2836" width="26.125" style="3138" customWidth="1"/>
    <col min="2837" max="3072" width="8.875" style="3138"/>
    <col min="3073" max="3073" width="9.5" style="3138" customWidth="1"/>
    <col min="3074" max="3074" width="8.875" style="3138"/>
    <col min="3075" max="3077" width="12.875" style="3138" customWidth="1"/>
    <col min="3078" max="3078" width="47.5" style="3138" customWidth="1"/>
    <col min="3079" max="3079" width="13" style="3138" customWidth="1"/>
    <col min="3080" max="3081" width="8.875" style="3138"/>
    <col min="3082" max="3082" width="5.75" style="3138" customWidth="1"/>
    <col min="3083" max="3083" width="11.75" style="3138" customWidth="1"/>
    <col min="3084" max="3085" width="10.75" style="3138" customWidth="1"/>
    <col min="3086" max="3086" width="10" style="3138" customWidth="1"/>
    <col min="3087" max="3088" width="10.5" style="3138" bestFit="1" customWidth="1"/>
    <col min="3089" max="3089" width="10" style="3138" customWidth="1"/>
    <col min="3090" max="3090" width="10.125" style="3138" customWidth="1"/>
    <col min="3091" max="3091" width="10" style="3138" customWidth="1"/>
    <col min="3092" max="3092" width="26.125" style="3138" customWidth="1"/>
    <col min="3093" max="3328" width="8.875" style="3138"/>
    <col min="3329" max="3329" width="9.5" style="3138" customWidth="1"/>
    <col min="3330" max="3330" width="8.875" style="3138"/>
    <col min="3331" max="3333" width="12.875" style="3138" customWidth="1"/>
    <col min="3334" max="3334" width="47.5" style="3138" customWidth="1"/>
    <col min="3335" max="3335" width="13" style="3138" customWidth="1"/>
    <col min="3336" max="3337" width="8.875" style="3138"/>
    <col min="3338" max="3338" width="5.75" style="3138" customWidth="1"/>
    <col min="3339" max="3339" width="11.75" style="3138" customWidth="1"/>
    <col min="3340" max="3341" width="10.75" style="3138" customWidth="1"/>
    <col min="3342" max="3342" width="10" style="3138" customWidth="1"/>
    <col min="3343" max="3344" width="10.5" style="3138" bestFit="1" customWidth="1"/>
    <col min="3345" max="3345" width="10" style="3138" customWidth="1"/>
    <col min="3346" max="3346" width="10.125" style="3138" customWidth="1"/>
    <col min="3347" max="3347" width="10" style="3138" customWidth="1"/>
    <col min="3348" max="3348" width="26.125" style="3138" customWidth="1"/>
    <col min="3349" max="3584" width="8.875" style="3138"/>
    <col min="3585" max="3585" width="9.5" style="3138" customWidth="1"/>
    <col min="3586" max="3586" width="8.875" style="3138"/>
    <col min="3587" max="3589" width="12.875" style="3138" customWidth="1"/>
    <col min="3590" max="3590" width="47.5" style="3138" customWidth="1"/>
    <col min="3591" max="3591" width="13" style="3138" customWidth="1"/>
    <col min="3592" max="3593" width="8.875" style="3138"/>
    <col min="3594" max="3594" width="5.75" style="3138" customWidth="1"/>
    <col min="3595" max="3595" width="11.75" style="3138" customWidth="1"/>
    <col min="3596" max="3597" width="10.75" style="3138" customWidth="1"/>
    <col min="3598" max="3598" width="10" style="3138" customWidth="1"/>
    <col min="3599" max="3600" width="10.5" style="3138" bestFit="1" customWidth="1"/>
    <col min="3601" max="3601" width="10" style="3138" customWidth="1"/>
    <col min="3602" max="3602" width="10.125" style="3138" customWidth="1"/>
    <col min="3603" max="3603" width="10" style="3138" customWidth="1"/>
    <col min="3604" max="3604" width="26.125" style="3138" customWidth="1"/>
    <col min="3605" max="3840" width="8.875" style="3138"/>
    <col min="3841" max="3841" width="9.5" style="3138" customWidth="1"/>
    <col min="3842" max="3842" width="8.875" style="3138"/>
    <col min="3843" max="3845" width="12.875" style="3138" customWidth="1"/>
    <col min="3846" max="3846" width="47.5" style="3138" customWidth="1"/>
    <col min="3847" max="3847" width="13" style="3138" customWidth="1"/>
    <col min="3848" max="3849" width="8.875" style="3138"/>
    <col min="3850" max="3850" width="5.75" style="3138" customWidth="1"/>
    <col min="3851" max="3851" width="11.75" style="3138" customWidth="1"/>
    <col min="3852" max="3853" width="10.75" style="3138" customWidth="1"/>
    <col min="3854" max="3854" width="10" style="3138" customWidth="1"/>
    <col min="3855" max="3856" width="10.5" style="3138" bestFit="1" customWidth="1"/>
    <col min="3857" max="3857" width="10" style="3138" customWidth="1"/>
    <col min="3858" max="3858" width="10.125" style="3138" customWidth="1"/>
    <col min="3859" max="3859" width="10" style="3138" customWidth="1"/>
    <col min="3860" max="3860" width="26.125" style="3138" customWidth="1"/>
    <col min="3861" max="4096" width="8.875" style="3138"/>
    <col min="4097" max="4097" width="9.5" style="3138" customWidth="1"/>
    <col min="4098" max="4098" width="8.875" style="3138"/>
    <col min="4099" max="4101" width="12.875" style="3138" customWidth="1"/>
    <col min="4102" max="4102" width="47.5" style="3138" customWidth="1"/>
    <col min="4103" max="4103" width="13" style="3138" customWidth="1"/>
    <col min="4104" max="4105" width="8.875" style="3138"/>
    <col min="4106" max="4106" width="5.75" style="3138" customWidth="1"/>
    <col min="4107" max="4107" width="11.75" style="3138" customWidth="1"/>
    <col min="4108" max="4109" width="10.75" style="3138" customWidth="1"/>
    <col min="4110" max="4110" width="10" style="3138" customWidth="1"/>
    <col min="4111" max="4112" width="10.5" style="3138" bestFit="1" customWidth="1"/>
    <col min="4113" max="4113" width="10" style="3138" customWidth="1"/>
    <col min="4114" max="4114" width="10.125" style="3138" customWidth="1"/>
    <col min="4115" max="4115" width="10" style="3138" customWidth="1"/>
    <col min="4116" max="4116" width="26.125" style="3138" customWidth="1"/>
    <col min="4117" max="4352" width="8.875" style="3138"/>
    <col min="4353" max="4353" width="9.5" style="3138" customWidth="1"/>
    <col min="4354" max="4354" width="8.875" style="3138"/>
    <col min="4355" max="4357" width="12.875" style="3138" customWidth="1"/>
    <col min="4358" max="4358" width="47.5" style="3138" customWidth="1"/>
    <col min="4359" max="4359" width="13" style="3138" customWidth="1"/>
    <col min="4360" max="4361" width="8.875" style="3138"/>
    <col min="4362" max="4362" width="5.75" style="3138" customWidth="1"/>
    <col min="4363" max="4363" width="11.75" style="3138" customWidth="1"/>
    <col min="4364" max="4365" width="10.75" style="3138" customWidth="1"/>
    <col min="4366" max="4366" width="10" style="3138" customWidth="1"/>
    <col min="4367" max="4368" width="10.5" style="3138" bestFit="1" customWidth="1"/>
    <col min="4369" max="4369" width="10" style="3138" customWidth="1"/>
    <col min="4370" max="4370" width="10.125" style="3138" customWidth="1"/>
    <col min="4371" max="4371" width="10" style="3138" customWidth="1"/>
    <col min="4372" max="4372" width="26.125" style="3138" customWidth="1"/>
    <col min="4373" max="4608" width="8.875" style="3138"/>
    <col min="4609" max="4609" width="9.5" style="3138" customWidth="1"/>
    <col min="4610" max="4610" width="8.875" style="3138"/>
    <col min="4611" max="4613" width="12.875" style="3138" customWidth="1"/>
    <col min="4614" max="4614" width="47.5" style="3138" customWidth="1"/>
    <col min="4615" max="4615" width="13" style="3138" customWidth="1"/>
    <col min="4616" max="4617" width="8.875" style="3138"/>
    <col min="4618" max="4618" width="5.75" style="3138" customWidth="1"/>
    <col min="4619" max="4619" width="11.75" style="3138" customWidth="1"/>
    <col min="4620" max="4621" width="10.75" style="3138" customWidth="1"/>
    <col min="4622" max="4622" width="10" style="3138" customWidth="1"/>
    <col min="4623" max="4624" width="10.5" style="3138" bestFit="1" customWidth="1"/>
    <col min="4625" max="4625" width="10" style="3138" customWidth="1"/>
    <col min="4626" max="4626" width="10.125" style="3138" customWidth="1"/>
    <col min="4627" max="4627" width="10" style="3138" customWidth="1"/>
    <col min="4628" max="4628" width="26.125" style="3138" customWidth="1"/>
    <col min="4629" max="4864" width="8.875" style="3138"/>
    <col min="4865" max="4865" width="9.5" style="3138" customWidth="1"/>
    <col min="4866" max="4866" width="8.875" style="3138"/>
    <col min="4867" max="4869" width="12.875" style="3138" customWidth="1"/>
    <col min="4870" max="4870" width="47.5" style="3138" customWidth="1"/>
    <col min="4871" max="4871" width="13" style="3138" customWidth="1"/>
    <col min="4872" max="4873" width="8.875" style="3138"/>
    <col min="4874" max="4874" width="5.75" style="3138" customWidth="1"/>
    <col min="4875" max="4875" width="11.75" style="3138" customWidth="1"/>
    <col min="4876" max="4877" width="10.75" style="3138" customWidth="1"/>
    <col min="4878" max="4878" width="10" style="3138" customWidth="1"/>
    <col min="4879" max="4880" width="10.5" style="3138" bestFit="1" customWidth="1"/>
    <col min="4881" max="4881" width="10" style="3138" customWidth="1"/>
    <col min="4882" max="4882" width="10.125" style="3138" customWidth="1"/>
    <col min="4883" max="4883" width="10" style="3138" customWidth="1"/>
    <col min="4884" max="4884" width="26.125" style="3138" customWidth="1"/>
    <col min="4885" max="5120" width="8.875" style="3138"/>
    <col min="5121" max="5121" width="9.5" style="3138" customWidth="1"/>
    <col min="5122" max="5122" width="8.875" style="3138"/>
    <col min="5123" max="5125" width="12.875" style="3138" customWidth="1"/>
    <col min="5126" max="5126" width="47.5" style="3138" customWidth="1"/>
    <col min="5127" max="5127" width="13" style="3138" customWidth="1"/>
    <col min="5128" max="5129" width="8.875" style="3138"/>
    <col min="5130" max="5130" width="5.75" style="3138" customWidth="1"/>
    <col min="5131" max="5131" width="11.75" style="3138" customWidth="1"/>
    <col min="5132" max="5133" width="10.75" style="3138" customWidth="1"/>
    <col min="5134" max="5134" width="10" style="3138" customWidth="1"/>
    <col min="5135" max="5136" width="10.5" style="3138" bestFit="1" customWidth="1"/>
    <col min="5137" max="5137" width="10" style="3138" customWidth="1"/>
    <col min="5138" max="5138" width="10.125" style="3138" customWidth="1"/>
    <col min="5139" max="5139" width="10" style="3138" customWidth="1"/>
    <col min="5140" max="5140" width="26.125" style="3138" customWidth="1"/>
    <col min="5141" max="5376" width="8.875" style="3138"/>
    <col min="5377" max="5377" width="9.5" style="3138" customWidth="1"/>
    <col min="5378" max="5378" width="8.875" style="3138"/>
    <col min="5379" max="5381" width="12.875" style="3138" customWidth="1"/>
    <col min="5382" max="5382" width="47.5" style="3138" customWidth="1"/>
    <col min="5383" max="5383" width="13" style="3138" customWidth="1"/>
    <col min="5384" max="5385" width="8.875" style="3138"/>
    <col min="5386" max="5386" width="5.75" style="3138" customWidth="1"/>
    <col min="5387" max="5387" width="11.75" style="3138" customWidth="1"/>
    <col min="5388" max="5389" width="10.75" style="3138" customWidth="1"/>
    <col min="5390" max="5390" width="10" style="3138" customWidth="1"/>
    <col min="5391" max="5392" width="10.5" style="3138" bestFit="1" customWidth="1"/>
    <col min="5393" max="5393" width="10" style="3138" customWidth="1"/>
    <col min="5394" max="5394" width="10.125" style="3138" customWidth="1"/>
    <col min="5395" max="5395" width="10" style="3138" customWidth="1"/>
    <col min="5396" max="5396" width="26.125" style="3138" customWidth="1"/>
    <col min="5397" max="5632" width="8.875" style="3138"/>
    <col min="5633" max="5633" width="9.5" style="3138" customWidth="1"/>
    <col min="5634" max="5634" width="8.875" style="3138"/>
    <col min="5635" max="5637" width="12.875" style="3138" customWidth="1"/>
    <col min="5638" max="5638" width="47.5" style="3138" customWidth="1"/>
    <col min="5639" max="5639" width="13" style="3138" customWidth="1"/>
    <col min="5640" max="5641" width="8.875" style="3138"/>
    <col min="5642" max="5642" width="5.75" style="3138" customWidth="1"/>
    <col min="5643" max="5643" width="11.75" style="3138" customWidth="1"/>
    <col min="5644" max="5645" width="10.75" style="3138" customWidth="1"/>
    <col min="5646" max="5646" width="10" style="3138" customWidth="1"/>
    <col min="5647" max="5648" width="10.5" style="3138" bestFit="1" customWidth="1"/>
    <col min="5649" max="5649" width="10" style="3138" customWidth="1"/>
    <col min="5650" max="5650" width="10.125" style="3138" customWidth="1"/>
    <col min="5651" max="5651" width="10" style="3138" customWidth="1"/>
    <col min="5652" max="5652" width="26.125" style="3138" customWidth="1"/>
    <col min="5653" max="5888" width="8.875" style="3138"/>
    <col min="5889" max="5889" width="9.5" style="3138" customWidth="1"/>
    <col min="5890" max="5890" width="8.875" style="3138"/>
    <col min="5891" max="5893" width="12.875" style="3138" customWidth="1"/>
    <col min="5894" max="5894" width="47.5" style="3138" customWidth="1"/>
    <col min="5895" max="5895" width="13" style="3138" customWidth="1"/>
    <col min="5896" max="5897" width="8.875" style="3138"/>
    <col min="5898" max="5898" width="5.75" style="3138" customWidth="1"/>
    <col min="5899" max="5899" width="11.75" style="3138" customWidth="1"/>
    <col min="5900" max="5901" width="10.75" style="3138" customWidth="1"/>
    <col min="5902" max="5902" width="10" style="3138" customWidth="1"/>
    <col min="5903" max="5904" width="10.5" style="3138" bestFit="1" customWidth="1"/>
    <col min="5905" max="5905" width="10" style="3138" customWidth="1"/>
    <col min="5906" max="5906" width="10.125" style="3138" customWidth="1"/>
    <col min="5907" max="5907" width="10" style="3138" customWidth="1"/>
    <col min="5908" max="5908" width="26.125" style="3138" customWidth="1"/>
    <col min="5909" max="6144" width="8.875" style="3138"/>
    <col min="6145" max="6145" width="9.5" style="3138" customWidth="1"/>
    <col min="6146" max="6146" width="8.875" style="3138"/>
    <col min="6147" max="6149" width="12.875" style="3138" customWidth="1"/>
    <col min="6150" max="6150" width="47.5" style="3138" customWidth="1"/>
    <col min="6151" max="6151" width="13" style="3138" customWidth="1"/>
    <col min="6152" max="6153" width="8.875" style="3138"/>
    <col min="6154" max="6154" width="5.75" style="3138" customWidth="1"/>
    <col min="6155" max="6155" width="11.75" style="3138" customWidth="1"/>
    <col min="6156" max="6157" width="10.75" style="3138" customWidth="1"/>
    <col min="6158" max="6158" width="10" style="3138" customWidth="1"/>
    <col min="6159" max="6160" width="10.5" style="3138" bestFit="1" customWidth="1"/>
    <col min="6161" max="6161" width="10" style="3138" customWidth="1"/>
    <col min="6162" max="6162" width="10.125" style="3138" customWidth="1"/>
    <col min="6163" max="6163" width="10" style="3138" customWidth="1"/>
    <col min="6164" max="6164" width="26.125" style="3138" customWidth="1"/>
    <col min="6165" max="6400" width="8.875" style="3138"/>
    <col min="6401" max="6401" width="9.5" style="3138" customWidth="1"/>
    <col min="6402" max="6402" width="8.875" style="3138"/>
    <col min="6403" max="6405" width="12.875" style="3138" customWidth="1"/>
    <col min="6406" max="6406" width="47.5" style="3138" customWidth="1"/>
    <col min="6407" max="6407" width="13" style="3138" customWidth="1"/>
    <col min="6408" max="6409" width="8.875" style="3138"/>
    <col min="6410" max="6410" width="5.75" style="3138" customWidth="1"/>
    <col min="6411" max="6411" width="11.75" style="3138" customWidth="1"/>
    <col min="6412" max="6413" width="10.75" style="3138" customWidth="1"/>
    <col min="6414" max="6414" width="10" style="3138" customWidth="1"/>
    <col min="6415" max="6416" width="10.5" style="3138" bestFit="1" customWidth="1"/>
    <col min="6417" max="6417" width="10" style="3138" customWidth="1"/>
    <col min="6418" max="6418" width="10.125" style="3138" customWidth="1"/>
    <col min="6419" max="6419" width="10" style="3138" customWidth="1"/>
    <col min="6420" max="6420" width="26.125" style="3138" customWidth="1"/>
    <col min="6421" max="6656" width="8.875" style="3138"/>
    <col min="6657" max="6657" width="9.5" style="3138" customWidth="1"/>
    <col min="6658" max="6658" width="8.875" style="3138"/>
    <col min="6659" max="6661" width="12.875" style="3138" customWidth="1"/>
    <col min="6662" max="6662" width="47.5" style="3138" customWidth="1"/>
    <col min="6663" max="6663" width="13" style="3138" customWidth="1"/>
    <col min="6664" max="6665" width="8.875" style="3138"/>
    <col min="6666" max="6666" width="5.75" style="3138" customWidth="1"/>
    <col min="6667" max="6667" width="11.75" style="3138" customWidth="1"/>
    <col min="6668" max="6669" width="10.75" style="3138" customWidth="1"/>
    <col min="6670" max="6670" width="10" style="3138" customWidth="1"/>
    <col min="6671" max="6672" width="10.5" style="3138" bestFit="1" customWidth="1"/>
    <col min="6673" max="6673" width="10" style="3138" customWidth="1"/>
    <col min="6674" max="6674" width="10.125" style="3138" customWidth="1"/>
    <col min="6675" max="6675" width="10" style="3138" customWidth="1"/>
    <col min="6676" max="6676" width="26.125" style="3138" customWidth="1"/>
    <col min="6677" max="6912" width="8.875" style="3138"/>
    <col min="6913" max="6913" width="9.5" style="3138" customWidth="1"/>
    <col min="6914" max="6914" width="8.875" style="3138"/>
    <col min="6915" max="6917" width="12.875" style="3138" customWidth="1"/>
    <col min="6918" max="6918" width="47.5" style="3138" customWidth="1"/>
    <col min="6919" max="6919" width="13" style="3138" customWidth="1"/>
    <col min="6920" max="6921" width="8.875" style="3138"/>
    <col min="6922" max="6922" width="5.75" style="3138" customWidth="1"/>
    <col min="6923" max="6923" width="11.75" style="3138" customWidth="1"/>
    <col min="6924" max="6925" width="10.75" style="3138" customWidth="1"/>
    <col min="6926" max="6926" width="10" style="3138" customWidth="1"/>
    <col min="6927" max="6928" width="10.5" style="3138" bestFit="1" customWidth="1"/>
    <col min="6929" max="6929" width="10" style="3138" customWidth="1"/>
    <col min="6930" max="6930" width="10.125" style="3138" customWidth="1"/>
    <col min="6931" max="6931" width="10" style="3138" customWidth="1"/>
    <col min="6932" max="6932" width="26.125" style="3138" customWidth="1"/>
    <col min="6933" max="7168" width="8.875" style="3138"/>
    <col min="7169" max="7169" width="9.5" style="3138" customWidth="1"/>
    <col min="7170" max="7170" width="8.875" style="3138"/>
    <col min="7171" max="7173" width="12.875" style="3138" customWidth="1"/>
    <col min="7174" max="7174" width="47.5" style="3138" customWidth="1"/>
    <col min="7175" max="7175" width="13" style="3138" customWidth="1"/>
    <col min="7176" max="7177" width="8.875" style="3138"/>
    <col min="7178" max="7178" width="5.75" style="3138" customWidth="1"/>
    <col min="7179" max="7179" width="11.75" style="3138" customWidth="1"/>
    <col min="7180" max="7181" width="10.75" style="3138" customWidth="1"/>
    <col min="7182" max="7182" width="10" style="3138" customWidth="1"/>
    <col min="7183" max="7184" width="10.5" style="3138" bestFit="1" customWidth="1"/>
    <col min="7185" max="7185" width="10" style="3138" customWidth="1"/>
    <col min="7186" max="7186" width="10.125" style="3138" customWidth="1"/>
    <col min="7187" max="7187" width="10" style="3138" customWidth="1"/>
    <col min="7188" max="7188" width="26.125" style="3138" customWidth="1"/>
    <col min="7189" max="7424" width="8.875" style="3138"/>
    <col min="7425" max="7425" width="9.5" style="3138" customWidth="1"/>
    <col min="7426" max="7426" width="8.875" style="3138"/>
    <col min="7427" max="7429" width="12.875" style="3138" customWidth="1"/>
    <col min="7430" max="7430" width="47.5" style="3138" customWidth="1"/>
    <col min="7431" max="7431" width="13" style="3138" customWidth="1"/>
    <col min="7432" max="7433" width="8.875" style="3138"/>
    <col min="7434" max="7434" width="5.75" style="3138" customWidth="1"/>
    <col min="7435" max="7435" width="11.75" style="3138" customWidth="1"/>
    <col min="7436" max="7437" width="10.75" style="3138" customWidth="1"/>
    <col min="7438" max="7438" width="10" style="3138" customWidth="1"/>
    <col min="7439" max="7440" width="10.5" style="3138" bestFit="1" customWidth="1"/>
    <col min="7441" max="7441" width="10" style="3138" customWidth="1"/>
    <col min="7442" max="7442" width="10.125" style="3138" customWidth="1"/>
    <col min="7443" max="7443" width="10" style="3138" customWidth="1"/>
    <col min="7444" max="7444" width="26.125" style="3138" customWidth="1"/>
    <col min="7445" max="7680" width="8.875" style="3138"/>
    <col min="7681" max="7681" width="9.5" style="3138" customWidth="1"/>
    <col min="7682" max="7682" width="8.875" style="3138"/>
    <col min="7683" max="7685" width="12.875" style="3138" customWidth="1"/>
    <col min="7686" max="7686" width="47.5" style="3138" customWidth="1"/>
    <col min="7687" max="7687" width="13" style="3138" customWidth="1"/>
    <col min="7688" max="7689" width="8.875" style="3138"/>
    <col min="7690" max="7690" width="5.75" style="3138" customWidth="1"/>
    <col min="7691" max="7691" width="11.75" style="3138" customWidth="1"/>
    <col min="7692" max="7693" width="10.75" style="3138" customWidth="1"/>
    <col min="7694" max="7694" width="10" style="3138" customWidth="1"/>
    <col min="7695" max="7696" width="10.5" style="3138" bestFit="1" customWidth="1"/>
    <col min="7697" max="7697" width="10" style="3138" customWidth="1"/>
    <col min="7698" max="7698" width="10.125" style="3138" customWidth="1"/>
    <col min="7699" max="7699" width="10" style="3138" customWidth="1"/>
    <col min="7700" max="7700" width="26.125" style="3138" customWidth="1"/>
    <col min="7701" max="7936" width="8.875" style="3138"/>
    <col min="7937" max="7937" width="9.5" style="3138" customWidth="1"/>
    <col min="7938" max="7938" width="8.875" style="3138"/>
    <col min="7939" max="7941" width="12.875" style="3138" customWidth="1"/>
    <col min="7942" max="7942" width="47.5" style="3138" customWidth="1"/>
    <col min="7943" max="7943" width="13" style="3138" customWidth="1"/>
    <col min="7944" max="7945" width="8.875" style="3138"/>
    <col min="7946" max="7946" width="5.75" style="3138" customWidth="1"/>
    <col min="7947" max="7947" width="11.75" style="3138" customWidth="1"/>
    <col min="7948" max="7949" width="10.75" style="3138" customWidth="1"/>
    <col min="7950" max="7950" width="10" style="3138" customWidth="1"/>
    <col min="7951" max="7952" width="10.5" style="3138" bestFit="1" customWidth="1"/>
    <col min="7953" max="7953" width="10" style="3138" customWidth="1"/>
    <col min="7954" max="7954" width="10.125" style="3138" customWidth="1"/>
    <col min="7955" max="7955" width="10" style="3138" customWidth="1"/>
    <col min="7956" max="7956" width="26.125" style="3138" customWidth="1"/>
    <col min="7957" max="8192" width="8.875" style="3138"/>
    <col min="8193" max="8193" width="9.5" style="3138" customWidth="1"/>
    <col min="8194" max="8194" width="8.875" style="3138"/>
    <col min="8195" max="8197" width="12.875" style="3138" customWidth="1"/>
    <col min="8198" max="8198" width="47.5" style="3138" customWidth="1"/>
    <col min="8199" max="8199" width="13" style="3138" customWidth="1"/>
    <col min="8200" max="8201" width="8.875" style="3138"/>
    <col min="8202" max="8202" width="5.75" style="3138" customWidth="1"/>
    <col min="8203" max="8203" width="11.75" style="3138" customWidth="1"/>
    <col min="8204" max="8205" width="10.75" style="3138" customWidth="1"/>
    <col min="8206" max="8206" width="10" style="3138" customWidth="1"/>
    <col min="8207" max="8208" width="10.5" style="3138" bestFit="1" customWidth="1"/>
    <col min="8209" max="8209" width="10" style="3138" customWidth="1"/>
    <col min="8210" max="8210" width="10.125" style="3138" customWidth="1"/>
    <col min="8211" max="8211" width="10" style="3138" customWidth="1"/>
    <col min="8212" max="8212" width="26.125" style="3138" customWidth="1"/>
    <col min="8213" max="8448" width="8.875" style="3138"/>
    <col min="8449" max="8449" width="9.5" style="3138" customWidth="1"/>
    <col min="8450" max="8450" width="8.875" style="3138"/>
    <col min="8451" max="8453" width="12.875" style="3138" customWidth="1"/>
    <col min="8454" max="8454" width="47.5" style="3138" customWidth="1"/>
    <col min="8455" max="8455" width="13" style="3138" customWidth="1"/>
    <col min="8456" max="8457" width="8.875" style="3138"/>
    <col min="8458" max="8458" width="5.75" style="3138" customWidth="1"/>
    <col min="8459" max="8459" width="11.75" style="3138" customWidth="1"/>
    <col min="8460" max="8461" width="10.75" style="3138" customWidth="1"/>
    <col min="8462" max="8462" width="10" style="3138" customWidth="1"/>
    <col min="8463" max="8464" width="10.5" style="3138" bestFit="1" customWidth="1"/>
    <col min="8465" max="8465" width="10" style="3138" customWidth="1"/>
    <col min="8466" max="8466" width="10.125" style="3138" customWidth="1"/>
    <col min="8467" max="8467" width="10" style="3138" customWidth="1"/>
    <col min="8468" max="8468" width="26.125" style="3138" customWidth="1"/>
    <col min="8469" max="8704" width="8.875" style="3138"/>
    <col min="8705" max="8705" width="9.5" style="3138" customWidth="1"/>
    <col min="8706" max="8706" width="8.875" style="3138"/>
    <col min="8707" max="8709" width="12.875" style="3138" customWidth="1"/>
    <col min="8710" max="8710" width="47.5" style="3138" customWidth="1"/>
    <col min="8711" max="8711" width="13" style="3138" customWidth="1"/>
    <col min="8712" max="8713" width="8.875" style="3138"/>
    <col min="8714" max="8714" width="5.75" style="3138" customWidth="1"/>
    <col min="8715" max="8715" width="11.75" style="3138" customWidth="1"/>
    <col min="8716" max="8717" width="10.75" style="3138" customWidth="1"/>
    <col min="8718" max="8718" width="10" style="3138" customWidth="1"/>
    <col min="8719" max="8720" width="10.5" style="3138" bestFit="1" customWidth="1"/>
    <col min="8721" max="8721" width="10" style="3138" customWidth="1"/>
    <col min="8722" max="8722" width="10.125" style="3138" customWidth="1"/>
    <col min="8723" max="8723" width="10" style="3138" customWidth="1"/>
    <col min="8724" max="8724" width="26.125" style="3138" customWidth="1"/>
    <col min="8725" max="8960" width="8.875" style="3138"/>
    <col min="8961" max="8961" width="9.5" style="3138" customWidth="1"/>
    <col min="8962" max="8962" width="8.875" style="3138"/>
    <col min="8963" max="8965" width="12.875" style="3138" customWidth="1"/>
    <col min="8966" max="8966" width="47.5" style="3138" customWidth="1"/>
    <col min="8967" max="8967" width="13" style="3138" customWidth="1"/>
    <col min="8968" max="8969" width="8.875" style="3138"/>
    <col min="8970" max="8970" width="5.75" style="3138" customWidth="1"/>
    <col min="8971" max="8971" width="11.75" style="3138" customWidth="1"/>
    <col min="8972" max="8973" width="10.75" style="3138" customWidth="1"/>
    <col min="8974" max="8974" width="10" style="3138" customWidth="1"/>
    <col min="8975" max="8976" width="10.5" style="3138" bestFit="1" customWidth="1"/>
    <col min="8977" max="8977" width="10" style="3138" customWidth="1"/>
    <col min="8978" max="8978" width="10.125" style="3138" customWidth="1"/>
    <col min="8979" max="8979" width="10" style="3138" customWidth="1"/>
    <col min="8980" max="8980" width="26.125" style="3138" customWidth="1"/>
    <col min="8981" max="9216" width="8.875" style="3138"/>
    <col min="9217" max="9217" width="9.5" style="3138" customWidth="1"/>
    <col min="9218" max="9218" width="8.875" style="3138"/>
    <col min="9219" max="9221" width="12.875" style="3138" customWidth="1"/>
    <col min="9222" max="9222" width="47.5" style="3138" customWidth="1"/>
    <col min="9223" max="9223" width="13" style="3138" customWidth="1"/>
    <col min="9224" max="9225" width="8.875" style="3138"/>
    <col min="9226" max="9226" width="5.75" style="3138" customWidth="1"/>
    <col min="9227" max="9227" width="11.75" style="3138" customWidth="1"/>
    <col min="9228" max="9229" width="10.75" style="3138" customWidth="1"/>
    <col min="9230" max="9230" width="10" style="3138" customWidth="1"/>
    <col min="9231" max="9232" width="10.5" style="3138" bestFit="1" customWidth="1"/>
    <col min="9233" max="9233" width="10" style="3138" customWidth="1"/>
    <col min="9234" max="9234" width="10.125" style="3138" customWidth="1"/>
    <col min="9235" max="9235" width="10" style="3138" customWidth="1"/>
    <col min="9236" max="9236" width="26.125" style="3138" customWidth="1"/>
    <col min="9237" max="9472" width="8.875" style="3138"/>
    <col min="9473" max="9473" width="9.5" style="3138" customWidth="1"/>
    <col min="9474" max="9474" width="8.875" style="3138"/>
    <col min="9475" max="9477" width="12.875" style="3138" customWidth="1"/>
    <col min="9478" max="9478" width="47.5" style="3138" customWidth="1"/>
    <col min="9479" max="9479" width="13" style="3138" customWidth="1"/>
    <col min="9480" max="9481" width="8.875" style="3138"/>
    <col min="9482" max="9482" width="5.75" style="3138" customWidth="1"/>
    <col min="9483" max="9483" width="11.75" style="3138" customWidth="1"/>
    <col min="9484" max="9485" width="10.75" style="3138" customWidth="1"/>
    <col min="9486" max="9486" width="10" style="3138" customWidth="1"/>
    <col min="9487" max="9488" width="10.5" style="3138" bestFit="1" customWidth="1"/>
    <col min="9489" max="9489" width="10" style="3138" customWidth="1"/>
    <col min="9490" max="9490" width="10.125" style="3138" customWidth="1"/>
    <col min="9491" max="9491" width="10" style="3138" customWidth="1"/>
    <col min="9492" max="9492" width="26.125" style="3138" customWidth="1"/>
    <col min="9493" max="9728" width="8.875" style="3138"/>
    <col min="9729" max="9729" width="9.5" style="3138" customWidth="1"/>
    <col min="9730" max="9730" width="8.875" style="3138"/>
    <col min="9731" max="9733" width="12.875" style="3138" customWidth="1"/>
    <col min="9734" max="9734" width="47.5" style="3138" customWidth="1"/>
    <col min="9735" max="9735" width="13" style="3138" customWidth="1"/>
    <col min="9736" max="9737" width="8.875" style="3138"/>
    <col min="9738" max="9738" width="5.75" style="3138" customWidth="1"/>
    <col min="9739" max="9739" width="11.75" style="3138" customWidth="1"/>
    <col min="9740" max="9741" width="10.75" style="3138" customWidth="1"/>
    <col min="9742" max="9742" width="10" style="3138" customWidth="1"/>
    <col min="9743" max="9744" width="10.5" style="3138" bestFit="1" customWidth="1"/>
    <col min="9745" max="9745" width="10" style="3138" customWidth="1"/>
    <col min="9746" max="9746" width="10.125" style="3138" customWidth="1"/>
    <col min="9747" max="9747" width="10" style="3138" customWidth="1"/>
    <col min="9748" max="9748" width="26.125" style="3138" customWidth="1"/>
    <col min="9749" max="9984" width="8.875" style="3138"/>
    <col min="9985" max="9985" width="9.5" style="3138" customWidth="1"/>
    <col min="9986" max="9986" width="8.875" style="3138"/>
    <col min="9987" max="9989" width="12.875" style="3138" customWidth="1"/>
    <col min="9990" max="9990" width="47.5" style="3138" customWidth="1"/>
    <col min="9991" max="9991" width="13" style="3138" customWidth="1"/>
    <col min="9992" max="9993" width="8.875" style="3138"/>
    <col min="9994" max="9994" width="5.75" style="3138" customWidth="1"/>
    <col min="9995" max="9995" width="11.75" style="3138" customWidth="1"/>
    <col min="9996" max="9997" width="10.75" style="3138" customWidth="1"/>
    <col min="9998" max="9998" width="10" style="3138" customWidth="1"/>
    <col min="9999" max="10000" width="10.5" style="3138" bestFit="1" customWidth="1"/>
    <col min="10001" max="10001" width="10" style="3138" customWidth="1"/>
    <col min="10002" max="10002" width="10.125" style="3138" customWidth="1"/>
    <col min="10003" max="10003" width="10" style="3138" customWidth="1"/>
    <col min="10004" max="10004" width="26.125" style="3138" customWidth="1"/>
    <col min="10005" max="10240" width="8.875" style="3138"/>
    <col min="10241" max="10241" width="9.5" style="3138" customWidth="1"/>
    <col min="10242" max="10242" width="8.875" style="3138"/>
    <col min="10243" max="10245" width="12.875" style="3138" customWidth="1"/>
    <col min="10246" max="10246" width="47.5" style="3138" customWidth="1"/>
    <col min="10247" max="10247" width="13" style="3138" customWidth="1"/>
    <col min="10248" max="10249" width="8.875" style="3138"/>
    <col min="10250" max="10250" width="5.75" style="3138" customWidth="1"/>
    <col min="10251" max="10251" width="11.75" style="3138" customWidth="1"/>
    <col min="10252" max="10253" width="10.75" style="3138" customWidth="1"/>
    <col min="10254" max="10254" width="10" style="3138" customWidth="1"/>
    <col min="10255" max="10256" width="10.5" style="3138" bestFit="1" customWidth="1"/>
    <col min="10257" max="10257" width="10" style="3138" customWidth="1"/>
    <col min="10258" max="10258" width="10.125" style="3138" customWidth="1"/>
    <col min="10259" max="10259" width="10" style="3138" customWidth="1"/>
    <col min="10260" max="10260" width="26.125" style="3138" customWidth="1"/>
    <col min="10261" max="10496" width="8.875" style="3138"/>
    <col min="10497" max="10497" width="9.5" style="3138" customWidth="1"/>
    <col min="10498" max="10498" width="8.875" style="3138"/>
    <col min="10499" max="10501" width="12.875" style="3138" customWidth="1"/>
    <col min="10502" max="10502" width="47.5" style="3138" customWidth="1"/>
    <col min="10503" max="10503" width="13" style="3138" customWidth="1"/>
    <col min="10504" max="10505" width="8.875" style="3138"/>
    <col min="10506" max="10506" width="5.75" style="3138" customWidth="1"/>
    <col min="10507" max="10507" width="11.75" style="3138" customWidth="1"/>
    <col min="10508" max="10509" width="10.75" style="3138" customWidth="1"/>
    <col min="10510" max="10510" width="10" style="3138" customWidth="1"/>
    <col min="10511" max="10512" width="10.5" style="3138" bestFit="1" customWidth="1"/>
    <col min="10513" max="10513" width="10" style="3138" customWidth="1"/>
    <col min="10514" max="10514" width="10.125" style="3138" customWidth="1"/>
    <col min="10515" max="10515" width="10" style="3138" customWidth="1"/>
    <col min="10516" max="10516" width="26.125" style="3138" customWidth="1"/>
    <col min="10517" max="10752" width="8.875" style="3138"/>
    <col min="10753" max="10753" width="9.5" style="3138" customWidth="1"/>
    <col min="10754" max="10754" width="8.875" style="3138"/>
    <col min="10755" max="10757" width="12.875" style="3138" customWidth="1"/>
    <col min="10758" max="10758" width="47.5" style="3138" customWidth="1"/>
    <col min="10759" max="10759" width="13" style="3138" customWidth="1"/>
    <col min="10760" max="10761" width="8.875" style="3138"/>
    <col min="10762" max="10762" width="5.75" style="3138" customWidth="1"/>
    <col min="10763" max="10763" width="11.75" style="3138" customWidth="1"/>
    <col min="10764" max="10765" width="10.75" style="3138" customWidth="1"/>
    <col min="10766" max="10766" width="10" style="3138" customWidth="1"/>
    <col min="10767" max="10768" width="10.5" style="3138" bestFit="1" customWidth="1"/>
    <col min="10769" max="10769" width="10" style="3138" customWidth="1"/>
    <col min="10770" max="10770" width="10.125" style="3138" customWidth="1"/>
    <col min="10771" max="10771" width="10" style="3138" customWidth="1"/>
    <col min="10772" max="10772" width="26.125" style="3138" customWidth="1"/>
    <col min="10773" max="11008" width="8.875" style="3138"/>
    <col min="11009" max="11009" width="9.5" style="3138" customWidth="1"/>
    <col min="11010" max="11010" width="8.875" style="3138"/>
    <col min="11011" max="11013" width="12.875" style="3138" customWidth="1"/>
    <col min="11014" max="11014" width="47.5" style="3138" customWidth="1"/>
    <col min="11015" max="11015" width="13" style="3138" customWidth="1"/>
    <col min="11016" max="11017" width="8.875" style="3138"/>
    <col min="11018" max="11018" width="5.75" style="3138" customWidth="1"/>
    <col min="11019" max="11019" width="11.75" style="3138" customWidth="1"/>
    <col min="11020" max="11021" width="10.75" style="3138" customWidth="1"/>
    <col min="11022" max="11022" width="10" style="3138" customWidth="1"/>
    <col min="11023" max="11024" width="10.5" style="3138" bestFit="1" customWidth="1"/>
    <col min="11025" max="11025" width="10" style="3138" customWidth="1"/>
    <col min="11026" max="11026" width="10.125" style="3138" customWidth="1"/>
    <col min="11027" max="11027" width="10" style="3138" customWidth="1"/>
    <col min="11028" max="11028" width="26.125" style="3138" customWidth="1"/>
    <col min="11029" max="11264" width="8.875" style="3138"/>
    <col min="11265" max="11265" width="9.5" style="3138" customWidth="1"/>
    <col min="11266" max="11266" width="8.875" style="3138"/>
    <col min="11267" max="11269" width="12.875" style="3138" customWidth="1"/>
    <col min="11270" max="11270" width="47.5" style="3138" customWidth="1"/>
    <col min="11271" max="11271" width="13" style="3138" customWidth="1"/>
    <col min="11272" max="11273" width="8.875" style="3138"/>
    <col min="11274" max="11274" width="5.75" style="3138" customWidth="1"/>
    <col min="11275" max="11275" width="11.75" style="3138" customWidth="1"/>
    <col min="11276" max="11277" width="10.75" style="3138" customWidth="1"/>
    <col min="11278" max="11278" width="10" style="3138" customWidth="1"/>
    <col min="11279" max="11280" width="10.5" style="3138" bestFit="1" customWidth="1"/>
    <col min="11281" max="11281" width="10" style="3138" customWidth="1"/>
    <col min="11282" max="11282" width="10.125" style="3138" customWidth="1"/>
    <col min="11283" max="11283" width="10" style="3138" customWidth="1"/>
    <col min="11284" max="11284" width="26.125" style="3138" customWidth="1"/>
    <col min="11285" max="11520" width="8.875" style="3138"/>
    <col min="11521" max="11521" width="9.5" style="3138" customWidth="1"/>
    <col min="11522" max="11522" width="8.875" style="3138"/>
    <col min="11523" max="11525" width="12.875" style="3138" customWidth="1"/>
    <col min="11526" max="11526" width="47.5" style="3138" customWidth="1"/>
    <col min="11527" max="11527" width="13" style="3138" customWidth="1"/>
    <col min="11528" max="11529" width="8.875" style="3138"/>
    <col min="11530" max="11530" width="5.75" style="3138" customWidth="1"/>
    <col min="11531" max="11531" width="11.75" style="3138" customWidth="1"/>
    <col min="11532" max="11533" width="10.75" style="3138" customWidth="1"/>
    <col min="11534" max="11534" width="10" style="3138" customWidth="1"/>
    <col min="11535" max="11536" width="10.5" style="3138" bestFit="1" customWidth="1"/>
    <col min="11537" max="11537" width="10" style="3138" customWidth="1"/>
    <col min="11538" max="11538" width="10.125" style="3138" customWidth="1"/>
    <col min="11539" max="11539" width="10" style="3138" customWidth="1"/>
    <col min="11540" max="11540" width="26.125" style="3138" customWidth="1"/>
    <col min="11541" max="11776" width="8.875" style="3138"/>
    <col min="11777" max="11777" width="9.5" style="3138" customWidth="1"/>
    <col min="11778" max="11778" width="8.875" style="3138"/>
    <col min="11779" max="11781" width="12.875" style="3138" customWidth="1"/>
    <col min="11782" max="11782" width="47.5" style="3138" customWidth="1"/>
    <col min="11783" max="11783" width="13" style="3138" customWidth="1"/>
    <col min="11784" max="11785" width="8.875" style="3138"/>
    <col min="11786" max="11786" width="5.75" style="3138" customWidth="1"/>
    <col min="11787" max="11787" width="11.75" style="3138" customWidth="1"/>
    <col min="11788" max="11789" width="10.75" style="3138" customWidth="1"/>
    <col min="11790" max="11790" width="10" style="3138" customWidth="1"/>
    <col min="11791" max="11792" width="10.5" style="3138" bestFit="1" customWidth="1"/>
    <col min="11793" max="11793" width="10" style="3138" customWidth="1"/>
    <col min="11794" max="11794" width="10.125" style="3138" customWidth="1"/>
    <col min="11795" max="11795" width="10" style="3138" customWidth="1"/>
    <col min="11796" max="11796" width="26.125" style="3138" customWidth="1"/>
    <col min="11797" max="12032" width="8.875" style="3138"/>
    <col min="12033" max="12033" width="9.5" style="3138" customWidth="1"/>
    <col min="12034" max="12034" width="8.875" style="3138"/>
    <col min="12035" max="12037" width="12.875" style="3138" customWidth="1"/>
    <col min="12038" max="12038" width="47.5" style="3138" customWidth="1"/>
    <col min="12039" max="12039" width="13" style="3138" customWidth="1"/>
    <col min="12040" max="12041" width="8.875" style="3138"/>
    <col min="12042" max="12042" width="5.75" style="3138" customWidth="1"/>
    <col min="12043" max="12043" width="11.75" style="3138" customWidth="1"/>
    <col min="12044" max="12045" width="10.75" style="3138" customWidth="1"/>
    <col min="12046" max="12046" width="10" style="3138" customWidth="1"/>
    <col min="12047" max="12048" width="10.5" style="3138" bestFit="1" customWidth="1"/>
    <col min="12049" max="12049" width="10" style="3138" customWidth="1"/>
    <col min="12050" max="12050" width="10.125" style="3138" customWidth="1"/>
    <col min="12051" max="12051" width="10" style="3138" customWidth="1"/>
    <col min="12052" max="12052" width="26.125" style="3138" customWidth="1"/>
    <col min="12053" max="12288" width="8.875" style="3138"/>
    <col min="12289" max="12289" width="9.5" style="3138" customWidth="1"/>
    <col min="12290" max="12290" width="8.875" style="3138"/>
    <col min="12291" max="12293" width="12.875" style="3138" customWidth="1"/>
    <col min="12294" max="12294" width="47.5" style="3138" customWidth="1"/>
    <col min="12295" max="12295" width="13" style="3138" customWidth="1"/>
    <col min="12296" max="12297" width="8.875" style="3138"/>
    <col min="12298" max="12298" width="5.75" style="3138" customWidth="1"/>
    <col min="12299" max="12299" width="11.75" style="3138" customWidth="1"/>
    <col min="12300" max="12301" width="10.75" style="3138" customWidth="1"/>
    <col min="12302" max="12302" width="10" style="3138" customWidth="1"/>
    <col min="12303" max="12304" width="10.5" style="3138" bestFit="1" customWidth="1"/>
    <col min="12305" max="12305" width="10" style="3138" customWidth="1"/>
    <col min="12306" max="12306" width="10.125" style="3138" customWidth="1"/>
    <col min="12307" max="12307" width="10" style="3138" customWidth="1"/>
    <col min="12308" max="12308" width="26.125" style="3138" customWidth="1"/>
    <col min="12309" max="12544" width="8.875" style="3138"/>
    <col min="12545" max="12545" width="9.5" style="3138" customWidth="1"/>
    <col min="12546" max="12546" width="8.875" style="3138"/>
    <col min="12547" max="12549" width="12.875" style="3138" customWidth="1"/>
    <col min="12550" max="12550" width="47.5" style="3138" customWidth="1"/>
    <col min="12551" max="12551" width="13" style="3138" customWidth="1"/>
    <col min="12552" max="12553" width="8.875" style="3138"/>
    <col min="12554" max="12554" width="5.75" style="3138" customWidth="1"/>
    <col min="12555" max="12555" width="11.75" style="3138" customWidth="1"/>
    <col min="12556" max="12557" width="10.75" style="3138" customWidth="1"/>
    <col min="12558" max="12558" width="10" style="3138" customWidth="1"/>
    <col min="12559" max="12560" width="10.5" style="3138" bestFit="1" customWidth="1"/>
    <col min="12561" max="12561" width="10" style="3138" customWidth="1"/>
    <col min="12562" max="12562" width="10.125" style="3138" customWidth="1"/>
    <col min="12563" max="12563" width="10" style="3138" customWidth="1"/>
    <col min="12564" max="12564" width="26.125" style="3138" customWidth="1"/>
    <col min="12565" max="12800" width="8.875" style="3138"/>
    <col min="12801" max="12801" width="9.5" style="3138" customWidth="1"/>
    <col min="12802" max="12802" width="8.875" style="3138"/>
    <col min="12803" max="12805" width="12.875" style="3138" customWidth="1"/>
    <col min="12806" max="12806" width="47.5" style="3138" customWidth="1"/>
    <col min="12807" max="12807" width="13" style="3138" customWidth="1"/>
    <col min="12808" max="12809" width="8.875" style="3138"/>
    <col min="12810" max="12810" width="5.75" style="3138" customWidth="1"/>
    <col min="12811" max="12811" width="11.75" style="3138" customWidth="1"/>
    <col min="12812" max="12813" width="10.75" style="3138" customWidth="1"/>
    <col min="12814" max="12814" width="10" style="3138" customWidth="1"/>
    <col min="12815" max="12816" width="10.5" style="3138" bestFit="1" customWidth="1"/>
    <col min="12817" max="12817" width="10" style="3138" customWidth="1"/>
    <col min="12818" max="12818" width="10.125" style="3138" customWidth="1"/>
    <col min="12819" max="12819" width="10" style="3138" customWidth="1"/>
    <col min="12820" max="12820" width="26.125" style="3138" customWidth="1"/>
    <col min="12821" max="13056" width="8.875" style="3138"/>
    <col min="13057" max="13057" width="9.5" style="3138" customWidth="1"/>
    <col min="13058" max="13058" width="8.875" style="3138"/>
    <col min="13059" max="13061" width="12.875" style="3138" customWidth="1"/>
    <col min="13062" max="13062" width="47.5" style="3138" customWidth="1"/>
    <col min="13063" max="13063" width="13" style="3138" customWidth="1"/>
    <col min="13064" max="13065" width="8.875" style="3138"/>
    <col min="13066" max="13066" width="5.75" style="3138" customWidth="1"/>
    <col min="13067" max="13067" width="11.75" style="3138" customWidth="1"/>
    <col min="13068" max="13069" width="10.75" style="3138" customWidth="1"/>
    <col min="13070" max="13070" width="10" style="3138" customWidth="1"/>
    <col min="13071" max="13072" width="10.5" style="3138" bestFit="1" customWidth="1"/>
    <col min="13073" max="13073" width="10" style="3138" customWidth="1"/>
    <col min="13074" max="13074" width="10.125" style="3138" customWidth="1"/>
    <col min="13075" max="13075" width="10" style="3138" customWidth="1"/>
    <col min="13076" max="13076" width="26.125" style="3138" customWidth="1"/>
    <col min="13077" max="13312" width="8.875" style="3138"/>
    <col min="13313" max="13313" width="9.5" style="3138" customWidth="1"/>
    <col min="13314" max="13314" width="8.875" style="3138"/>
    <col min="13315" max="13317" width="12.875" style="3138" customWidth="1"/>
    <col min="13318" max="13318" width="47.5" style="3138" customWidth="1"/>
    <col min="13319" max="13319" width="13" style="3138" customWidth="1"/>
    <col min="13320" max="13321" width="8.875" style="3138"/>
    <col min="13322" max="13322" width="5.75" style="3138" customWidth="1"/>
    <col min="13323" max="13323" width="11.75" style="3138" customWidth="1"/>
    <col min="13324" max="13325" width="10.75" style="3138" customWidth="1"/>
    <col min="13326" max="13326" width="10" style="3138" customWidth="1"/>
    <col min="13327" max="13328" width="10.5" style="3138" bestFit="1" customWidth="1"/>
    <col min="13329" max="13329" width="10" style="3138" customWidth="1"/>
    <col min="13330" max="13330" width="10.125" style="3138" customWidth="1"/>
    <col min="13331" max="13331" width="10" style="3138" customWidth="1"/>
    <col min="13332" max="13332" width="26.125" style="3138" customWidth="1"/>
    <col min="13333" max="13568" width="8.875" style="3138"/>
    <col min="13569" max="13569" width="9.5" style="3138" customWidth="1"/>
    <col min="13570" max="13570" width="8.875" style="3138"/>
    <col min="13571" max="13573" width="12.875" style="3138" customWidth="1"/>
    <col min="13574" max="13574" width="47.5" style="3138" customWidth="1"/>
    <col min="13575" max="13575" width="13" style="3138" customWidth="1"/>
    <col min="13576" max="13577" width="8.875" style="3138"/>
    <col min="13578" max="13578" width="5.75" style="3138" customWidth="1"/>
    <col min="13579" max="13579" width="11.75" style="3138" customWidth="1"/>
    <col min="13580" max="13581" width="10.75" style="3138" customWidth="1"/>
    <col min="13582" max="13582" width="10" style="3138" customWidth="1"/>
    <col min="13583" max="13584" width="10.5" style="3138" bestFit="1" customWidth="1"/>
    <col min="13585" max="13585" width="10" style="3138" customWidth="1"/>
    <col min="13586" max="13586" width="10.125" style="3138" customWidth="1"/>
    <col min="13587" max="13587" width="10" style="3138" customWidth="1"/>
    <col min="13588" max="13588" width="26.125" style="3138" customWidth="1"/>
    <col min="13589" max="13824" width="8.875" style="3138"/>
    <col min="13825" max="13825" width="9.5" style="3138" customWidth="1"/>
    <col min="13826" max="13826" width="8.875" style="3138"/>
    <col min="13827" max="13829" width="12.875" style="3138" customWidth="1"/>
    <col min="13830" max="13830" width="47.5" style="3138" customWidth="1"/>
    <col min="13831" max="13831" width="13" style="3138" customWidth="1"/>
    <col min="13832" max="13833" width="8.875" style="3138"/>
    <col min="13834" max="13834" width="5.75" style="3138" customWidth="1"/>
    <col min="13835" max="13835" width="11.75" style="3138" customWidth="1"/>
    <col min="13836" max="13837" width="10.75" style="3138" customWidth="1"/>
    <col min="13838" max="13838" width="10" style="3138" customWidth="1"/>
    <col min="13839" max="13840" width="10.5" style="3138" bestFit="1" customWidth="1"/>
    <col min="13841" max="13841" width="10" style="3138" customWidth="1"/>
    <col min="13842" max="13842" width="10.125" style="3138" customWidth="1"/>
    <col min="13843" max="13843" width="10" style="3138" customWidth="1"/>
    <col min="13844" max="13844" width="26.125" style="3138" customWidth="1"/>
    <col min="13845" max="14080" width="8.875" style="3138"/>
    <col min="14081" max="14081" width="9.5" style="3138" customWidth="1"/>
    <col min="14082" max="14082" width="8.875" style="3138"/>
    <col min="14083" max="14085" width="12.875" style="3138" customWidth="1"/>
    <col min="14086" max="14086" width="47.5" style="3138" customWidth="1"/>
    <col min="14087" max="14087" width="13" style="3138" customWidth="1"/>
    <col min="14088" max="14089" width="8.875" style="3138"/>
    <col min="14090" max="14090" width="5.75" style="3138" customWidth="1"/>
    <col min="14091" max="14091" width="11.75" style="3138" customWidth="1"/>
    <col min="14092" max="14093" width="10.75" style="3138" customWidth="1"/>
    <col min="14094" max="14094" width="10" style="3138" customWidth="1"/>
    <col min="14095" max="14096" width="10.5" style="3138" bestFit="1" customWidth="1"/>
    <col min="14097" max="14097" width="10" style="3138" customWidth="1"/>
    <col min="14098" max="14098" width="10.125" style="3138" customWidth="1"/>
    <col min="14099" max="14099" width="10" style="3138" customWidth="1"/>
    <col min="14100" max="14100" width="26.125" style="3138" customWidth="1"/>
    <col min="14101" max="14336" width="8.875" style="3138"/>
    <col min="14337" max="14337" width="9.5" style="3138" customWidth="1"/>
    <col min="14338" max="14338" width="8.875" style="3138"/>
    <col min="14339" max="14341" width="12.875" style="3138" customWidth="1"/>
    <col min="14342" max="14342" width="47.5" style="3138" customWidth="1"/>
    <col min="14343" max="14343" width="13" style="3138" customWidth="1"/>
    <col min="14344" max="14345" width="8.875" style="3138"/>
    <col min="14346" max="14346" width="5.75" style="3138" customWidth="1"/>
    <col min="14347" max="14347" width="11.75" style="3138" customWidth="1"/>
    <col min="14348" max="14349" width="10.75" style="3138" customWidth="1"/>
    <col min="14350" max="14350" width="10" style="3138" customWidth="1"/>
    <col min="14351" max="14352" width="10.5" style="3138" bestFit="1" customWidth="1"/>
    <col min="14353" max="14353" width="10" style="3138" customWidth="1"/>
    <col min="14354" max="14354" width="10.125" style="3138" customWidth="1"/>
    <col min="14355" max="14355" width="10" style="3138" customWidth="1"/>
    <col min="14356" max="14356" width="26.125" style="3138" customWidth="1"/>
    <col min="14357" max="14592" width="8.875" style="3138"/>
    <col min="14593" max="14593" width="9.5" style="3138" customWidth="1"/>
    <col min="14594" max="14594" width="8.875" style="3138"/>
    <col min="14595" max="14597" width="12.875" style="3138" customWidth="1"/>
    <col min="14598" max="14598" width="47.5" style="3138" customWidth="1"/>
    <col min="14599" max="14599" width="13" style="3138" customWidth="1"/>
    <col min="14600" max="14601" width="8.875" style="3138"/>
    <col min="14602" max="14602" width="5.75" style="3138" customWidth="1"/>
    <col min="14603" max="14603" width="11.75" style="3138" customWidth="1"/>
    <col min="14604" max="14605" width="10.75" style="3138" customWidth="1"/>
    <col min="14606" max="14606" width="10" style="3138" customWidth="1"/>
    <col min="14607" max="14608" width="10.5" style="3138" bestFit="1" customWidth="1"/>
    <col min="14609" max="14609" width="10" style="3138" customWidth="1"/>
    <col min="14610" max="14610" width="10.125" style="3138" customWidth="1"/>
    <col min="14611" max="14611" width="10" style="3138" customWidth="1"/>
    <col min="14612" max="14612" width="26.125" style="3138" customWidth="1"/>
    <col min="14613" max="14848" width="8.875" style="3138"/>
    <col min="14849" max="14849" width="9.5" style="3138" customWidth="1"/>
    <col min="14850" max="14850" width="8.875" style="3138"/>
    <col min="14851" max="14853" width="12.875" style="3138" customWidth="1"/>
    <col min="14854" max="14854" width="47.5" style="3138" customWidth="1"/>
    <col min="14855" max="14855" width="13" style="3138" customWidth="1"/>
    <col min="14856" max="14857" width="8.875" style="3138"/>
    <col min="14858" max="14858" width="5.75" style="3138" customWidth="1"/>
    <col min="14859" max="14859" width="11.75" style="3138" customWidth="1"/>
    <col min="14860" max="14861" width="10.75" style="3138" customWidth="1"/>
    <col min="14862" max="14862" width="10" style="3138" customWidth="1"/>
    <col min="14863" max="14864" width="10.5" style="3138" bestFit="1" customWidth="1"/>
    <col min="14865" max="14865" width="10" style="3138" customWidth="1"/>
    <col min="14866" max="14866" width="10.125" style="3138" customWidth="1"/>
    <col min="14867" max="14867" width="10" style="3138" customWidth="1"/>
    <col min="14868" max="14868" width="26.125" style="3138" customWidth="1"/>
    <col min="14869" max="15104" width="8.875" style="3138"/>
    <col min="15105" max="15105" width="9.5" style="3138" customWidth="1"/>
    <col min="15106" max="15106" width="8.875" style="3138"/>
    <col min="15107" max="15109" width="12.875" style="3138" customWidth="1"/>
    <col min="15110" max="15110" width="47.5" style="3138" customWidth="1"/>
    <col min="15111" max="15111" width="13" style="3138" customWidth="1"/>
    <col min="15112" max="15113" width="8.875" style="3138"/>
    <col min="15114" max="15114" width="5.75" style="3138" customWidth="1"/>
    <col min="15115" max="15115" width="11.75" style="3138" customWidth="1"/>
    <col min="15116" max="15117" width="10.75" style="3138" customWidth="1"/>
    <col min="15118" max="15118" width="10" style="3138" customWidth="1"/>
    <col min="15119" max="15120" width="10.5" style="3138" bestFit="1" customWidth="1"/>
    <col min="15121" max="15121" width="10" style="3138" customWidth="1"/>
    <col min="15122" max="15122" width="10.125" style="3138" customWidth="1"/>
    <col min="15123" max="15123" width="10" style="3138" customWidth="1"/>
    <col min="15124" max="15124" width="26.125" style="3138" customWidth="1"/>
    <col min="15125" max="15360" width="8.875" style="3138"/>
    <col min="15361" max="15361" width="9.5" style="3138" customWidth="1"/>
    <col min="15362" max="15362" width="8.875" style="3138"/>
    <col min="15363" max="15365" width="12.875" style="3138" customWidth="1"/>
    <col min="15366" max="15366" width="47.5" style="3138" customWidth="1"/>
    <col min="15367" max="15367" width="13" style="3138" customWidth="1"/>
    <col min="15368" max="15369" width="8.875" style="3138"/>
    <col min="15370" max="15370" width="5.75" style="3138" customWidth="1"/>
    <col min="15371" max="15371" width="11.75" style="3138" customWidth="1"/>
    <col min="15372" max="15373" width="10.75" style="3138" customWidth="1"/>
    <col min="15374" max="15374" width="10" style="3138" customWidth="1"/>
    <col min="15375" max="15376" width="10.5" style="3138" bestFit="1" customWidth="1"/>
    <col min="15377" max="15377" width="10" style="3138" customWidth="1"/>
    <col min="15378" max="15378" width="10.125" style="3138" customWidth="1"/>
    <col min="15379" max="15379" width="10" style="3138" customWidth="1"/>
    <col min="15380" max="15380" width="26.125" style="3138" customWidth="1"/>
    <col min="15381" max="15616" width="8.875" style="3138"/>
    <col min="15617" max="15617" width="9.5" style="3138" customWidth="1"/>
    <col min="15618" max="15618" width="8.875" style="3138"/>
    <col min="15619" max="15621" width="12.875" style="3138" customWidth="1"/>
    <col min="15622" max="15622" width="47.5" style="3138" customWidth="1"/>
    <col min="15623" max="15623" width="13" style="3138" customWidth="1"/>
    <col min="15624" max="15625" width="8.875" style="3138"/>
    <col min="15626" max="15626" width="5.75" style="3138" customWidth="1"/>
    <col min="15627" max="15627" width="11.75" style="3138" customWidth="1"/>
    <col min="15628" max="15629" width="10.75" style="3138" customWidth="1"/>
    <col min="15630" max="15630" width="10" style="3138" customWidth="1"/>
    <col min="15631" max="15632" width="10.5" style="3138" bestFit="1" customWidth="1"/>
    <col min="15633" max="15633" width="10" style="3138" customWidth="1"/>
    <col min="15634" max="15634" width="10.125" style="3138" customWidth="1"/>
    <col min="15635" max="15635" width="10" style="3138" customWidth="1"/>
    <col min="15636" max="15636" width="26.125" style="3138" customWidth="1"/>
    <col min="15637" max="15872" width="8.875" style="3138"/>
    <col min="15873" max="15873" width="9.5" style="3138" customWidth="1"/>
    <col min="15874" max="15874" width="8.875" style="3138"/>
    <col min="15875" max="15877" width="12.875" style="3138" customWidth="1"/>
    <col min="15878" max="15878" width="47.5" style="3138" customWidth="1"/>
    <col min="15879" max="15879" width="13" style="3138" customWidth="1"/>
    <col min="15880" max="15881" width="8.875" style="3138"/>
    <col min="15882" max="15882" width="5.75" style="3138" customWidth="1"/>
    <col min="15883" max="15883" width="11.75" style="3138" customWidth="1"/>
    <col min="15884" max="15885" width="10.75" style="3138" customWidth="1"/>
    <col min="15886" max="15886" width="10" style="3138" customWidth="1"/>
    <col min="15887" max="15888" width="10.5" style="3138" bestFit="1" customWidth="1"/>
    <col min="15889" max="15889" width="10" style="3138" customWidth="1"/>
    <col min="15890" max="15890" width="10.125" style="3138" customWidth="1"/>
    <col min="15891" max="15891" width="10" style="3138" customWidth="1"/>
    <col min="15892" max="15892" width="26.125" style="3138" customWidth="1"/>
    <col min="15893" max="16128" width="8.875" style="3138"/>
    <col min="16129" max="16129" width="9.5" style="3138" customWidth="1"/>
    <col min="16130" max="16130" width="8.875" style="3138"/>
    <col min="16131" max="16133" width="12.875" style="3138" customWidth="1"/>
    <col min="16134" max="16134" width="47.5" style="3138" customWidth="1"/>
    <col min="16135" max="16135" width="13" style="3138" customWidth="1"/>
    <col min="16136" max="16137" width="8.875" style="3138"/>
    <col min="16138" max="16138" width="5.75" style="3138" customWidth="1"/>
    <col min="16139" max="16139" width="11.75" style="3138" customWidth="1"/>
    <col min="16140" max="16141" width="10.75" style="3138" customWidth="1"/>
    <col min="16142" max="16142" width="10" style="3138" customWidth="1"/>
    <col min="16143" max="16144" width="10.5" style="3138" bestFit="1" customWidth="1"/>
    <col min="16145" max="16145" width="10" style="3138" customWidth="1"/>
    <col min="16146" max="16146" width="10.125" style="3138" customWidth="1"/>
    <col min="16147" max="16147" width="10" style="3138" customWidth="1"/>
    <col min="16148" max="16148" width="26.125" style="3138" customWidth="1"/>
    <col min="16149" max="16384" width="8.875" style="3138"/>
  </cols>
  <sheetData>
    <row r="1" spans="1:23" ht="21" customHeight="1">
      <c r="A1" s="3134" t="s">
        <v>2972</v>
      </c>
      <c r="B1" s="3135"/>
      <c r="C1" s="3141"/>
      <c r="D1" s="3141"/>
      <c r="E1" s="3136"/>
      <c r="F1" s="3137"/>
      <c r="G1" s="3230"/>
      <c r="J1" s="3233" t="s">
        <v>2828</v>
      </c>
      <c r="K1" s="3234"/>
      <c r="L1" s="3234"/>
      <c r="M1" s="3234"/>
      <c r="N1" s="3234"/>
      <c r="O1" s="3234"/>
      <c r="P1" s="3234"/>
      <c r="Q1" s="3234"/>
      <c r="R1" s="3235"/>
      <c r="S1" s="3236"/>
      <c r="T1" s="3236"/>
      <c r="U1" s="3236"/>
    </row>
    <row r="2" spans="1:23" s="3144" customFormat="1" ht="13.15" customHeight="1">
      <c r="A2" s="3139" t="s">
        <v>2829</v>
      </c>
      <c r="B2" s="3140" t="e">
        <f>C40</f>
        <v>#DIV/0!</v>
      </c>
      <c r="C2" s="3141" t="s">
        <v>2830</v>
      </c>
      <c r="D2" s="3141"/>
      <c r="E2" s="3142"/>
      <c r="F2" s="3143"/>
      <c r="G2" s="3237"/>
      <c r="H2" s="3238"/>
      <c r="I2" s="3239"/>
      <c r="J2" s="3597" t="s">
        <v>2831</v>
      </c>
      <c r="K2" s="3598"/>
      <c r="L2" s="3240" t="s">
        <v>2832</v>
      </c>
      <c r="M2" s="3240" t="s">
        <v>2833</v>
      </c>
      <c r="N2" s="3240" t="s">
        <v>2834</v>
      </c>
      <c r="O2" s="3240" t="s">
        <v>2835</v>
      </c>
      <c r="P2" s="3240" t="s">
        <v>2836</v>
      </c>
      <c r="Q2" s="3241" t="s">
        <v>2837</v>
      </c>
      <c r="R2" s="3242" t="s">
        <v>2838</v>
      </c>
      <c r="S2" s="3236"/>
      <c r="T2" s="3236"/>
      <c r="U2" s="3236"/>
      <c r="V2" s="3239"/>
      <c r="W2" s="3238"/>
    </row>
    <row r="3" spans="1:23" s="3144" customFormat="1" ht="13.15" customHeight="1">
      <c r="A3" s="3146" t="s">
        <v>2839</v>
      </c>
      <c r="B3" s="3147" t="e">
        <f>ROUND(B2*10000/B4,0)</f>
        <v>#DIV/0!</v>
      </c>
      <c r="C3" s="3141" t="s">
        <v>2840</v>
      </c>
      <c r="D3" s="3141"/>
      <c r="E3" s="3142"/>
      <c r="F3" s="3143"/>
      <c r="G3" s="3237"/>
      <c r="H3" s="3238"/>
      <c r="I3" s="3239"/>
      <c r="J3" s="3599" t="s">
        <v>2841</v>
      </c>
      <c r="K3" s="3600"/>
      <c r="L3" s="3243"/>
      <c r="M3" s="3243"/>
      <c r="N3" s="3243"/>
      <c r="O3" s="3243"/>
      <c r="P3" s="3243"/>
      <c r="Q3" s="3244"/>
      <c r="R3" s="3245">
        <f>SUM(L3:Q3)</f>
        <v>0</v>
      </c>
      <c r="S3" s="3236"/>
      <c r="T3" s="3236"/>
      <c r="U3" s="3236"/>
      <c r="V3" s="3239"/>
      <c r="W3" s="3238"/>
    </row>
    <row r="4" spans="1:23" s="3144" customFormat="1" ht="13.15" customHeight="1">
      <c r="A4" s="3148" t="s">
        <v>2842</v>
      </c>
      <c r="B4" s="3205"/>
      <c r="C4" s="3141"/>
      <c r="D4" s="3141"/>
      <c r="E4" s="3142"/>
      <c r="F4" s="3143"/>
      <c r="G4" s="3237"/>
      <c r="H4" s="3238"/>
      <c r="I4" s="3239"/>
      <c r="J4" s="3599" t="s">
        <v>2843</v>
      </c>
      <c r="K4" s="3600"/>
      <c r="L4" s="3246"/>
      <c r="M4" s="3246"/>
      <c r="N4" s="3246"/>
      <c r="O4" s="3246"/>
      <c r="P4" s="3246"/>
      <c r="Q4" s="3247"/>
      <c r="R4" s="3248">
        <f>SUM(L4:Q4)</f>
        <v>0</v>
      </c>
      <c r="S4" s="3236"/>
      <c r="T4" s="3236"/>
      <c r="U4" s="3236"/>
      <c r="V4" s="3239"/>
      <c r="W4" s="3238"/>
    </row>
    <row r="5" spans="1:23" s="3144" customFormat="1" ht="13.15" customHeight="1" thickBot="1">
      <c r="A5" s="3149" t="s">
        <v>2844</v>
      </c>
      <c r="B5" s="3206"/>
      <c r="C5" s="3141"/>
      <c r="D5" s="3150"/>
      <c r="E5" s="3143"/>
      <c r="F5" s="3143"/>
      <c r="G5" s="3237"/>
      <c r="H5" s="3238"/>
      <c r="I5" s="3239"/>
      <c r="J5" s="3249" t="s">
        <v>2845</v>
      </c>
      <c r="K5" s="3250"/>
      <c r="L5" s="3250"/>
      <c r="M5" s="3251"/>
      <c r="N5" s="3251"/>
      <c r="O5" s="3251"/>
      <c r="P5" s="3251"/>
      <c r="Q5" s="3251"/>
      <c r="R5" s="3242">
        <f>SUM(R14,R19,R24,R25,R27,R28)</f>
        <v>0</v>
      </c>
      <c r="S5" s="3236"/>
      <c r="T5" s="3236" t="s">
        <v>2846</v>
      </c>
      <c r="U5" s="3236" t="e">
        <f>ROUND(R5*10000/365/R3,1)</f>
        <v>#DIV/0!</v>
      </c>
      <c r="V5" s="3239"/>
      <c r="W5" s="3238"/>
    </row>
    <row r="6" spans="1:23" s="3144" customFormat="1" ht="13.15" customHeight="1" thickBot="1">
      <c r="A6" s="3601" t="s">
        <v>2847</v>
      </c>
      <c r="B6" s="3602"/>
      <c r="C6" s="3603"/>
      <c r="D6" s="3207"/>
      <c r="E6" s="3151"/>
      <c r="F6" s="3152"/>
      <c r="G6" s="3252"/>
      <c r="H6" s="3238"/>
      <c r="I6" s="3239"/>
      <c r="J6" s="3604">
        <v>1</v>
      </c>
      <c r="K6" s="3605" t="s">
        <v>2848</v>
      </c>
      <c r="L6" s="3253" t="s">
        <v>2849</v>
      </c>
      <c r="M6" s="3254" t="s">
        <v>2850</v>
      </c>
      <c r="N6" s="3254" t="s">
        <v>2851</v>
      </c>
      <c r="O6" s="3254" t="s">
        <v>2852</v>
      </c>
      <c r="P6" s="3254" t="s">
        <v>2853</v>
      </c>
      <c r="Q6" s="3254" t="s">
        <v>2854</v>
      </c>
      <c r="R6" s="3245" t="s">
        <v>2855</v>
      </c>
      <c r="S6" s="3236"/>
      <c r="T6" s="3236" t="s">
        <v>2856</v>
      </c>
      <c r="U6" s="3236"/>
      <c r="V6" s="3239"/>
      <c r="W6" s="3238"/>
    </row>
    <row r="7" spans="1:23" s="3144" customFormat="1" ht="13.15" customHeight="1">
      <c r="A7" s="3154" t="s">
        <v>2857</v>
      </c>
      <c r="B7" s="3155"/>
      <c r="C7" s="3156"/>
      <c r="D7" s="3157">
        <f>SUM(D9,D10,D11,D17,0)</f>
        <v>0</v>
      </c>
      <c r="E7" s="3158" t="e">
        <f>E9+E10+E11+E17</f>
        <v>#DIV/0!</v>
      </c>
      <c r="F7" s="3159"/>
      <c r="G7" s="3255"/>
      <c r="H7" s="3238"/>
      <c r="I7" s="3239"/>
      <c r="J7" s="3604"/>
      <c r="K7" s="3606"/>
      <c r="L7" s="3256" t="s">
        <v>2957</v>
      </c>
      <c r="M7" s="3257"/>
      <c r="N7" s="3257"/>
      <c r="O7" s="3258"/>
      <c r="P7" s="3258"/>
      <c r="Q7" s="3259">
        <v>365</v>
      </c>
      <c r="R7" s="3260">
        <f>ROUND(M7*N7*O7*P7*Q7/10000,0)</f>
        <v>0</v>
      </c>
      <c r="S7" s="3236"/>
      <c r="T7" s="3236" t="s">
        <v>2858</v>
      </c>
      <c r="U7" s="3236"/>
      <c r="V7" s="3239"/>
      <c r="W7" s="3238"/>
    </row>
    <row r="8" spans="1:23" s="3144" customFormat="1" ht="13.15" customHeight="1">
      <c r="A8" s="3160" t="s">
        <v>2859</v>
      </c>
      <c r="B8" s="3608" t="s">
        <v>2860</v>
      </c>
      <c r="C8" s="3609"/>
      <c r="D8" s="3161" t="s">
        <v>2861</v>
      </c>
      <c r="E8" s="3162" t="s">
        <v>2862</v>
      </c>
      <c r="F8" s="3145" t="s">
        <v>2863</v>
      </c>
      <c r="G8" s="3315" t="s">
        <v>2971</v>
      </c>
      <c r="H8" s="3238"/>
      <c r="I8" s="3239"/>
      <c r="J8" s="3604"/>
      <c r="K8" s="3606"/>
      <c r="L8" s="3256" t="s">
        <v>2958</v>
      </c>
      <c r="M8" s="3257"/>
      <c r="N8" s="3257"/>
      <c r="O8" s="3258"/>
      <c r="P8" s="3258"/>
      <c r="Q8" s="3259">
        <v>365</v>
      </c>
      <c r="R8" s="3260">
        <f t="shared" ref="R8:R13" si="0">ROUND(M8*N8*O8*P8*Q8/10000,0)</f>
        <v>0</v>
      </c>
      <c r="S8" s="3236"/>
      <c r="T8" s="3236" t="s">
        <v>2864</v>
      </c>
      <c r="U8" s="3236"/>
      <c r="V8" s="3239"/>
      <c r="W8" s="3238"/>
    </row>
    <row r="9" spans="1:23" s="3144" customFormat="1" ht="13.15" customHeight="1">
      <c r="A9" s="3160">
        <v>1</v>
      </c>
      <c r="B9" s="3608" t="s">
        <v>2865</v>
      </c>
      <c r="C9" s="3609"/>
      <c r="D9" s="3161">
        <f>ROUND(D6*E9,0)</f>
        <v>0</v>
      </c>
      <c r="E9" s="3208"/>
      <c r="F9" s="3163" t="s">
        <v>2866</v>
      </c>
      <c r="G9" s="3261" t="s">
        <v>2969</v>
      </c>
      <c r="H9" s="3238"/>
      <c r="I9" s="3239"/>
      <c r="J9" s="3604"/>
      <c r="K9" s="3606"/>
      <c r="L9" s="3256" t="s">
        <v>2959</v>
      </c>
      <c r="M9" s="3257"/>
      <c r="N9" s="3257"/>
      <c r="O9" s="3258"/>
      <c r="P9" s="3258"/>
      <c r="Q9" s="3259">
        <v>365</v>
      </c>
      <c r="R9" s="3260">
        <f t="shared" si="0"/>
        <v>0</v>
      </c>
      <c r="S9" s="3236"/>
      <c r="T9" s="3236"/>
      <c r="U9" s="3236"/>
      <c r="V9" s="3239"/>
      <c r="W9" s="3238"/>
    </row>
    <row r="10" spans="1:23" s="3144" customFormat="1" ht="13.15" customHeight="1">
      <c r="A10" s="3160">
        <v>2</v>
      </c>
      <c r="B10" s="3608" t="s">
        <v>2867</v>
      </c>
      <c r="C10" s="3609"/>
      <c r="D10" s="3161">
        <f>ROUND(D6*E10,0)</f>
        <v>0</v>
      </c>
      <c r="E10" s="3208"/>
      <c r="F10" s="3163" t="s">
        <v>2868</v>
      </c>
      <c r="G10" s="3261" t="s">
        <v>2970</v>
      </c>
      <c r="H10" s="3238"/>
      <c r="I10" s="3239"/>
      <c r="J10" s="3604"/>
      <c r="K10" s="3606"/>
      <c r="L10" s="3256" t="s">
        <v>2960</v>
      </c>
      <c r="M10" s="3257"/>
      <c r="N10" s="3257"/>
      <c r="O10" s="3258"/>
      <c r="P10" s="3258"/>
      <c r="Q10" s="3259">
        <v>365</v>
      </c>
      <c r="R10" s="3260">
        <f t="shared" si="0"/>
        <v>0</v>
      </c>
      <c r="S10" s="3236"/>
      <c r="T10" s="3236"/>
      <c r="U10" s="3236"/>
      <c r="V10" s="3239"/>
      <c r="W10" s="3238"/>
    </row>
    <row r="11" spans="1:23" s="3144" customFormat="1" ht="13.15" customHeight="1">
      <c r="A11" s="3160">
        <v>3</v>
      </c>
      <c r="B11" s="3608" t="s">
        <v>2869</v>
      </c>
      <c r="C11" s="3609"/>
      <c r="D11" s="3161">
        <f>D12+D14+D15+D16</f>
        <v>0</v>
      </c>
      <c r="E11" s="3164" t="e">
        <f>D11/D6</f>
        <v>#DIV/0!</v>
      </c>
      <c r="F11" s="3145"/>
      <c r="G11" s="3261"/>
      <c r="H11" s="3238"/>
      <c r="I11" s="3239"/>
      <c r="J11" s="3604"/>
      <c r="K11" s="3606"/>
      <c r="L11" s="3256" t="s">
        <v>2961</v>
      </c>
      <c r="M11" s="3257"/>
      <c r="N11" s="3257"/>
      <c r="O11" s="3258"/>
      <c r="P11" s="3258"/>
      <c r="Q11" s="3259">
        <v>365</v>
      </c>
      <c r="R11" s="3260">
        <f t="shared" si="0"/>
        <v>0</v>
      </c>
      <c r="S11" s="3236"/>
      <c r="T11" s="3236"/>
      <c r="U11" s="3236"/>
      <c r="V11" s="3239"/>
      <c r="W11" s="3238"/>
    </row>
    <row r="12" spans="1:23" s="3144" customFormat="1" ht="13.15" customHeight="1">
      <c r="A12" s="3165" t="s">
        <v>2870</v>
      </c>
      <c r="B12" s="3610" t="s">
        <v>2871</v>
      </c>
      <c r="C12" s="3611"/>
      <c r="D12" s="3166">
        <f>ROUND(D13*1.2%*(1-30%),0)</f>
        <v>0</v>
      </c>
      <c r="E12" s="3167">
        <v>1.2E-2</v>
      </c>
      <c r="F12" s="3145" t="s">
        <v>2872</v>
      </c>
      <c r="G12" s="3261"/>
      <c r="H12" s="3238"/>
      <c r="I12" s="3239"/>
      <c r="J12" s="3604"/>
      <c r="K12" s="3606"/>
      <c r="L12" s="3256" t="s">
        <v>2962</v>
      </c>
      <c r="M12" s="3257"/>
      <c r="N12" s="3257"/>
      <c r="O12" s="3258"/>
      <c r="P12" s="3258"/>
      <c r="Q12" s="3259">
        <v>365</v>
      </c>
      <c r="R12" s="3260">
        <f t="shared" si="0"/>
        <v>0</v>
      </c>
      <c r="S12" s="3236"/>
      <c r="T12" s="3236"/>
      <c r="U12" s="3236"/>
      <c r="V12" s="3239"/>
      <c r="W12" s="3238"/>
    </row>
    <row r="13" spans="1:23" s="3144" customFormat="1" ht="13.15" customHeight="1">
      <c r="A13" s="3165"/>
      <c r="B13" s="3168"/>
      <c r="C13" s="3169" t="s">
        <v>2873</v>
      </c>
      <c r="D13" s="3209"/>
      <c r="E13" s="3170"/>
      <c r="F13" s="3145"/>
      <c r="G13" s="3261"/>
      <c r="H13" s="3238"/>
      <c r="I13" s="3239"/>
      <c r="J13" s="3604"/>
      <c r="K13" s="3606"/>
      <c r="L13" s="3256" t="s">
        <v>2963</v>
      </c>
      <c r="M13" s="3257"/>
      <c r="N13" s="3257"/>
      <c r="O13" s="3258"/>
      <c r="P13" s="3258"/>
      <c r="Q13" s="3259">
        <v>365</v>
      </c>
      <c r="R13" s="3260">
        <f t="shared" si="0"/>
        <v>0</v>
      </c>
      <c r="S13" s="3236"/>
      <c r="T13" s="3236"/>
      <c r="U13" s="3236"/>
      <c r="V13" s="3239"/>
      <c r="W13" s="3238"/>
    </row>
    <row r="14" spans="1:23" s="3144" customFormat="1" ht="13.15" customHeight="1">
      <c r="A14" s="3165" t="s">
        <v>2874</v>
      </c>
      <c r="B14" s="3610" t="s">
        <v>2875</v>
      </c>
      <c r="C14" s="3611"/>
      <c r="D14" s="3166">
        <f>ROUND(E14*B5/10000,0)</f>
        <v>0</v>
      </c>
      <c r="E14" s="3210"/>
      <c r="F14" s="3145" t="s">
        <v>2876</v>
      </c>
      <c r="G14" s="3261"/>
      <c r="H14" s="3238"/>
      <c r="I14" s="3239"/>
      <c r="J14" s="3604"/>
      <c r="K14" s="3607"/>
      <c r="L14" s="3262" t="s">
        <v>2877</v>
      </c>
      <c r="M14" s="3263">
        <f>SUM(M7:M13)</f>
        <v>0</v>
      </c>
      <c r="N14" s="3263" t="e">
        <f>ROUND((N7*M7+N8*M8+N9*M9+N10*M10+N11*M11+N12*M12+N13*M13)/M14,0)</f>
        <v>#DIV/0!</v>
      </c>
      <c r="O14" s="3264"/>
      <c r="P14" s="3264"/>
      <c r="Q14" s="3265"/>
      <c r="R14" s="3242">
        <f>SUM(R7:R13)</f>
        <v>0</v>
      </c>
      <c r="S14" s="3236"/>
      <c r="T14" s="3236"/>
      <c r="U14" s="3236"/>
      <c r="V14" s="3239"/>
      <c r="W14" s="3238"/>
    </row>
    <row r="15" spans="1:23" s="3144" customFormat="1" ht="13.15" customHeight="1">
      <c r="A15" s="3165" t="s">
        <v>2878</v>
      </c>
      <c r="B15" s="3610" t="s">
        <v>2879</v>
      </c>
      <c r="C15" s="3611"/>
      <c r="D15" s="3166">
        <f>ROUND(D6*E15,0)</f>
        <v>0</v>
      </c>
      <c r="E15" s="3167">
        <v>5.5E-2</v>
      </c>
      <c r="F15" s="3145" t="s">
        <v>2880</v>
      </c>
      <c r="G15" s="3261"/>
      <c r="H15" s="3238"/>
      <c r="I15" s="3239"/>
      <c r="J15" s="3604">
        <v>2</v>
      </c>
      <c r="K15" s="3605" t="s">
        <v>2881</v>
      </c>
      <c r="L15" s="3266" t="s">
        <v>2882</v>
      </c>
      <c r="M15" s="3267" t="s">
        <v>2883</v>
      </c>
      <c r="N15" s="3267" t="s">
        <v>2884</v>
      </c>
      <c r="O15" s="3268" t="s">
        <v>2885</v>
      </c>
      <c r="P15" s="3268" t="s">
        <v>2886</v>
      </c>
      <c r="Q15" s="3205" t="s">
        <v>2887</v>
      </c>
      <c r="R15" s="3269" t="s">
        <v>2888</v>
      </c>
      <c r="S15" s="3236"/>
      <c r="T15" s="3236"/>
      <c r="U15" s="3236"/>
      <c r="V15" s="3239"/>
      <c r="W15" s="3238"/>
    </row>
    <row r="16" spans="1:23" s="3144" customFormat="1" ht="13.15" customHeight="1">
      <c r="A16" s="3165" t="s">
        <v>2889</v>
      </c>
      <c r="B16" s="3610" t="s">
        <v>2890</v>
      </c>
      <c r="C16" s="3611"/>
      <c r="D16" s="3211">
        <f>D6*E16</f>
        <v>0</v>
      </c>
      <c r="E16" s="3212"/>
      <c r="F16" s="3163" t="s">
        <v>2891</v>
      </c>
      <c r="G16" s="3261"/>
      <c r="H16" s="3238"/>
      <c r="I16" s="3239"/>
      <c r="J16" s="3604"/>
      <c r="K16" s="3606"/>
      <c r="L16" s="3256" t="s">
        <v>2964</v>
      </c>
      <c r="M16" s="3257"/>
      <c r="N16" s="3257"/>
      <c r="O16" s="3258"/>
      <c r="P16" s="3259">
        <v>365</v>
      </c>
      <c r="Q16" s="3257"/>
      <c r="R16" s="3270">
        <f>ROUND(M16*N16*O16*P16/10000,0)</f>
        <v>0</v>
      </c>
      <c r="S16" s="3236"/>
      <c r="T16" s="3236"/>
      <c r="U16" s="3236"/>
      <c r="V16" s="3239"/>
      <c r="W16" s="3238"/>
    </row>
    <row r="17" spans="1:23" s="3144" customFormat="1" ht="13.15" customHeight="1" thickBot="1">
      <c r="A17" s="3171">
        <v>4</v>
      </c>
      <c r="B17" s="3612" t="s">
        <v>2892</v>
      </c>
      <c r="C17" s="3613"/>
      <c r="D17" s="3172">
        <f>ROUND(D6*E17,0)</f>
        <v>0</v>
      </c>
      <c r="E17" s="3213"/>
      <c r="F17" s="3173" t="s">
        <v>2893</v>
      </c>
      <c r="G17" s="3314">
        <v>0.1</v>
      </c>
      <c r="H17" s="3238"/>
      <c r="I17" s="3239"/>
      <c r="J17" s="3604"/>
      <c r="K17" s="3606"/>
      <c r="L17" s="3256" t="s">
        <v>2965</v>
      </c>
      <c r="M17" s="3257"/>
      <c r="N17" s="3257"/>
      <c r="O17" s="3258"/>
      <c r="P17" s="3259">
        <v>365</v>
      </c>
      <c r="Q17" s="3257"/>
      <c r="R17" s="3270">
        <f>ROUND(M17*N17*O17*P17/10000,0)</f>
        <v>0</v>
      </c>
      <c r="S17" s="3236"/>
      <c r="T17" s="3236"/>
      <c r="U17" s="3236"/>
      <c r="V17" s="3239"/>
      <c r="W17" s="3238"/>
    </row>
    <row r="18" spans="1:23" s="3144" customFormat="1" ht="13.15" customHeight="1" thickBot="1">
      <c r="A18" s="3154" t="s">
        <v>2894</v>
      </c>
      <c r="B18" s="3155"/>
      <c r="C18" s="3155"/>
      <c r="D18" s="3174">
        <f>ROUND(D6*E18,0)</f>
        <v>0</v>
      </c>
      <c r="E18" s="3214"/>
      <c r="F18" s="3175" t="s">
        <v>2895</v>
      </c>
      <c r="G18" s="3314">
        <v>0.05</v>
      </c>
      <c r="H18" s="3238"/>
      <c r="I18" s="3239"/>
      <c r="J18" s="3604"/>
      <c r="K18" s="3606"/>
      <c r="L18" s="3256" t="s">
        <v>2966</v>
      </c>
      <c r="M18" s="3257"/>
      <c r="N18" s="3257"/>
      <c r="O18" s="3258"/>
      <c r="P18" s="3259">
        <v>365</v>
      </c>
      <c r="Q18" s="3257"/>
      <c r="R18" s="3270">
        <f>ROUND(M18*N18*O18*P18/10000,0)</f>
        <v>0</v>
      </c>
      <c r="S18" s="3236"/>
      <c r="T18" s="3236"/>
      <c r="U18" s="3236"/>
      <c r="V18" s="3239"/>
      <c r="W18" s="3238"/>
    </row>
    <row r="19" spans="1:23" s="3144" customFormat="1" ht="13.15" customHeight="1" thickBot="1">
      <c r="A19" s="3176" t="s">
        <v>2896</v>
      </c>
      <c r="B19" s="3151"/>
      <c r="C19" s="3151"/>
      <c r="D19" s="3151"/>
      <c r="E19" s="3151"/>
      <c r="F19" s="3152"/>
      <c r="G19" s="3261"/>
      <c r="H19" s="3238"/>
      <c r="I19" s="3239"/>
      <c r="J19" s="3604"/>
      <c r="K19" s="3607"/>
      <c r="L19" s="3262" t="s">
        <v>2877</v>
      </c>
      <c r="M19" s="3263"/>
      <c r="N19" s="3263">
        <f>SUM(N16:N18)</f>
        <v>0</v>
      </c>
      <c r="O19" s="3264"/>
      <c r="P19" s="3271" t="s">
        <v>2967</v>
      </c>
      <c r="Q19" s="3268">
        <v>0.5</v>
      </c>
      <c r="R19" s="3272">
        <f>ROUND(IF(P19="按比例",R14*Q19,SUM(R16:R18)),0)</f>
        <v>0</v>
      </c>
      <c r="S19" s="3236"/>
      <c r="T19" s="3236"/>
      <c r="U19" s="3236"/>
      <c r="V19" s="3239"/>
      <c r="W19" s="3238"/>
    </row>
    <row r="20" spans="1:23" s="3144" customFormat="1" ht="13.15" customHeight="1">
      <c r="A20" s="3154"/>
      <c r="B20" s="3155"/>
      <c r="C20" s="3155"/>
      <c r="D20" s="3155"/>
      <c r="E20" s="3155"/>
      <c r="F20" s="3177"/>
      <c r="G20" s="3261"/>
      <c r="H20" s="3238"/>
      <c r="I20" s="3239"/>
      <c r="J20" s="3604">
        <v>3</v>
      </c>
      <c r="K20" s="3605" t="s">
        <v>2897</v>
      </c>
      <c r="L20" s="3266" t="s">
        <v>2898</v>
      </c>
      <c r="M20" s="3267" t="s">
        <v>2899</v>
      </c>
      <c r="N20" s="3273" t="s">
        <v>2900</v>
      </c>
      <c r="O20" s="3268" t="s">
        <v>2901</v>
      </c>
      <c r="P20" s="3210" t="s">
        <v>2886</v>
      </c>
      <c r="Q20" s="3205" t="s">
        <v>2887</v>
      </c>
      <c r="R20" s="3269" t="s">
        <v>2888</v>
      </c>
      <c r="S20" s="3274"/>
      <c r="T20" s="3274"/>
      <c r="U20" s="3274"/>
      <c r="V20" s="3239"/>
      <c r="W20" s="3238"/>
    </row>
    <row r="21" spans="1:23" s="3144" customFormat="1" ht="13.15" customHeight="1">
      <c r="A21" s="3154"/>
      <c r="B21" s="3155"/>
      <c r="C21" s="3178" t="s">
        <v>2902</v>
      </c>
      <c r="D21" s="3179" t="s">
        <v>2903</v>
      </c>
      <c r="E21" s="3180" t="s">
        <v>2904</v>
      </c>
      <c r="F21" s="3177"/>
      <c r="G21" s="3261"/>
      <c r="H21" s="3238"/>
      <c r="I21" s="3239"/>
      <c r="J21" s="3604"/>
      <c r="K21" s="3606"/>
      <c r="L21" s="3266" t="s">
        <v>2905</v>
      </c>
      <c r="M21" s="3267"/>
      <c r="N21" s="3267"/>
      <c r="O21" s="3268"/>
      <c r="P21" s="3210">
        <v>365</v>
      </c>
      <c r="Q21" s="3205"/>
      <c r="R21" s="3275">
        <f>ROUND(M21*N21*O21*P21/10000,0)</f>
        <v>0</v>
      </c>
      <c r="S21" s="3274"/>
      <c r="T21" s="3274"/>
      <c r="U21" s="3274"/>
      <c r="V21" s="3239"/>
      <c r="W21" s="3238"/>
    </row>
    <row r="22" spans="1:23" s="3144" customFormat="1" ht="13.15" customHeight="1">
      <c r="A22" s="3154"/>
      <c r="B22" s="3155"/>
      <c r="C22" s="3215" t="s">
        <v>2906</v>
      </c>
      <c r="D22" s="3216" t="s">
        <v>2907</v>
      </c>
      <c r="E22" s="3217" t="s">
        <v>2908</v>
      </c>
      <c r="F22" s="3177"/>
      <c r="G22" s="3276"/>
      <c r="H22" s="3238"/>
      <c r="I22" s="3239"/>
      <c r="J22" s="3604"/>
      <c r="K22" s="3606"/>
      <c r="L22" s="3266" t="s">
        <v>2909</v>
      </c>
      <c r="M22" s="3267"/>
      <c r="N22" s="3267"/>
      <c r="O22" s="3268"/>
      <c r="P22" s="3210">
        <v>365</v>
      </c>
      <c r="Q22" s="3205"/>
      <c r="R22" s="3275">
        <f>ROUND(M22*N22*O22*P22/10000,0)</f>
        <v>0</v>
      </c>
      <c r="S22" s="3274"/>
      <c r="T22" s="3274"/>
      <c r="U22" s="3274"/>
      <c r="V22" s="3239"/>
      <c r="W22" s="3238"/>
    </row>
    <row r="23" spans="1:23" s="3144" customFormat="1" ht="13.15" customHeight="1">
      <c r="A23" s="3181">
        <v>1</v>
      </c>
      <c r="B23" s="3153" t="s">
        <v>2910</v>
      </c>
      <c r="C23" s="3182">
        <f>D6</f>
        <v>0</v>
      </c>
      <c r="D23" s="3183">
        <f>C23*(1+D24)</f>
        <v>0</v>
      </c>
      <c r="E23" s="3184">
        <f>D23*(1+E24)</f>
        <v>0</v>
      </c>
      <c r="F23" s="3185"/>
      <c r="G23" s="3277"/>
      <c r="H23" s="3238"/>
      <c r="I23" s="3239"/>
      <c r="J23" s="3604"/>
      <c r="K23" s="3606"/>
      <c r="L23" s="3266" t="s">
        <v>2911</v>
      </c>
      <c r="M23" s="3267"/>
      <c r="N23" s="3267"/>
      <c r="O23" s="3268"/>
      <c r="P23" s="3210">
        <v>365</v>
      </c>
      <c r="Q23" s="3205"/>
      <c r="R23" s="3275">
        <f>ROUND(M23*N23*O23*P23/10000,0)</f>
        <v>0</v>
      </c>
      <c r="S23" s="3236"/>
      <c r="T23" s="3236"/>
      <c r="U23" s="3236"/>
      <c r="V23" s="3239"/>
      <c r="W23" s="3238"/>
    </row>
    <row r="24" spans="1:23" s="3144" customFormat="1" ht="13.15" customHeight="1">
      <c r="A24" s="3186"/>
      <c r="B24" s="3187" t="s">
        <v>2912</v>
      </c>
      <c r="C24" s="3188"/>
      <c r="D24" s="3218"/>
      <c r="E24" s="3219"/>
      <c r="F24" s="3189"/>
      <c r="G24" s="3277"/>
      <c r="H24" s="3238"/>
      <c r="I24" s="3239"/>
      <c r="J24" s="3604"/>
      <c r="K24" s="3607"/>
      <c r="L24" s="3262" t="s">
        <v>2877</v>
      </c>
      <c r="M24" s="3263">
        <f>SUM(M21:M23)</f>
        <v>0</v>
      </c>
      <c r="N24" s="3263"/>
      <c r="O24" s="3264"/>
      <c r="P24" s="3271" t="s">
        <v>2967</v>
      </c>
      <c r="Q24" s="3268">
        <v>0.1</v>
      </c>
      <c r="R24" s="3272">
        <f>ROUND(IF(P24="按比例",R14*Q24,SUM(R21:R23)),0)</f>
        <v>0</v>
      </c>
      <c r="S24" s="3236"/>
      <c r="T24" s="3236"/>
      <c r="U24" s="3236"/>
      <c r="V24" s="3239"/>
      <c r="W24" s="3238"/>
    </row>
    <row r="25" spans="1:23" s="3190" customFormat="1" ht="13.15" customHeight="1">
      <c r="A25" s="3186"/>
      <c r="B25" s="3187"/>
      <c r="C25" s="3188"/>
      <c r="D25" s="3218"/>
      <c r="E25" s="3219"/>
      <c r="F25" s="3189"/>
      <c r="G25" s="3276"/>
      <c r="H25" s="3238"/>
      <c r="I25" s="3239"/>
      <c r="J25" s="3278">
        <v>4</v>
      </c>
      <c r="K25" s="3279" t="s">
        <v>2913</v>
      </c>
      <c r="L25" s="3280"/>
      <c r="M25" s="3280"/>
      <c r="N25" s="3280"/>
      <c r="O25" s="3280"/>
      <c r="P25" s="3281"/>
      <c r="Q25" s="3282">
        <v>0</v>
      </c>
      <c r="R25" s="3272">
        <f>ROUND(R14*Q25,0)</f>
        <v>0</v>
      </c>
      <c r="S25" s="3236"/>
      <c r="T25" s="3236"/>
      <c r="U25" s="3236"/>
      <c r="V25" s="3283"/>
      <c r="W25" s="3284"/>
    </row>
    <row r="26" spans="1:23" s="3190" customFormat="1" ht="13.15" customHeight="1">
      <c r="A26" s="3181">
        <v>2</v>
      </c>
      <c r="B26" s="3153" t="s">
        <v>2914</v>
      </c>
      <c r="C26" s="3182">
        <f>D7</f>
        <v>0</v>
      </c>
      <c r="D26" s="3183">
        <f>D23*D27</f>
        <v>0</v>
      </c>
      <c r="E26" s="3184">
        <f>E23*E27</f>
        <v>0</v>
      </c>
      <c r="F26" s="3185"/>
      <c r="G26" s="3277"/>
      <c r="H26" s="3238"/>
      <c r="I26" s="3239"/>
      <c r="J26" s="3614">
        <v>5</v>
      </c>
      <c r="K26" s="3285" t="s">
        <v>2915</v>
      </c>
      <c r="L26" s="3286"/>
      <c r="M26" s="3287"/>
      <c r="N26" s="3288" t="s">
        <v>2916</v>
      </c>
      <c r="O26" s="3288" t="s">
        <v>2917</v>
      </c>
      <c r="P26" s="3289" t="s">
        <v>2918</v>
      </c>
      <c r="Q26" s="3289" t="s">
        <v>2919</v>
      </c>
      <c r="R26" s="3245" t="s">
        <v>2888</v>
      </c>
      <c r="S26" s="3290"/>
      <c r="T26" s="3290"/>
      <c r="U26" s="3290"/>
      <c r="V26" s="3283"/>
      <c r="W26" s="3284"/>
    </row>
    <row r="27" spans="1:23" s="3144" customFormat="1" ht="13.15" customHeight="1">
      <c r="A27" s="3186"/>
      <c r="B27" s="3187" t="s">
        <v>2920</v>
      </c>
      <c r="C27" s="3191" t="e">
        <f>E7</f>
        <v>#DIV/0!</v>
      </c>
      <c r="D27" s="3218"/>
      <c r="E27" s="3219"/>
      <c r="F27" s="3189"/>
      <c r="G27" s="3277"/>
      <c r="H27" s="3284"/>
      <c r="I27" s="3283"/>
      <c r="J27" s="3615"/>
      <c r="K27" s="3291"/>
      <c r="L27" s="3292"/>
      <c r="M27" s="3293"/>
      <c r="N27" s="3294"/>
      <c r="O27" s="3294"/>
      <c r="P27" s="3294"/>
      <c r="Q27" s="3295"/>
      <c r="R27" s="3272">
        <f>ROUND(O27*N27*P27*(1-Q27)/10000,0)</f>
        <v>0</v>
      </c>
      <c r="S27" s="3236"/>
      <c r="T27" s="3236"/>
      <c r="U27" s="3236"/>
      <c r="V27" s="3239"/>
      <c r="W27" s="3238"/>
    </row>
    <row r="28" spans="1:23" s="3190" customFormat="1" ht="13.15" customHeight="1" thickBot="1">
      <c r="A28" s="3186"/>
      <c r="B28" s="3187"/>
      <c r="C28" s="3191"/>
      <c r="D28" s="3218"/>
      <c r="E28" s="3219" t="s">
        <v>2921</v>
      </c>
      <c r="F28" s="3189"/>
      <c r="G28" s="3276"/>
      <c r="H28" s="3284"/>
      <c r="I28" s="3283"/>
      <c r="J28" s="3296">
        <v>6</v>
      </c>
      <c r="K28" s="3297" t="s">
        <v>2922</v>
      </c>
      <c r="L28" s="3298" t="s">
        <v>2923</v>
      </c>
      <c r="M28" s="3299"/>
      <c r="N28" s="3298" t="s">
        <v>2924</v>
      </c>
      <c r="O28" s="3300"/>
      <c r="P28" s="3298" t="s">
        <v>2925</v>
      </c>
      <c r="Q28" s="3301">
        <v>1.4999999999999999E-2</v>
      </c>
      <c r="R28" s="3302"/>
      <c r="S28" s="3274"/>
      <c r="T28" s="3274"/>
      <c r="U28" s="3274"/>
      <c r="V28" s="3283"/>
      <c r="W28" s="3284"/>
    </row>
    <row r="29" spans="1:23" s="3190" customFormat="1" ht="13.15" customHeight="1">
      <c r="A29" s="3181">
        <v>3</v>
      </c>
      <c r="B29" s="3153" t="s">
        <v>2926</v>
      </c>
      <c r="C29" s="3182">
        <f>C23*C30</f>
        <v>0</v>
      </c>
      <c r="D29" s="3183">
        <f>D23*C30</f>
        <v>0</v>
      </c>
      <c r="E29" s="3184">
        <f>E23*C30</f>
        <v>0</v>
      </c>
      <c r="F29" s="3185"/>
      <c r="G29" s="3277"/>
      <c r="H29" s="3238"/>
      <c r="I29" s="3239"/>
      <c r="J29" s="3274"/>
      <c r="K29" s="3274"/>
      <c r="L29" s="3274"/>
      <c r="M29" s="3274"/>
      <c r="N29" s="3274"/>
      <c r="O29" s="3274"/>
      <c r="P29" s="3274"/>
      <c r="Q29" s="3274"/>
      <c r="R29" s="3274"/>
      <c r="S29" s="3274"/>
      <c r="T29" s="3274"/>
      <c r="U29" s="3274"/>
      <c r="V29" s="3283"/>
      <c r="W29" s="3284"/>
    </row>
    <row r="30" spans="1:23" s="3144" customFormat="1" ht="13.15" customHeight="1" thickBot="1">
      <c r="A30" s="3186"/>
      <c r="B30" s="3187" t="s">
        <v>2920</v>
      </c>
      <c r="C30" s="3191">
        <f>E18</f>
        <v>0</v>
      </c>
      <c r="D30" s="3192"/>
      <c r="E30" s="3170"/>
      <c r="F30" s="3189"/>
      <c r="G30" s="3277"/>
      <c r="H30" s="3284"/>
      <c r="I30" s="3283"/>
      <c r="J30" s="3274"/>
      <c r="K30" s="3274"/>
      <c r="L30" s="3274"/>
      <c r="M30" s="3274"/>
      <c r="N30" s="3274"/>
      <c r="O30" s="3274"/>
      <c r="P30" s="3274"/>
      <c r="Q30" s="3274"/>
      <c r="R30" s="3274"/>
      <c r="S30" s="3274"/>
      <c r="T30" s="3274"/>
      <c r="U30" s="3236"/>
      <c r="V30" s="3239"/>
      <c r="W30" s="3238"/>
    </row>
    <row r="31" spans="1:23" s="3190" customFormat="1" ht="13.15" customHeight="1">
      <c r="A31" s="3186"/>
      <c r="B31" s="3187"/>
      <c r="C31" s="3220"/>
      <c r="D31" s="3192"/>
      <c r="E31" s="3170"/>
      <c r="F31" s="3189"/>
      <c r="G31" s="3276"/>
      <c r="H31" s="3284"/>
      <c r="I31" s="3283"/>
      <c r="J31" s="3233" t="s">
        <v>2927</v>
      </c>
      <c r="K31" s="3234"/>
      <c r="L31" s="3234"/>
      <c r="M31" s="3234"/>
      <c r="N31" s="3234"/>
      <c r="O31" s="3234"/>
      <c r="P31" s="3234"/>
      <c r="Q31" s="3234"/>
      <c r="R31" s="3235"/>
      <c r="S31" s="3274"/>
      <c r="T31" s="3236"/>
      <c r="U31" s="3236"/>
      <c r="V31" s="3283"/>
      <c r="W31" s="3284"/>
    </row>
    <row r="32" spans="1:23" s="3190" customFormat="1" ht="13.15" customHeight="1">
      <c r="A32" s="3181">
        <v>4</v>
      </c>
      <c r="B32" s="3153" t="s">
        <v>2928</v>
      </c>
      <c r="C32" s="3182">
        <f>C23-C26-C29</f>
        <v>0</v>
      </c>
      <c r="D32" s="3183">
        <f>D23-D26-D29</f>
        <v>0</v>
      </c>
      <c r="E32" s="3184">
        <f>E23-E26-E29</f>
        <v>0</v>
      </c>
      <c r="F32" s="3185"/>
      <c r="G32" s="3276"/>
      <c r="H32" s="3238"/>
      <c r="I32" s="3239"/>
      <c r="J32" s="3597" t="s">
        <v>2929</v>
      </c>
      <c r="K32" s="3598"/>
      <c r="L32" s="3240" t="s">
        <v>2930</v>
      </c>
      <c r="M32" s="3240" t="s">
        <v>2833</v>
      </c>
      <c r="N32" s="3240" t="s">
        <v>2834</v>
      </c>
      <c r="O32" s="3240" t="s">
        <v>2835</v>
      </c>
      <c r="P32" s="3240" t="s">
        <v>2836</v>
      </c>
      <c r="Q32" s="3241" t="s">
        <v>2931</v>
      </c>
      <c r="R32" s="3303" t="s">
        <v>2932</v>
      </c>
      <c r="S32" s="3274"/>
      <c r="T32" s="3236"/>
      <c r="U32" s="3236"/>
      <c r="V32" s="3283"/>
      <c r="W32" s="3284"/>
    </row>
    <row r="33" spans="1:23" s="3144" customFormat="1" ht="13.15" customHeight="1">
      <c r="A33" s="3181"/>
      <c r="B33" s="3153"/>
      <c r="C33" s="3182"/>
      <c r="D33" s="3193"/>
      <c r="E33" s="3194"/>
      <c r="F33" s="3185"/>
      <c r="G33" s="3276"/>
      <c r="H33" s="3284"/>
      <c r="I33" s="3283"/>
      <c r="J33" s="3599" t="s">
        <v>2933</v>
      </c>
      <c r="K33" s="3600"/>
      <c r="L33" s="3243"/>
      <c r="M33" s="3243"/>
      <c r="N33" s="3243"/>
      <c r="O33" s="3243"/>
      <c r="P33" s="3243"/>
      <c r="Q33" s="3244"/>
      <c r="R33" s="3304">
        <f>SUM(L33:Q33)</f>
        <v>0</v>
      </c>
      <c r="S33" s="3274"/>
      <c r="T33" s="3236"/>
      <c r="U33" s="3236"/>
      <c r="V33" s="3239"/>
      <c r="W33" s="3238"/>
    </row>
    <row r="34" spans="1:23" s="3144" customFormat="1" ht="13.15" customHeight="1">
      <c r="A34" s="3181">
        <v>5</v>
      </c>
      <c r="B34" s="3153" t="s">
        <v>2934</v>
      </c>
      <c r="C34" s="3221"/>
      <c r="D34" s="3222"/>
      <c r="E34" s="3223"/>
      <c r="F34" s="3185"/>
      <c r="G34" s="3276"/>
      <c r="H34" s="3284"/>
      <c r="I34" s="3283"/>
      <c r="J34" s="3599" t="s">
        <v>2935</v>
      </c>
      <c r="K34" s="3600"/>
      <c r="L34" s="3246"/>
      <c r="M34" s="3246"/>
      <c r="N34" s="3246"/>
      <c r="O34" s="3246"/>
      <c r="P34" s="3246"/>
      <c r="Q34" s="3247"/>
      <c r="R34" s="3305">
        <f>SUM(L34:Q34)</f>
        <v>0</v>
      </c>
      <c r="S34" s="3274"/>
      <c r="T34" s="3236"/>
      <c r="U34" s="3236" t="e">
        <f>ROUND(R35*10000/365/R33,1)</f>
        <v>#DIV/0!</v>
      </c>
      <c r="V34" s="3239"/>
      <c r="W34" s="3238"/>
    </row>
    <row r="35" spans="1:23" s="3144" customFormat="1" ht="13.15" customHeight="1">
      <c r="A35" s="3181">
        <v>6</v>
      </c>
      <c r="B35" s="3153" t="s">
        <v>2936</v>
      </c>
      <c r="C35" s="3224"/>
      <c r="D35" s="3225"/>
      <c r="E35" s="3226"/>
      <c r="F35" s="3185"/>
      <c r="G35" s="3306"/>
      <c r="H35" s="3238"/>
      <c r="I35" s="3283"/>
      <c r="J35" s="3249" t="s">
        <v>2937</v>
      </c>
      <c r="K35" s="3250"/>
      <c r="L35" s="3250"/>
      <c r="M35" s="3251"/>
      <c r="N35" s="3251"/>
      <c r="O35" s="3251"/>
      <c r="P35" s="3251"/>
      <c r="Q35" s="3251"/>
      <c r="R35" s="3307">
        <f>R40+R41+R43</f>
        <v>0</v>
      </c>
      <c r="S35" s="3274"/>
      <c r="T35" s="3236" t="s">
        <v>2938</v>
      </c>
      <c r="U35" s="3236"/>
      <c r="V35" s="3239"/>
      <c r="W35" s="3238"/>
    </row>
    <row r="36" spans="1:23" s="3144" customFormat="1" ht="13.15" customHeight="1" thickBot="1">
      <c r="A36" s="3181">
        <v>7</v>
      </c>
      <c r="B36" s="3195" t="s">
        <v>2939</v>
      </c>
      <c r="C36" s="3227"/>
      <c r="D36" s="3228"/>
      <c r="E36" s="3229"/>
      <c r="F36" s="3196">
        <f>C36+D36+E36</f>
        <v>0</v>
      </c>
      <c r="G36" s="3276"/>
      <c r="H36" s="3238"/>
      <c r="I36" s="3239"/>
      <c r="J36" s="3604">
        <v>1</v>
      </c>
      <c r="K36" s="3605" t="s">
        <v>2940</v>
      </c>
      <c r="L36" s="3253"/>
      <c r="M36" s="3254"/>
      <c r="N36" s="3254"/>
      <c r="O36" s="3254"/>
      <c r="P36" s="3254"/>
      <c r="Q36" s="3254"/>
      <c r="R36" s="3245" t="s">
        <v>2888</v>
      </c>
      <c r="S36" s="3274"/>
      <c r="T36" s="3236" t="s">
        <v>2941</v>
      </c>
      <c r="U36" s="3236"/>
      <c r="V36" s="3239"/>
      <c r="W36" s="3238"/>
    </row>
    <row r="37" spans="1:23" s="3144" customFormat="1" ht="13.15" customHeight="1">
      <c r="A37" s="3181"/>
      <c r="B37" s="3153"/>
      <c r="C37" s="3153"/>
      <c r="D37" s="3153"/>
      <c r="E37" s="3153"/>
      <c r="F37" s="3185"/>
      <c r="G37" s="3276"/>
      <c r="H37" s="3238"/>
      <c r="I37" s="3239"/>
      <c r="J37" s="3604"/>
      <c r="K37" s="3606"/>
      <c r="L37" s="3266"/>
      <c r="M37" s="3267"/>
      <c r="N37" s="3205"/>
      <c r="O37" s="3268"/>
      <c r="P37" s="3268"/>
      <c r="Q37" s="3210"/>
      <c r="R37" s="3308"/>
      <c r="S37" s="3274"/>
      <c r="T37" s="3236" t="s">
        <v>2942</v>
      </c>
      <c r="U37" s="3236"/>
      <c r="V37" s="3239"/>
      <c r="W37" s="3238"/>
    </row>
    <row r="38" spans="1:23" s="3144" customFormat="1" ht="13.15" customHeight="1">
      <c r="A38" s="3181">
        <v>8</v>
      </c>
      <c r="B38" s="3153"/>
      <c r="C38" s="3161" t="e">
        <f>ROUND(C32*(1-((1+C35)/(1+C34))^C36)/(C34-C35),0)</f>
        <v>#DIV/0!</v>
      </c>
      <c r="D38" s="3161">
        <f>IF(D23=0,0,ROUND(D32*(1-((1+D35)/(1+D34))^D36)/(D34-D35),0))</f>
        <v>0</v>
      </c>
      <c r="E38" s="3161">
        <f>IF(E23=0,0,ROUND(E32*(1-((1+E35)/(1+E34))^E36)/(E34-E35),0))</f>
        <v>0</v>
      </c>
      <c r="F38" s="3185"/>
      <c r="G38" s="3276"/>
      <c r="H38" s="3238"/>
      <c r="I38" s="3239"/>
      <c r="J38" s="3604"/>
      <c r="K38" s="3606"/>
      <c r="L38" s="3266"/>
      <c r="M38" s="3267"/>
      <c r="N38" s="3205"/>
      <c r="O38" s="3268"/>
      <c r="P38" s="3268"/>
      <c r="Q38" s="3210"/>
      <c r="R38" s="3308"/>
      <c r="S38" s="3274"/>
      <c r="T38" s="3236" t="s">
        <v>2864</v>
      </c>
      <c r="U38" s="3236"/>
      <c r="V38" s="3239"/>
      <c r="W38" s="3238"/>
    </row>
    <row r="39" spans="1:23" s="3144" customFormat="1" ht="13.15" customHeight="1">
      <c r="A39" s="3181">
        <v>9</v>
      </c>
      <c r="B39" s="3153" t="s">
        <v>2943</v>
      </c>
      <c r="C39" s="3166" t="e">
        <f>C38</f>
        <v>#DIV/0!</v>
      </c>
      <c r="D39" s="3153">
        <f>D38/(1+D34)^C36</f>
        <v>0</v>
      </c>
      <c r="E39" s="3153">
        <f>E38/(1+E34)^(C36+D36)</f>
        <v>0</v>
      </c>
      <c r="F39" s="3185"/>
      <c r="G39" s="3309"/>
      <c r="H39" s="3238"/>
      <c r="I39" s="3239"/>
      <c r="J39" s="3604"/>
      <c r="K39" s="3606"/>
      <c r="L39" s="3266"/>
      <c r="M39" s="3267"/>
      <c r="N39" s="3205"/>
      <c r="O39" s="3268"/>
      <c r="P39" s="3268"/>
      <c r="Q39" s="3210"/>
      <c r="R39" s="3308"/>
      <c r="S39" s="3274"/>
      <c r="T39" s="3236"/>
      <c r="U39" s="3236"/>
      <c r="V39" s="3239"/>
      <c r="W39" s="3238"/>
    </row>
    <row r="40" spans="1:23" s="3144" customFormat="1" ht="13.15" customHeight="1">
      <c r="A40" s="3197">
        <v>10</v>
      </c>
      <c r="B40" s="3153" t="s">
        <v>2944</v>
      </c>
      <c r="C40" s="3198" t="e">
        <f>C39+D39+E39</f>
        <v>#DIV/0!</v>
      </c>
      <c r="D40" s="3199"/>
      <c r="E40" s="3199"/>
      <c r="F40" s="3200"/>
      <c r="G40" s="3276"/>
      <c r="H40" s="3238"/>
      <c r="I40" s="3239"/>
      <c r="J40" s="3604"/>
      <c r="K40" s="3607"/>
      <c r="L40" s="3262" t="s">
        <v>2945</v>
      </c>
      <c r="M40" s="3263"/>
      <c r="N40" s="3263"/>
      <c r="O40" s="3264"/>
      <c r="P40" s="3264"/>
      <c r="Q40" s="3265"/>
      <c r="R40" s="3242">
        <f>SUM(R37:R39)</f>
        <v>0</v>
      </c>
      <c r="S40" s="3274"/>
      <c r="T40" s="3236"/>
      <c r="U40" s="3236"/>
      <c r="V40" s="3239"/>
      <c r="W40" s="3238"/>
    </row>
    <row r="41" spans="1:23" s="3144" customFormat="1" ht="13.15" customHeight="1" thickBot="1">
      <c r="A41" s="3201">
        <v>11</v>
      </c>
      <c r="B41" s="3202" t="s">
        <v>2946</v>
      </c>
      <c r="C41" s="3202" t="e">
        <f>ROUND(C40*10000/B4,0)</f>
        <v>#DIV/0!</v>
      </c>
      <c r="D41" s="3203"/>
      <c r="E41" s="3203"/>
      <c r="F41" s="3204"/>
      <c r="G41" s="3310"/>
      <c r="H41" s="3238"/>
      <c r="I41" s="3239"/>
      <c r="J41" s="3278">
        <v>2</v>
      </c>
      <c r="K41" s="3279" t="s">
        <v>2947</v>
      </c>
      <c r="L41" s="3280"/>
      <c r="M41" s="3280"/>
      <c r="N41" s="3280"/>
      <c r="O41" s="3280"/>
      <c r="P41" s="3281"/>
      <c r="Q41" s="3282"/>
      <c r="R41" s="3272">
        <f>ROUND(R40*Q41,0)</f>
        <v>0</v>
      </c>
      <c r="S41" s="3274"/>
      <c r="T41" s="3236"/>
      <c r="U41" s="3290"/>
      <c r="V41" s="3239"/>
      <c r="W41" s="3238"/>
    </row>
    <row r="42" spans="1:23" s="3144" customFormat="1" ht="13.15" customHeight="1">
      <c r="G42" s="3310"/>
      <c r="H42" s="3238"/>
      <c r="I42" s="3239"/>
      <c r="J42" s="3614">
        <v>3</v>
      </c>
      <c r="K42" s="3285" t="s">
        <v>2948</v>
      </c>
      <c r="L42" s="3286"/>
      <c r="M42" s="3287"/>
      <c r="N42" s="3288" t="s">
        <v>2949</v>
      </c>
      <c r="O42" s="3288" t="s">
        <v>2950</v>
      </c>
      <c r="P42" s="3289" t="s">
        <v>2951</v>
      </c>
      <c r="Q42" s="3289" t="s">
        <v>2952</v>
      </c>
      <c r="R42" s="3245" t="s">
        <v>2855</v>
      </c>
      <c r="S42" s="3290"/>
      <c r="T42" s="3290"/>
      <c r="U42" s="3236"/>
      <c r="V42" s="3239"/>
      <c r="W42" s="3238"/>
    </row>
    <row r="43" spans="1:23" ht="13.15" customHeight="1">
      <c r="A43" s="3144"/>
      <c r="B43" s="3144"/>
      <c r="C43" s="3144"/>
      <c r="D43" s="3144"/>
      <c r="E43" s="3144"/>
      <c r="F43" s="3144"/>
      <c r="I43" s="3231"/>
      <c r="J43" s="3615"/>
      <c r="K43" s="3291"/>
      <c r="L43" s="3292"/>
      <c r="M43" s="3293"/>
      <c r="N43" s="3267"/>
      <c r="O43" s="3267"/>
      <c r="P43" s="3267"/>
      <c r="Q43" s="3282"/>
      <c r="R43" s="3272">
        <f>ROUND(O43*N43*P43*(1-Q43)/10000,0)</f>
        <v>0</v>
      </c>
      <c r="S43" s="3274"/>
      <c r="T43" s="3236"/>
      <c r="V43" s="3312"/>
      <c r="W43" s="3232"/>
    </row>
    <row r="44" spans="1:23" ht="13.15" customHeight="1" thickBot="1">
      <c r="J44" s="3296">
        <v>6</v>
      </c>
      <c r="K44" s="3297" t="s">
        <v>2953</v>
      </c>
      <c r="L44" s="3313" t="s">
        <v>2954</v>
      </c>
      <c r="M44" s="3299"/>
      <c r="N44" s="3313" t="s">
        <v>2955</v>
      </c>
      <c r="O44" s="3299"/>
      <c r="P44" s="3313" t="s">
        <v>2956</v>
      </c>
      <c r="Q44" s="3301">
        <v>1.4999999999999999E-2</v>
      </c>
      <c r="R44" s="330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2151</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2152</v>
      </c>
      <c r="B3" s="250" t="e">
        <f>B24</f>
        <v>#DIV/0!</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2154</v>
      </c>
      <c r="C4" s="3619" t="s">
        <v>2155</v>
      </c>
      <c r="D4" s="3620"/>
      <c r="E4" s="3620"/>
      <c r="F4" s="3620"/>
      <c r="G4" s="3620"/>
      <c r="H4" s="3620"/>
      <c r="I4" s="3620"/>
      <c r="J4" s="3620"/>
      <c r="K4" s="3620"/>
      <c r="L4" s="3620"/>
      <c r="M4" s="3620"/>
      <c r="N4" s="3620"/>
      <c r="O4" s="3620"/>
      <c r="P4" s="3620"/>
      <c r="Q4" s="3620"/>
      <c r="R4" s="3620"/>
      <c r="S4" s="3621"/>
      <c r="T4" s="575" t="s">
        <v>2156</v>
      </c>
      <c r="U4" s="999"/>
      <c r="V4" s="999"/>
      <c r="X4" s="999"/>
      <c r="Y4" s="999"/>
    </row>
    <row r="5" spans="1:44" s="587" customFormat="1">
      <c r="A5" s="1003"/>
      <c r="B5" s="583" t="s">
        <v>2157</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2158</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2164</v>
      </c>
      <c r="B20" s="1523" t="s">
        <v>2165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2166</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2167</v>
      </c>
      <c r="B23" s="224">
        <f>IF(F23="——",IF(C23="万元",T25,S25),IF(C23="万元",T25-H23,S25-H23))</f>
        <v>0</v>
      </c>
      <c r="C23" s="1525" t="str">
        <f>'数据-取费表'!B3</f>
        <v>万元</v>
      </c>
      <c r="D23" s="37"/>
      <c r="E23" s="37"/>
      <c r="F23" s="1526" t="s">
        <v>1183</v>
      </c>
      <c r="G23" s="1296"/>
      <c r="H23" s="575" t="e">
        <f ca="1">SUMIF(INDIRECT("'"&amp;J23&amp;"'"&amp;"!A:A"),"承租人权益价值",INDIRECT("'"&amp;J23&amp;"'"&amp;"!c:c"))</f>
        <v>#REF!</v>
      </c>
      <c r="I23" s="575" t="str">
        <f>C2</f>
        <v>万元</v>
      </c>
      <c r="J23" s="1527"/>
      <c r="K23" s="37"/>
      <c r="L23" s="37"/>
      <c r="M23" s="37"/>
      <c r="N23" s="37"/>
      <c r="O23" s="37"/>
      <c r="P23" s="37"/>
      <c r="Q23" s="37"/>
      <c r="R23" s="645"/>
      <c r="S23" s="31"/>
      <c r="T23" s="31"/>
      <c r="U23" s="999"/>
      <c r="V23" s="1000"/>
      <c r="W23" s="662"/>
      <c r="X23" s="662"/>
      <c r="Y23" s="662"/>
      <c r="Z23" s="662"/>
    </row>
    <row r="24" spans="1:45" ht="15.75">
      <c r="A24" s="1525" t="s">
        <v>2168</v>
      </c>
      <c r="B24" s="224" t="e">
        <f>ROUND(B23*10000/B25,0)</f>
        <v>#DIV/0!</v>
      </c>
      <c r="C24" s="864"/>
      <c r="D24" s="37"/>
      <c r="E24" s="37"/>
      <c r="F24" s="37"/>
      <c r="G24" s="37"/>
      <c r="H24" s="37"/>
      <c r="I24" s="37"/>
      <c r="J24" s="37"/>
      <c r="K24" s="37"/>
      <c r="L24" s="37"/>
      <c r="M24" s="37"/>
      <c r="N24" s="37"/>
      <c r="O24" s="37"/>
      <c r="P24" s="37"/>
      <c r="Q24" s="37"/>
      <c r="R24" s="645"/>
      <c r="S24" s="13" t="s">
        <v>2169</v>
      </c>
      <c r="T24" s="1302" t="s">
        <v>2170</v>
      </c>
      <c r="U24" s="2215" t="s">
        <v>2171</v>
      </c>
      <c r="V24" s="2958"/>
      <c r="W24" s="2959" t="s">
        <v>2172</v>
      </c>
      <c r="X24" s="2215" t="s">
        <v>2173</v>
      </c>
      <c r="Y24" s="2958"/>
      <c r="Z24" s="2960" t="s">
        <v>2172</v>
      </c>
    </row>
    <row r="25" spans="1:45">
      <c r="A25" s="250" t="s">
        <v>2174</v>
      </c>
      <c r="B25" s="13">
        <f>SUM(B27:B10000)</f>
        <v>0</v>
      </c>
      <c r="C25" s="3616" t="s">
        <v>45</v>
      </c>
      <c r="D25" s="3617"/>
      <c r="E25" s="3617"/>
      <c r="F25" s="3617"/>
      <c r="G25" s="3617"/>
      <c r="H25" s="3617"/>
      <c r="I25" s="3617"/>
      <c r="J25" s="3617"/>
      <c r="K25" s="3617"/>
      <c r="L25" s="3617"/>
      <c r="M25" s="3617"/>
      <c r="N25" s="3617"/>
      <c r="O25" s="3617"/>
      <c r="P25" s="3617"/>
      <c r="Q25" s="3618"/>
      <c r="R25" s="597" t="e">
        <f>IF(C23="万元",ROUND(T25*10000/B25,0),ROUND(S25/B25,0))</f>
        <v>#DIV/0!</v>
      </c>
      <c r="S25" s="13">
        <f>SUM(S27:S10000)</f>
        <v>0</v>
      </c>
      <c r="T25" s="13">
        <f>SUM(T27:T10000)</f>
        <v>0</v>
      </c>
      <c r="U25" s="17">
        <f>SUM(U27:U10000)</f>
        <v>0</v>
      </c>
      <c r="V25" s="17">
        <f>SUM(V27:V10000)</f>
        <v>0</v>
      </c>
      <c r="W25" s="2962"/>
      <c r="X25" s="17">
        <f>SUM(X27:X10000)</f>
        <v>0</v>
      </c>
      <c r="Y25" s="17">
        <f>SUM(Y27:Y10000)</f>
        <v>0</v>
      </c>
      <c r="Z25" s="1528"/>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4" t="s">
        <v>2180</v>
      </c>
      <c r="V26" s="684" t="s">
        <v>2181</v>
      </c>
      <c r="W26" s="10" t="s">
        <v>2182</v>
      </c>
      <c r="X26" s="684" t="s">
        <v>2180</v>
      </c>
      <c r="Y26" s="684" t="s">
        <v>2181</v>
      </c>
      <c r="Z26" s="10" t="s">
        <v>2182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2183</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61">
        <f>ROUND(W27*B27,0)</f>
        <v>0</v>
      </c>
      <c r="V27" s="2961">
        <f>ROUND(W27*B27/10000,0)</f>
        <v>0</v>
      </c>
      <c r="W27" s="997"/>
      <c r="X27" s="2961">
        <f>ROUND(Z27*B27,0)</f>
        <v>0</v>
      </c>
      <c r="Y27" s="296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61">
        <f t="shared" ref="U28:U91" si="22">ROUND(W28*B28,0)</f>
        <v>0</v>
      </c>
      <c r="V28" s="2961">
        <f t="shared" ref="V28:V91" si="23">ROUND(W28*B28/10000,0)</f>
        <v>0</v>
      </c>
      <c r="W28" s="998"/>
      <c r="X28" s="2961">
        <f t="shared" ref="X28:X91" si="24">ROUND(Z28*B28,0)</f>
        <v>0</v>
      </c>
      <c r="Y28" s="296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61">
        <f t="shared" si="22"/>
        <v>0</v>
      </c>
      <c r="V29" s="2961">
        <f t="shared" si="23"/>
        <v>0</v>
      </c>
      <c r="W29" s="998"/>
      <c r="X29" s="2961">
        <f t="shared" si="24"/>
        <v>0</v>
      </c>
      <c r="Y29" s="296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61">
        <f t="shared" si="22"/>
        <v>0</v>
      </c>
      <c r="V30" s="2961">
        <f t="shared" si="23"/>
        <v>0</v>
      </c>
      <c r="W30" s="998"/>
      <c r="X30" s="2961">
        <f t="shared" si="24"/>
        <v>0</v>
      </c>
      <c r="Y30" s="296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61">
        <f t="shared" si="22"/>
        <v>0</v>
      </c>
      <c r="V31" s="2961">
        <f t="shared" si="23"/>
        <v>0</v>
      </c>
      <c r="W31" s="998"/>
      <c r="X31" s="2961">
        <f t="shared" si="24"/>
        <v>0</v>
      </c>
      <c r="Y31" s="296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61">
        <f t="shared" si="22"/>
        <v>0</v>
      </c>
      <c r="V32" s="2961">
        <f t="shared" si="23"/>
        <v>0</v>
      </c>
      <c r="W32" s="998"/>
      <c r="X32" s="2961">
        <f t="shared" si="24"/>
        <v>0</v>
      </c>
      <c r="Y32" s="296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61">
        <f t="shared" si="22"/>
        <v>0</v>
      </c>
      <c r="V33" s="2961">
        <f t="shared" si="23"/>
        <v>0</v>
      </c>
      <c r="W33" s="998"/>
      <c r="X33" s="2961">
        <f t="shared" si="24"/>
        <v>0</v>
      </c>
      <c r="Y33" s="296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61">
        <f t="shared" si="22"/>
        <v>0</v>
      </c>
      <c r="V34" s="2961">
        <f t="shared" si="23"/>
        <v>0</v>
      </c>
      <c r="W34" s="998"/>
      <c r="X34" s="2961">
        <f t="shared" si="24"/>
        <v>0</v>
      </c>
      <c r="Y34" s="296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61">
        <f t="shared" si="22"/>
        <v>0</v>
      </c>
      <c r="V35" s="2961">
        <f t="shared" si="23"/>
        <v>0</v>
      </c>
      <c r="W35" s="998"/>
      <c r="X35" s="2961">
        <f t="shared" si="24"/>
        <v>0</v>
      </c>
      <c r="Y35" s="296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61">
        <f t="shared" si="22"/>
        <v>0</v>
      </c>
      <c r="V36" s="2961">
        <f t="shared" si="23"/>
        <v>0</v>
      </c>
      <c r="W36" s="998"/>
      <c r="X36" s="2961">
        <f t="shared" si="24"/>
        <v>0</v>
      </c>
      <c r="Y36" s="296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61">
        <f t="shared" si="22"/>
        <v>0</v>
      </c>
      <c r="V37" s="2961">
        <f t="shared" si="23"/>
        <v>0</v>
      </c>
      <c r="W37" s="998"/>
      <c r="X37" s="2961">
        <f t="shared" si="24"/>
        <v>0</v>
      </c>
      <c r="Y37" s="296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61">
        <f t="shared" si="22"/>
        <v>0</v>
      </c>
      <c r="V38" s="2961">
        <f t="shared" si="23"/>
        <v>0</v>
      </c>
      <c r="W38" s="998"/>
      <c r="X38" s="2961">
        <f t="shared" si="24"/>
        <v>0</v>
      </c>
      <c r="Y38" s="296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61">
        <f t="shared" si="22"/>
        <v>0</v>
      </c>
      <c r="V39" s="2961">
        <f t="shared" si="23"/>
        <v>0</v>
      </c>
      <c r="W39" s="998"/>
      <c r="X39" s="2961">
        <f t="shared" si="24"/>
        <v>0</v>
      </c>
      <c r="Y39" s="296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61">
        <f t="shared" si="22"/>
        <v>0</v>
      </c>
      <c r="V40" s="2961">
        <f t="shared" si="23"/>
        <v>0</v>
      </c>
      <c r="W40" s="998"/>
      <c r="X40" s="2961">
        <f t="shared" si="24"/>
        <v>0</v>
      </c>
      <c r="Y40" s="296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61">
        <f t="shared" si="22"/>
        <v>0</v>
      </c>
      <c r="V41" s="2961">
        <f t="shared" si="23"/>
        <v>0</v>
      </c>
      <c r="W41" s="998"/>
      <c r="X41" s="2961">
        <f t="shared" si="24"/>
        <v>0</v>
      </c>
      <c r="Y41" s="296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61">
        <f t="shared" si="22"/>
        <v>0</v>
      </c>
      <c r="V42" s="2961">
        <f t="shared" si="23"/>
        <v>0</v>
      </c>
      <c r="W42" s="998"/>
      <c r="X42" s="2961">
        <f t="shared" si="24"/>
        <v>0</v>
      </c>
      <c r="Y42" s="296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61">
        <f t="shared" si="22"/>
        <v>0</v>
      </c>
      <c r="V43" s="2961">
        <f t="shared" si="23"/>
        <v>0</v>
      </c>
      <c r="W43" s="998"/>
      <c r="X43" s="2961">
        <f t="shared" si="24"/>
        <v>0</v>
      </c>
      <c r="Y43" s="296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61">
        <f t="shared" si="22"/>
        <v>0</v>
      </c>
      <c r="V44" s="2961">
        <f t="shared" si="23"/>
        <v>0</v>
      </c>
      <c r="W44" s="998"/>
      <c r="X44" s="2961">
        <f t="shared" si="24"/>
        <v>0</v>
      </c>
      <c r="Y44" s="296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61">
        <f t="shared" si="22"/>
        <v>0</v>
      </c>
      <c r="V45" s="2961">
        <f t="shared" si="23"/>
        <v>0</v>
      </c>
      <c r="W45" s="998"/>
      <c r="X45" s="2961">
        <f t="shared" si="24"/>
        <v>0</v>
      </c>
      <c r="Y45" s="296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61">
        <f t="shared" si="22"/>
        <v>0</v>
      </c>
      <c r="V46" s="2961">
        <f t="shared" si="23"/>
        <v>0</v>
      </c>
      <c r="W46" s="998"/>
      <c r="X46" s="2961">
        <f t="shared" si="24"/>
        <v>0</v>
      </c>
      <c r="Y46" s="296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61">
        <f t="shared" si="22"/>
        <v>0</v>
      </c>
      <c r="V47" s="2961">
        <f t="shared" si="23"/>
        <v>0</v>
      </c>
      <c r="W47" s="998"/>
      <c r="X47" s="2961">
        <f t="shared" si="24"/>
        <v>0</v>
      </c>
      <c r="Y47" s="296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61">
        <f t="shared" si="22"/>
        <v>0</v>
      </c>
      <c r="V48" s="2961">
        <f t="shared" si="23"/>
        <v>0</v>
      </c>
      <c r="W48" s="998"/>
      <c r="X48" s="2961">
        <f t="shared" si="24"/>
        <v>0</v>
      </c>
      <c r="Y48" s="296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61">
        <f t="shared" si="22"/>
        <v>0</v>
      </c>
      <c r="V49" s="2961">
        <f t="shared" si="23"/>
        <v>0</v>
      </c>
      <c r="W49" s="998"/>
      <c r="X49" s="2961">
        <f t="shared" si="24"/>
        <v>0</v>
      </c>
      <c r="Y49" s="296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61">
        <f t="shared" si="22"/>
        <v>0</v>
      </c>
      <c r="V50" s="2961">
        <f t="shared" si="23"/>
        <v>0</v>
      </c>
      <c r="W50" s="998"/>
      <c r="X50" s="2961">
        <f t="shared" si="24"/>
        <v>0</v>
      </c>
      <c r="Y50" s="296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61">
        <f t="shared" si="22"/>
        <v>0</v>
      </c>
      <c r="V51" s="2961">
        <f t="shared" si="23"/>
        <v>0</v>
      </c>
      <c r="W51" s="998"/>
      <c r="X51" s="2961">
        <f t="shared" si="24"/>
        <v>0</v>
      </c>
      <c r="Y51" s="296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61">
        <f t="shared" si="22"/>
        <v>0</v>
      </c>
      <c r="V52" s="2961">
        <f t="shared" si="23"/>
        <v>0</v>
      </c>
      <c r="W52" s="998"/>
      <c r="X52" s="2961">
        <f t="shared" si="24"/>
        <v>0</v>
      </c>
      <c r="Y52" s="296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61">
        <f t="shared" si="22"/>
        <v>0</v>
      </c>
      <c r="V53" s="2961">
        <f t="shared" si="23"/>
        <v>0</v>
      </c>
      <c r="W53" s="998"/>
      <c r="X53" s="2961">
        <f t="shared" si="24"/>
        <v>0</v>
      </c>
      <c r="Y53" s="296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61">
        <f t="shared" si="22"/>
        <v>0</v>
      </c>
      <c r="V54" s="2961">
        <f t="shared" si="23"/>
        <v>0</v>
      </c>
      <c r="W54" s="998"/>
      <c r="X54" s="2961">
        <f t="shared" si="24"/>
        <v>0</v>
      </c>
      <c r="Y54" s="296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61">
        <f t="shared" si="22"/>
        <v>0</v>
      </c>
      <c r="V55" s="2961">
        <f t="shared" si="23"/>
        <v>0</v>
      </c>
      <c r="W55" s="998"/>
      <c r="X55" s="2961">
        <f t="shared" si="24"/>
        <v>0</v>
      </c>
      <c r="Y55" s="296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61">
        <f t="shared" si="22"/>
        <v>0</v>
      </c>
      <c r="V56" s="2961">
        <f t="shared" si="23"/>
        <v>0</v>
      </c>
      <c r="W56" s="998"/>
      <c r="X56" s="2961">
        <f t="shared" si="24"/>
        <v>0</v>
      </c>
      <c r="Y56" s="296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61">
        <f t="shared" si="22"/>
        <v>0</v>
      </c>
      <c r="V57" s="2961">
        <f t="shared" si="23"/>
        <v>0</v>
      </c>
      <c r="W57" s="998"/>
      <c r="X57" s="2961">
        <f t="shared" si="24"/>
        <v>0</v>
      </c>
      <c r="Y57" s="296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61">
        <f t="shared" si="22"/>
        <v>0</v>
      </c>
      <c r="V58" s="2961">
        <f t="shared" si="23"/>
        <v>0</v>
      </c>
      <c r="W58" s="998"/>
      <c r="X58" s="2961">
        <f t="shared" si="24"/>
        <v>0</v>
      </c>
      <c r="Y58" s="296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61">
        <f t="shared" si="22"/>
        <v>0</v>
      </c>
      <c r="V59" s="2961">
        <f t="shared" si="23"/>
        <v>0</v>
      </c>
      <c r="W59" s="998"/>
      <c r="X59" s="2961">
        <f t="shared" si="24"/>
        <v>0</v>
      </c>
      <c r="Y59" s="296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61">
        <f t="shared" si="22"/>
        <v>0</v>
      </c>
      <c r="V60" s="2961">
        <f t="shared" si="23"/>
        <v>0</v>
      </c>
      <c r="W60" s="998"/>
      <c r="X60" s="2961">
        <f t="shared" si="24"/>
        <v>0</v>
      </c>
      <c r="Y60" s="296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61">
        <f t="shared" si="22"/>
        <v>0</v>
      </c>
      <c r="V61" s="2961">
        <f t="shared" si="23"/>
        <v>0</v>
      </c>
      <c r="W61" s="998"/>
      <c r="X61" s="2961">
        <f t="shared" si="24"/>
        <v>0</v>
      </c>
      <c r="Y61" s="296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61">
        <f t="shared" si="22"/>
        <v>0</v>
      </c>
      <c r="V62" s="2961">
        <f t="shared" si="23"/>
        <v>0</v>
      </c>
      <c r="W62" s="998"/>
      <c r="X62" s="2961">
        <f t="shared" si="24"/>
        <v>0</v>
      </c>
      <c r="Y62" s="296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61">
        <f t="shared" si="22"/>
        <v>0</v>
      </c>
      <c r="V63" s="2961">
        <f t="shared" si="23"/>
        <v>0</v>
      </c>
      <c r="W63" s="998"/>
      <c r="X63" s="2961">
        <f t="shared" si="24"/>
        <v>0</v>
      </c>
      <c r="Y63" s="296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61">
        <f t="shared" si="22"/>
        <v>0</v>
      </c>
      <c r="V64" s="2961">
        <f t="shared" si="23"/>
        <v>0</v>
      </c>
      <c r="W64" s="998"/>
      <c r="X64" s="2961">
        <f t="shared" si="24"/>
        <v>0</v>
      </c>
      <c r="Y64" s="296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61">
        <f t="shared" si="22"/>
        <v>0</v>
      </c>
      <c r="V65" s="2961">
        <f t="shared" si="23"/>
        <v>0</v>
      </c>
      <c r="W65" s="998"/>
      <c r="X65" s="2961">
        <f t="shared" si="24"/>
        <v>0</v>
      </c>
      <c r="Y65" s="296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61">
        <f t="shared" si="22"/>
        <v>0</v>
      </c>
      <c r="V66" s="2961">
        <f t="shared" si="23"/>
        <v>0</v>
      </c>
      <c r="W66" s="998"/>
      <c r="X66" s="2961">
        <f t="shared" si="24"/>
        <v>0</v>
      </c>
      <c r="Y66" s="296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61">
        <f t="shared" si="22"/>
        <v>0</v>
      </c>
      <c r="V67" s="2961">
        <f t="shared" si="23"/>
        <v>0</v>
      </c>
      <c r="W67" s="998"/>
      <c r="X67" s="2961">
        <f t="shared" si="24"/>
        <v>0</v>
      </c>
      <c r="Y67" s="296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61">
        <f t="shared" si="22"/>
        <v>0</v>
      </c>
      <c r="V68" s="2961">
        <f t="shared" si="23"/>
        <v>0</v>
      </c>
      <c r="W68" s="998"/>
      <c r="X68" s="2961">
        <f t="shared" si="24"/>
        <v>0</v>
      </c>
      <c r="Y68" s="296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61">
        <f t="shared" si="22"/>
        <v>0</v>
      </c>
      <c r="V69" s="2961">
        <f t="shared" si="23"/>
        <v>0</v>
      </c>
      <c r="W69" s="998"/>
      <c r="X69" s="2961">
        <f t="shared" si="24"/>
        <v>0</v>
      </c>
      <c r="Y69" s="296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61">
        <f t="shared" si="22"/>
        <v>0</v>
      </c>
      <c r="V70" s="2961">
        <f t="shared" si="23"/>
        <v>0</v>
      </c>
      <c r="W70" s="998"/>
      <c r="X70" s="2961">
        <f t="shared" si="24"/>
        <v>0</v>
      </c>
      <c r="Y70" s="296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61">
        <f t="shared" si="22"/>
        <v>0</v>
      </c>
      <c r="V71" s="2961">
        <f t="shared" si="23"/>
        <v>0</v>
      </c>
      <c r="W71" s="998"/>
      <c r="X71" s="2961">
        <f t="shared" si="24"/>
        <v>0</v>
      </c>
      <c r="Y71" s="296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61">
        <f t="shared" si="22"/>
        <v>0</v>
      </c>
      <c r="V72" s="2961">
        <f t="shared" si="23"/>
        <v>0</v>
      </c>
      <c r="W72" s="998"/>
      <c r="X72" s="2961">
        <f t="shared" si="24"/>
        <v>0</v>
      </c>
      <c r="Y72" s="296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61">
        <f t="shared" si="22"/>
        <v>0</v>
      </c>
      <c r="V73" s="2961">
        <f t="shared" si="23"/>
        <v>0</v>
      </c>
      <c r="W73" s="998"/>
      <c r="X73" s="2961">
        <f t="shared" si="24"/>
        <v>0</v>
      </c>
      <c r="Y73" s="296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61">
        <f t="shared" si="22"/>
        <v>0</v>
      </c>
      <c r="V74" s="2961">
        <f t="shared" si="23"/>
        <v>0</v>
      </c>
      <c r="W74" s="998"/>
      <c r="X74" s="2961">
        <f t="shared" si="24"/>
        <v>0</v>
      </c>
      <c r="Y74" s="296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61">
        <f t="shared" si="22"/>
        <v>0</v>
      </c>
      <c r="V75" s="2961">
        <f t="shared" si="23"/>
        <v>0</v>
      </c>
      <c r="W75" s="998"/>
      <c r="X75" s="2961">
        <f t="shared" si="24"/>
        <v>0</v>
      </c>
      <c r="Y75" s="296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61">
        <f t="shared" si="22"/>
        <v>0</v>
      </c>
      <c r="V76" s="2961">
        <f t="shared" si="23"/>
        <v>0</v>
      </c>
      <c r="W76" s="998"/>
      <c r="X76" s="2961">
        <f t="shared" si="24"/>
        <v>0</v>
      </c>
      <c r="Y76" s="296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61">
        <f t="shared" si="22"/>
        <v>0</v>
      </c>
      <c r="V77" s="2961">
        <f t="shared" si="23"/>
        <v>0</v>
      </c>
      <c r="W77" s="998"/>
      <c r="X77" s="2961">
        <f t="shared" si="24"/>
        <v>0</v>
      </c>
      <c r="Y77" s="296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61">
        <f t="shared" si="22"/>
        <v>0</v>
      </c>
      <c r="V78" s="2961">
        <f t="shared" si="23"/>
        <v>0</v>
      </c>
      <c r="W78" s="998"/>
      <c r="X78" s="2961">
        <f t="shared" si="24"/>
        <v>0</v>
      </c>
      <c r="Y78" s="296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61">
        <f t="shared" si="22"/>
        <v>0</v>
      </c>
      <c r="V79" s="2961">
        <f t="shared" si="23"/>
        <v>0</v>
      </c>
      <c r="W79" s="998"/>
      <c r="X79" s="2961">
        <f t="shared" si="24"/>
        <v>0</v>
      </c>
      <c r="Y79" s="296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61">
        <f t="shared" si="22"/>
        <v>0</v>
      </c>
      <c r="V80" s="2961">
        <f t="shared" si="23"/>
        <v>0</v>
      </c>
      <c r="W80" s="998"/>
      <c r="X80" s="2961">
        <f t="shared" si="24"/>
        <v>0</v>
      </c>
      <c r="Y80" s="296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61">
        <f t="shared" si="22"/>
        <v>0</v>
      </c>
      <c r="V81" s="2961">
        <f t="shared" si="23"/>
        <v>0</v>
      </c>
      <c r="W81" s="998"/>
      <c r="X81" s="2961">
        <f t="shared" si="24"/>
        <v>0</v>
      </c>
      <c r="Y81" s="296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61">
        <f t="shared" si="22"/>
        <v>0</v>
      </c>
      <c r="V82" s="2961">
        <f t="shared" si="23"/>
        <v>0</v>
      </c>
      <c r="W82" s="998"/>
      <c r="X82" s="2961">
        <f t="shared" si="24"/>
        <v>0</v>
      </c>
      <c r="Y82" s="296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61">
        <f t="shared" si="22"/>
        <v>0</v>
      </c>
      <c r="V83" s="2961">
        <f t="shared" si="23"/>
        <v>0</v>
      </c>
      <c r="W83" s="998"/>
      <c r="X83" s="2961">
        <f t="shared" si="24"/>
        <v>0</v>
      </c>
      <c r="Y83" s="296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61">
        <f t="shared" si="22"/>
        <v>0</v>
      </c>
      <c r="V84" s="2961">
        <f t="shared" si="23"/>
        <v>0</v>
      </c>
      <c r="W84" s="998"/>
      <c r="X84" s="2961">
        <f t="shared" si="24"/>
        <v>0</v>
      </c>
      <c r="Y84" s="296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61">
        <f t="shared" si="22"/>
        <v>0</v>
      </c>
      <c r="V85" s="2961">
        <f t="shared" si="23"/>
        <v>0</v>
      </c>
      <c r="W85" s="998"/>
      <c r="X85" s="2961">
        <f t="shared" si="24"/>
        <v>0</v>
      </c>
      <c r="Y85" s="296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61">
        <f t="shared" si="22"/>
        <v>0</v>
      </c>
      <c r="V86" s="2961">
        <f t="shared" si="23"/>
        <v>0</v>
      </c>
      <c r="W86" s="998"/>
      <c r="X86" s="2961">
        <f t="shared" si="24"/>
        <v>0</v>
      </c>
      <c r="Y86" s="296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61">
        <f t="shared" si="22"/>
        <v>0</v>
      </c>
      <c r="V87" s="2961">
        <f t="shared" si="23"/>
        <v>0</v>
      </c>
      <c r="W87" s="998"/>
      <c r="X87" s="2961">
        <f t="shared" si="24"/>
        <v>0</v>
      </c>
      <c r="Y87" s="296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61">
        <f t="shared" si="22"/>
        <v>0</v>
      </c>
      <c r="V88" s="2961">
        <f t="shared" si="23"/>
        <v>0</v>
      </c>
      <c r="W88" s="998"/>
      <c r="X88" s="2961">
        <f t="shared" si="24"/>
        <v>0</v>
      </c>
      <c r="Y88" s="296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61">
        <f t="shared" si="22"/>
        <v>0</v>
      </c>
      <c r="V89" s="2961">
        <f t="shared" si="23"/>
        <v>0</v>
      </c>
      <c r="W89" s="998"/>
      <c r="X89" s="2961">
        <f t="shared" si="24"/>
        <v>0</v>
      </c>
      <c r="Y89" s="296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61">
        <f t="shared" si="22"/>
        <v>0</v>
      </c>
      <c r="V90" s="2961">
        <f t="shared" si="23"/>
        <v>0</v>
      </c>
      <c r="W90" s="998"/>
      <c r="X90" s="2961">
        <f t="shared" si="24"/>
        <v>0</v>
      </c>
      <c r="Y90" s="296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61">
        <f t="shared" si="22"/>
        <v>0</v>
      </c>
      <c r="V91" s="2961">
        <f t="shared" si="23"/>
        <v>0</v>
      </c>
      <c r="W91" s="998"/>
      <c r="X91" s="2961">
        <f t="shared" si="24"/>
        <v>0</v>
      </c>
      <c r="Y91" s="296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61">
        <f t="shared" ref="U92:U155" si="37">ROUND(W92*B92,0)</f>
        <v>0</v>
      </c>
      <c r="V92" s="2961">
        <f t="shared" ref="V92:V155" si="38">ROUND(W92*B92/10000,0)</f>
        <v>0</v>
      </c>
      <c r="W92" s="998"/>
      <c r="X92" s="2961">
        <f t="shared" ref="X92:X155" si="39">ROUND(Z92*B92,0)</f>
        <v>0</v>
      </c>
      <c r="Y92" s="296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61">
        <f t="shared" si="37"/>
        <v>0</v>
      </c>
      <c r="V93" s="2961">
        <f t="shared" si="38"/>
        <v>0</v>
      </c>
      <c r="W93" s="998"/>
      <c r="X93" s="2961">
        <f t="shared" si="39"/>
        <v>0</v>
      </c>
      <c r="Y93" s="296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61">
        <f t="shared" si="37"/>
        <v>0</v>
      </c>
      <c r="V94" s="2961">
        <f t="shared" si="38"/>
        <v>0</v>
      </c>
      <c r="W94" s="998"/>
      <c r="X94" s="2961">
        <f t="shared" si="39"/>
        <v>0</v>
      </c>
      <c r="Y94" s="296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61">
        <f t="shared" si="37"/>
        <v>0</v>
      </c>
      <c r="V95" s="2961">
        <f t="shared" si="38"/>
        <v>0</v>
      </c>
      <c r="W95" s="998"/>
      <c r="X95" s="2961">
        <f t="shared" si="39"/>
        <v>0</v>
      </c>
      <c r="Y95" s="296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61">
        <f t="shared" si="37"/>
        <v>0</v>
      </c>
      <c r="V96" s="2961">
        <f t="shared" si="38"/>
        <v>0</v>
      </c>
      <c r="W96" s="998"/>
      <c r="X96" s="2961">
        <f t="shared" si="39"/>
        <v>0</v>
      </c>
      <c r="Y96" s="296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61">
        <f t="shared" si="37"/>
        <v>0</v>
      </c>
      <c r="V97" s="2961">
        <f t="shared" si="38"/>
        <v>0</v>
      </c>
      <c r="W97" s="998"/>
      <c r="X97" s="2961">
        <f t="shared" si="39"/>
        <v>0</v>
      </c>
      <c r="Y97" s="296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61">
        <f t="shared" si="37"/>
        <v>0</v>
      </c>
      <c r="V98" s="2961">
        <f t="shared" si="38"/>
        <v>0</v>
      </c>
      <c r="W98" s="998"/>
      <c r="X98" s="2961">
        <f t="shared" si="39"/>
        <v>0</v>
      </c>
      <c r="Y98" s="296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61">
        <f t="shared" si="37"/>
        <v>0</v>
      </c>
      <c r="V99" s="2961">
        <f t="shared" si="38"/>
        <v>0</v>
      </c>
      <c r="W99" s="998"/>
      <c r="X99" s="2961">
        <f t="shared" si="39"/>
        <v>0</v>
      </c>
      <c r="Y99" s="296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61">
        <f t="shared" si="37"/>
        <v>0</v>
      </c>
      <c r="V100" s="2961">
        <f t="shared" si="38"/>
        <v>0</v>
      </c>
      <c r="W100" s="998"/>
      <c r="X100" s="2961">
        <f t="shared" si="39"/>
        <v>0</v>
      </c>
      <c r="Y100" s="296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61">
        <f t="shared" si="37"/>
        <v>0</v>
      </c>
      <c r="V101" s="2961">
        <f t="shared" si="38"/>
        <v>0</v>
      </c>
      <c r="W101" s="998"/>
      <c r="X101" s="2961">
        <f t="shared" si="39"/>
        <v>0</v>
      </c>
      <c r="Y101" s="296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61">
        <f t="shared" si="37"/>
        <v>0</v>
      </c>
      <c r="V102" s="2961">
        <f t="shared" si="38"/>
        <v>0</v>
      </c>
      <c r="W102" s="998"/>
      <c r="X102" s="2961">
        <f t="shared" si="39"/>
        <v>0</v>
      </c>
      <c r="Y102" s="296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61">
        <f t="shared" si="37"/>
        <v>0</v>
      </c>
      <c r="V103" s="2961">
        <f t="shared" si="38"/>
        <v>0</v>
      </c>
      <c r="W103" s="998"/>
      <c r="X103" s="2961">
        <f t="shared" si="39"/>
        <v>0</v>
      </c>
      <c r="Y103" s="296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61">
        <f t="shared" si="37"/>
        <v>0</v>
      </c>
      <c r="V104" s="2961">
        <f t="shared" si="38"/>
        <v>0</v>
      </c>
      <c r="W104" s="998"/>
      <c r="X104" s="2961">
        <f t="shared" si="39"/>
        <v>0</v>
      </c>
      <c r="Y104" s="296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61">
        <f t="shared" si="37"/>
        <v>0</v>
      </c>
      <c r="V105" s="2961">
        <f t="shared" si="38"/>
        <v>0</v>
      </c>
      <c r="W105" s="998"/>
      <c r="X105" s="2961">
        <f t="shared" si="39"/>
        <v>0</v>
      </c>
      <c r="Y105" s="296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61">
        <f t="shared" si="37"/>
        <v>0</v>
      </c>
      <c r="V106" s="2961">
        <f t="shared" si="38"/>
        <v>0</v>
      </c>
      <c r="W106" s="998"/>
      <c r="X106" s="2961">
        <f t="shared" si="39"/>
        <v>0</v>
      </c>
      <c r="Y106" s="296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61">
        <f t="shared" si="37"/>
        <v>0</v>
      </c>
      <c r="V107" s="2961">
        <f t="shared" si="38"/>
        <v>0</v>
      </c>
      <c r="W107" s="998"/>
      <c r="X107" s="2961">
        <f t="shared" si="39"/>
        <v>0</v>
      </c>
      <c r="Y107" s="296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61">
        <f t="shared" si="37"/>
        <v>0</v>
      </c>
      <c r="V108" s="2961">
        <f t="shared" si="38"/>
        <v>0</v>
      </c>
      <c r="W108" s="998"/>
      <c r="X108" s="2961">
        <f t="shared" si="39"/>
        <v>0</v>
      </c>
      <c r="Y108" s="296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61">
        <f t="shared" si="37"/>
        <v>0</v>
      </c>
      <c r="V109" s="2961">
        <f t="shared" si="38"/>
        <v>0</v>
      </c>
      <c r="W109" s="998"/>
      <c r="X109" s="2961">
        <f t="shared" si="39"/>
        <v>0</v>
      </c>
      <c r="Y109" s="296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61">
        <f t="shared" si="37"/>
        <v>0</v>
      </c>
      <c r="V110" s="2961">
        <f t="shared" si="38"/>
        <v>0</v>
      </c>
      <c r="W110" s="998"/>
      <c r="X110" s="2961">
        <f t="shared" si="39"/>
        <v>0</v>
      </c>
      <c r="Y110" s="296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61">
        <f t="shared" si="37"/>
        <v>0</v>
      </c>
      <c r="V111" s="2961">
        <f t="shared" si="38"/>
        <v>0</v>
      </c>
      <c r="W111" s="998"/>
      <c r="X111" s="2961">
        <f t="shared" si="39"/>
        <v>0</v>
      </c>
      <c r="Y111" s="296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61">
        <f t="shared" si="37"/>
        <v>0</v>
      </c>
      <c r="V112" s="2961">
        <f t="shared" si="38"/>
        <v>0</v>
      </c>
      <c r="W112" s="998"/>
      <c r="X112" s="2961">
        <f t="shared" si="39"/>
        <v>0</v>
      </c>
      <c r="Y112" s="296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61">
        <f t="shared" si="37"/>
        <v>0</v>
      </c>
      <c r="V113" s="2961">
        <f t="shared" si="38"/>
        <v>0</v>
      </c>
      <c r="W113" s="998"/>
      <c r="X113" s="2961">
        <f t="shared" si="39"/>
        <v>0</v>
      </c>
      <c r="Y113" s="296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61">
        <f t="shared" si="37"/>
        <v>0</v>
      </c>
      <c r="V114" s="2961">
        <f t="shared" si="38"/>
        <v>0</v>
      </c>
      <c r="W114" s="998"/>
      <c r="X114" s="2961">
        <f t="shared" si="39"/>
        <v>0</v>
      </c>
      <c r="Y114" s="296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61">
        <f t="shared" si="37"/>
        <v>0</v>
      </c>
      <c r="V115" s="2961">
        <f t="shared" si="38"/>
        <v>0</v>
      </c>
      <c r="W115" s="998"/>
      <c r="X115" s="2961">
        <f t="shared" si="39"/>
        <v>0</v>
      </c>
      <c r="Y115" s="296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61">
        <f t="shared" si="37"/>
        <v>0</v>
      </c>
      <c r="V116" s="2961">
        <f t="shared" si="38"/>
        <v>0</v>
      </c>
      <c r="W116" s="998"/>
      <c r="X116" s="2961">
        <f t="shared" si="39"/>
        <v>0</v>
      </c>
      <c r="Y116" s="296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61">
        <f t="shared" si="37"/>
        <v>0</v>
      </c>
      <c r="V117" s="2961">
        <f t="shared" si="38"/>
        <v>0</v>
      </c>
      <c r="W117" s="998"/>
      <c r="X117" s="2961">
        <f t="shared" si="39"/>
        <v>0</v>
      </c>
      <c r="Y117" s="296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61">
        <f t="shared" si="37"/>
        <v>0</v>
      </c>
      <c r="V118" s="2961">
        <f t="shared" si="38"/>
        <v>0</v>
      </c>
      <c r="W118" s="998"/>
      <c r="X118" s="2961">
        <f t="shared" si="39"/>
        <v>0</v>
      </c>
      <c r="Y118" s="296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61">
        <f t="shared" si="37"/>
        <v>0</v>
      </c>
      <c r="V119" s="2961">
        <f t="shared" si="38"/>
        <v>0</v>
      </c>
      <c r="W119" s="998"/>
      <c r="X119" s="2961">
        <f t="shared" si="39"/>
        <v>0</v>
      </c>
      <c r="Y119" s="296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61">
        <f t="shared" si="37"/>
        <v>0</v>
      </c>
      <c r="V120" s="2961">
        <f t="shared" si="38"/>
        <v>0</v>
      </c>
      <c r="W120" s="998"/>
      <c r="X120" s="2961">
        <f t="shared" si="39"/>
        <v>0</v>
      </c>
      <c r="Y120" s="296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61">
        <f t="shared" si="37"/>
        <v>0</v>
      </c>
      <c r="V121" s="2961">
        <f t="shared" si="38"/>
        <v>0</v>
      </c>
      <c r="W121" s="998"/>
      <c r="X121" s="2961">
        <f t="shared" si="39"/>
        <v>0</v>
      </c>
      <c r="Y121" s="296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61">
        <f t="shared" si="37"/>
        <v>0</v>
      </c>
      <c r="V122" s="2961">
        <f t="shared" si="38"/>
        <v>0</v>
      </c>
      <c r="W122" s="998"/>
      <c r="X122" s="2961">
        <f t="shared" si="39"/>
        <v>0</v>
      </c>
      <c r="Y122" s="296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61">
        <f t="shared" si="37"/>
        <v>0</v>
      </c>
      <c r="V123" s="2961">
        <f t="shared" si="38"/>
        <v>0</v>
      </c>
      <c r="W123" s="998"/>
      <c r="X123" s="2961">
        <f t="shared" si="39"/>
        <v>0</v>
      </c>
      <c r="Y123" s="296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61">
        <f t="shared" si="37"/>
        <v>0</v>
      </c>
      <c r="V124" s="2961">
        <f t="shared" si="38"/>
        <v>0</v>
      </c>
      <c r="W124" s="998"/>
      <c r="X124" s="2961">
        <f t="shared" si="39"/>
        <v>0</v>
      </c>
      <c r="Y124" s="296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61">
        <f t="shared" si="37"/>
        <v>0</v>
      </c>
      <c r="V125" s="2961">
        <f t="shared" si="38"/>
        <v>0</v>
      </c>
      <c r="W125" s="998"/>
      <c r="X125" s="2961">
        <f t="shared" si="39"/>
        <v>0</v>
      </c>
      <c r="Y125" s="296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61">
        <f t="shared" si="37"/>
        <v>0</v>
      </c>
      <c r="V126" s="2961">
        <f t="shared" si="38"/>
        <v>0</v>
      </c>
      <c r="W126" s="998"/>
      <c r="X126" s="2961">
        <f t="shared" si="39"/>
        <v>0</v>
      </c>
      <c r="Y126" s="296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61">
        <f t="shared" si="37"/>
        <v>0</v>
      </c>
      <c r="V127" s="2961">
        <f t="shared" si="38"/>
        <v>0</v>
      </c>
      <c r="W127" s="998"/>
      <c r="X127" s="2961">
        <f t="shared" si="39"/>
        <v>0</v>
      </c>
      <c r="Y127" s="296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61">
        <f t="shared" si="37"/>
        <v>0</v>
      </c>
      <c r="V128" s="2961">
        <f t="shared" si="38"/>
        <v>0</v>
      </c>
      <c r="W128" s="998"/>
      <c r="X128" s="2961">
        <f t="shared" si="39"/>
        <v>0</v>
      </c>
      <c r="Y128" s="296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61">
        <f t="shared" si="37"/>
        <v>0</v>
      </c>
      <c r="V129" s="2961">
        <f t="shared" si="38"/>
        <v>0</v>
      </c>
      <c r="W129" s="998"/>
      <c r="X129" s="2961">
        <f t="shared" si="39"/>
        <v>0</v>
      </c>
      <c r="Y129" s="296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61">
        <f t="shared" si="37"/>
        <v>0</v>
      </c>
      <c r="V130" s="2961">
        <f t="shared" si="38"/>
        <v>0</v>
      </c>
      <c r="W130" s="998"/>
      <c r="X130" s="2961">
        <f t="shared" si="39"/>
        <v>0</v>
      </c>
      <c r="Y130" s="296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61">
        <f t="shared" si="37"/>
        <v>0</v>
      </c>
      <c r="V131" s="2961">
        <f t="shared" si="38"/>
        <v>0</v>
      </c>
      <c r="W131" s="998"/>
      <c r="X131" s="2961">
        <f t="shared" si="39"/>
        <v>0</v>
      </c>
      <c r="Y131" s="296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61">
        <f t="shared" si="37"/>
        <v>0</v>
      </c>
      <c r="V132" s="2961">
        <f t="shared" si="38"/>
        <v>0</v>
      </c>
      <c r="W132" s="998"/>
      <c r="X132" s="2961">
        <f t="shared" si="39"/>
        <v>0</v>
      </c>
      <c r="Y132" s="296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61">
        <f t="shared" si="37"/>
        <v>0</v>
      </c>
      <c r="V133" s="2961">
        <f t="shared" si="38"/>
        <v>0</v>
      </c>
      <c r="W133" s="998"/>
      <c r="X133" s="2961">
        <f t="shared" si="39"/>
        <v>0</v>
      </c>
      <c r="Y133" s="296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61">
        <f t="shared" si="37"/>
        <v>0</v>
      </c>
      <c r="V134" s="2961">
        <f t="shared" si="38"/>
        <v>0</v>
      </c>
      <c r="W134" s="998"/>
      <c r="X134" s="2961">
        <f t="shared" si="39"/>
        <v>0</v>
      </c>
      <c r="Y134" s="296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61">
        <f t="shared" si="37"/>
        <v>0</v>
      </c>
      <c r="V135" s="2961">
        <f t="shared" si="38"/>
        <v>0</v>
      </c>
      <c r="W135" s="998"/>
      <c r="X135" s="2961">
        <f t="shared" si="39"/>
        <v>0</v>
      </c>
      <c r="Y135" s="296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61">
        <f t="shared" si="37"/>
        <v>0</v>
      </c>
      <c r="V136" s="2961">
        <f t="shared" si="38"/>
        <v>0</v>
      </c>
      <c r="W136" s="998"/>
      <c r="X136" s="2961">
        <f t="shared" si="39"/>
        <v>0</v>
      </c>
      <c r="Y136" s="296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61">
        <f t="shared" si="37"/>
        <v>0</v>
      </c>
      <c r="V137" s="2961">
        <f t="shared" si="38"/>
        <v>0</v>
      </c>
      <c r="W137" s="998"/>
      <c r="X137" s="2961">
        <f t="shared" si="39"/>
        <v>0</v>
      </c>
      <c r="Y137" s="296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61">
        <f t="shared" si="37"/>
        <v>0</v>
      </c>
      <c r="V138" s="2961">
        <f t="shared" si="38"/>
        <v>0</v>
      </c>
      <c r="W138" s="998"/>
      <c r="X138" s="2961">
        <f t="shared" si="39"/>
        <v>0</v>
      </c>
      <c r="Y138" s="296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61">
        <f t="shared" si="37"/>
        <v>0</v>
      </c>
      <c r="V139" s="2961">
        <f t="shared" si="38"/>
        <v>0</v>
      </c>
      <c r="W139" s="998"/>
      <c r="X139" s="2961">
        <f t="shared" si="39"/>
        <v>0</v>
      </c>
      <c r="Y139" s="296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61">
        <f t="shared" si="37"/>
        <v>0</v>
      </c>
      <c r="V140" s="2961">
        <f t="shared" si="38"/>
        <v>0</v>
      </c>
      <c r="W140" s="998"/>
      <c r="X140" s="2961">
        <f t="shared" si="39"/>
        <v>0</v>
      </c>
      <c r="Y140" s="296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61">
        <f t="shared" si="37"/>
        <v>0</v>
      </c>
      <c r="V141" s="2961">
        <f t="shared" si="38"/>
        <v>0</v>
      </c>
      <c r="W141" s="998"/>
      <c r="X141" s="2961">
        <f t="shared" si="39"/>
        <v>0</v>
      </c>
      <c r="Y141" s="296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61">
        <f t="shared" si="37"/>
        <v>0</v>
      </c>
      <c r="V142" s="2961">
        <f t="shared" si="38"/>
        <v>0</v>
      </c>
      <c r="W142" s="998"/>
      <c r="X142" s="2961">
        <f t="shared" si="39"/>
        <v>0</v>
      </c>
      <c r="Y142" s="296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61">
        <f t="shared" si="37"/>
        <v>0</v>
      </c>
      <c r="V143" s="2961">
        <f t="shared" si="38"/>
        <v>0</v>
      </c>
      <c r="W143" s="998"/>
      <c r="X143" s="2961">
        <f t="shared" si="39"/>
        <v>0</v>
      </c>
      <c r="Y143" s="296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61">
        <f t="shared" si="37"/>
        <v>0</v>
      </c>
      <c r="V144" s="2961">
        <f t="shared" si="38"/>
        <v>0</v>
      </c>
      <c r="W144" s="998"/>
      <c r="X144" s="2961">
        <f t="shared" si="39"/>
        <v>0</v>
      </c>
      <c r="Y144" s="296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61">
        <f t="shared" si="37"/>
        <v>0</v>
      </c>
      <c r="V145" s="2961">
        <f t="shared" si="38"/>
        <v>0</v>
      </c>
      <c r="W145" s="998"/>
      <c r="X145" s="2961">
        <f t="shared" si="39"/>
        <v>0</v>
      </c>
      <c r="Y145" s="296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61">
        <f t="shared" si="37"/>
        <v>0</v>
      </c>
      <c r="V146" s="2961">
        <f t="shared" si="38"/>
        <v>0</v>
      </c>
      <c r="W146" s="998"/>
      <c r="X146" s="2961">
        <f t="shared" si="39"/>
        <v>0</v>
      </c>
      <c r="Y146" s="296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61">
        <f t="shared" si="37"/>
        <v>0</v>
      </c>
      <c r="V147" s="2961">
        <f t="shared" si="38"/>
        <v>0</v>
      </c>
      <c r="W147" s="998"/>
      <c r="X147" s="2961">
        <f t="shared" si="39"/>
        <v>0</v>
      </c>
      <c r="Y147" s="296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61">
        <f t="shared" si="37"/>
        <v>0</v>
      </c>
      <c r="V148" s="2961">
        <f t="shared" si="38"/>
        <v>0</v>
      </c>
      <c r="W148" s="998"/>
      <c r="X148" s="2961">
        <f t="shared" si="39"/>
        <v>0</v>
      </c>
      <c r="Y148" s="296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61">
        <f t="shared" si="37"/>
        <v>0</v>
      </c>
      <c r="V149" s="2961">
        <f t="shared" si="38"/>
        <v>0</v>
      </c>
      <c r="W149" s="998"/>
      <c r="X149" s="2961">
        <f t="shared" si="39"/>
        <v>0</v>
      </c>
      <c r="Y149" s="296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61">
        <f t="shared" si="37"/>
        <v>0</v>
      </c>
      <c r="V150" s="2961">
        <f t="shared" si="38"/>
        <v>0</v>
      </c>
      <c r="W150" s="998"/>
      <c r="X150" s="2961">
        <f t="shared" si="39"/>
        <v>0</v>
      </c>
      <c r="Y150" s="296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61">
        <f t="shared" si="37"/>
        <v>0</v>
      </c>
      <c r="V151" s="2961">
        <f t="shared" si="38"/>
        <v>0</v>
      </c>
      <c r="W151" s="998"/>
      <c r="X151" s="2961">
        <f t="shared" si="39"/>
        <v>0</v>
      </c>
      <c r="Y151" s="296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61">
        <f t="shared" si="37"/>
        <v>0</v>
      </c>
      <c r="V152" s="2961">
        <f t="shared" si="38"/>
        <v>0</v>
      </c>
      <c r="W152" s="998"/>
      <c r="X152" s="2961">
        <f t="shared" si="39"/>
        <v>0</v>
      </c>
      <c r="Y152" s="296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61">
        <f t="shared" si="37"/>
        <v>0</v>
      </c>
      <c r="V153" s="2961">
        <f t="shared" si="38"/>
        <v>0</v>
      </c>
      <c r="W153" s="998"/>
      <c r="X153" s="2961">
        <f t="shared" si="39"/>
        <v>0</v>
      </c>
      <c r="Y153" s="296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61">
        <f t="shared" si="37"/>
        <v>0</v>
      </c>
      <c r="V154" s="2961">
        <f t="shared" si="38"/>
        <v>0</v>
      </c>
      <c r="W154" s="998"/>
      <c r="X154" s="2961">
        <f t="shared" si="39"/>
        <v>0</v>
      </c>
      <c r="Y154" s="296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61">
        <f t="shared" si="37"/>
        <v>0</v>
      </c>
      <c r="V155" s="2961">
        <f t="shared" si="38"/>
        <v>0</v>
      </c>
      <c r="W155" s="998"/>
      <c r="X155" s="2961">
        <f t="shared" si="39"/>
        <v>0</v>
      </c>
      <c r="Y155" s="296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61">
        <f t="shared" ref="U156:U219" si="52">ROUND(W156*B156,0)</f>
        <v>0</v>
      </c>
      <c r="V156" s="2961">
        <f t="shared" ref="V156:V219" si="53">ROUND(W156*B156/10000,0)</f>
        <v>0</v>
      </c>
      <c r="W156" s="998"/>
      <c r="X156" s="2961">
        <f t="shared" ref="X156:X219" si="54">ROUND(Z156*B156,0)</f>
        <v>0</v>
      </c>
      <c r="Y156" s="296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61">
        <f t="shared" si="52"/>
        <v>0</v>
      </c>
      <c r="V157" s="2961">
        <f t="shared" si="53"/>
        <v>0</v>
      </c>
      <c r="W157" s="998"/>
      <c r="X157" s="2961">
        <f t="shared" si="54"/>
        <v>0</v>
      </c>
      <c r="Y157" s="296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61">
        <f t="shared" si="52"/>
        <v>0</v>
      </c>
      <c r="V158" s="2961">
        <f t="shared" si="53"/>
        <v>0</v>
      </c>
      <c r="W158" s="998"/>
      <c r="X158" s="2961">
        <f t="shared" si="54"/>
        <v>0</v>
      </c>
      <c r="Y158" s="296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61">
        <f t="shared" si="52"/>
        <v>0</v>
      </c>
      <c r="V159" s="2961">
        <f t="shared" si="53"/>
        <v>0</v>
      </c>
      <c r="W159" s="998"/>
      <c r="X159" s="2961">
        <f t="shared" si="54"/>
        <v>0</v>
      </c>
      <c r="Y159" s="296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61">
        <f t="shared" si="52"/>
        <v>0</v>
      </c>
      <c r="V160" s="2961">
        <f t="shared" si="53"/>
        <v>0</v>
      </c>
      <c r="W160" s="998"/>
      <c r="X160" s="2961">
        <f t="shared" si="54"/>
        <v>0</v>
      </c>
      <c r="Y160" s="296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61">
        <f t="shared" si="52"/>
        <v>0</v>
      </c>
      <c r="V161" s="2961">
        <f t="shared" si="53"/>
        <v>0</v>
      </c>
      <c r="W161" s="998"/>
      <c r="X161" s="2961">
        <f t="shared" si="54"/>
        <v>0</v>
      </c>
      <c r="Y161" s="296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61">
        <f t="shared" si="52"/>
        <v>0</v>
      </c>
      <c r="V162" s="2961">
        <f t="shared" si="53"/>
        <v>0</v>
      </c>
      <c r="W162" s="998"/>
      <c r="X162" s="2961">
        <f t="shared" si="54"/>
        <v>0</v>
      </c>
      <c r="Y162" s="296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61">
        <f t="shared" si="52"/>
        <v>0</v>
      </c>
      <c r="V163" s="2961">
        <f t="shared" si="53"/>
        <v>0</v>
      </c>
      <c r="W163" s="998"/>
      <c r="X163" s="2961">
        <f t="shared" si="54"/>
        <v>0</v>
      </c>
      <c r="Y163" s="296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61">
        <f t="shared" si="52"/>
        <v>0</v>
      </c>
      <c r="V164" s="2961">
        <f t="shared" si="53"/>
        <v>0</v>
      </c>
      <c r="W164" s="998"/>
      <c r="X164" s="2961">
        <f t="shared" si="54"/>
        <v>0</v>
      </c>
      <c r="Y164" s="296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61">
        <f t="shared" si="52"/>
        <v>0</v>
      </c>
      <c r="V165" s="2961">
        <f t="shared" si="53"/>
        <v>0</v>
      </c>
      <c r="W165" s="998"/>
      <c r="X165" s="2961">
        <f t="shared" si="54"/>
        <v>0</v>
      </c>
      <c r="Y165" s="296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61">
        <f t="shared" si="52"/>
        <v>0</v>
      </c>
      <c r="V166" s="2961">
        <f t="shared" si="53"/>
        <v>0</v>
      </c>
      <c r="W166" s="998"/>
      <c r="X166" s="2961">
        <f t="shared" si="54"/>
        <v>0</v>
      </c>
      <c r="Y166" s="296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61">
        <f t="shared" si="52"/>
        <v>0</v>
      </c>
      <c r="V167" s="2961">
        <f t="shared" si="53"/>
        <v>0</v>
      </c>
      <c r="W167" s="998"/>
      <c r="X167" s="2961">
        <f t="shared" si="54"/>
        <v>0</v>
      </c>
      <c r="Y167" s="296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61">
        <f t="shared" si="52"/>
        <v>0</v>
      </c>
      <c r="V168" s="2961">
        <f t="shared" si="53"/>
        <v>0</v>
      </c>
      <c r="W168" s="998"/>
      <c r="X168" s="2961">
        <f t="shared" si="54"/>
        <v>0</v>
      </c>
      <c r="Y168" s="296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61">
        <f t="shared" si="52"/>
        <v>0</v>
      </c>
      <c r="V169" s="2961">
        <f t="shared" si="53"/>
        <v>0</v>
      </c>
      <c r="W169" s="998"/>
      <c r="X169" s="2961">
        <f t="shared" si="54"/>
        <v>0</v>
      </c>
      <c r="Y169" s="296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61">
        <f t="shared" si="52"/>
        <v>0</v>
      </c>
      <c r="V170" s="2961">
        <f t="shared" si="53"/>
        <v>0</v>
      </c>
      <c r="W170" s="998"/>
      <c r="X170" s="2961">
        <f t="shared" si="54"/>
        <v>0</v>
      </c>
      <c r="Y170" s="296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61">
        <f t="shared" si="52"/>
        <v>0</v>
      </c>
      <c r="V171" s="2961">
        <f t="shared" si="53"/>
        <v>0</v>
      </c>
      <c r="W171" s="998"/>
      <c r="X171" s="2961">
        <f t="shared" si="54"/>
        <v>0</v>
      </c>
      <c r="Y171" s="296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61">
        <f t="shared" si="52"/>
        <v>0</v>
      </c>
      <c r="V172" s="2961">
        <f t="shared" si="53"/>
        <v>0</v>
      </c>
      <c r="W172" s="998"/>
      <c r="X172" s="2961">
        <f t="shared" si="54"/>
        <v>0</v>
      </c>
      <c r="Y172" s="296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61">
        <f t="shared" si="52"/>
        <v>0</v>
      </c>
      <c r="V173" s="2961">
        <f t="shared" si="53"/>
        <v>0</v>
      </c>
      <c r="W173" s="998"/>
      <c r="X173" s="2961">
        <f t="shared" si="54"/>
        <v>0</v>
      </c>
      <c r="Y173" s="296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61">
        <f t="shared" si="52"/>
        <v>0</v>
      </c>
      <c r="V174" s="2961">
        <f t="shared" si="53"/>
        <v>0</v>
      </c>
      <c r="W174" s="998"/>
      <c r="X174" s="2961">
        <f t="shared" si="54"/>
        <v>0</v>
      </c>
      <c r="Y174" s="296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61">
        <f t="shared" si="52"/>
        <v>0</v>
      </c>
      <c r="V175" s="2961">
        <f t="shared" si="53"/>
        <v>0</v>
      </c>
      <c r="W175" s="998"/>
      <c r="X175" s="2961">
        <f t="shared" si="54"/>
        <v>0</v>
      </c>
      <c r="Y175" s="296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61">
        <f t="shared" si="52"/>
        <v>0</v>
      </c>
      <c r="V176" s="2961">
        <f t="shared" si="53"/>
        <v>0</v>
      </c>
      <c r="W176" s="998"/>
      <c r="X176" s="2961">
        <f t="shared" si="54"/>
        <v>0</v>
      </c>
      <c r="Y176" s="296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61">
        <f t="shared" si="52"/>
        <v>0</v>
      </c>
      <c r="V177" s="2961">
        <f t="shared" si="53"/>
        <v>0</v>
      </c>
      <c r="W177" s="998"/>
      <c r="X177" s="2961">
        <f t="shared" si="54"/>
        <v>0</v>
      </c>
      <c r="Y177" s="296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61">
        <f t="shared" si="52"/>
        <v>0</v>
      </c>
      <c r="V178" s="2961">
        <f t="shared" si="53"/>
        <v>0</v>
      </c>
      <c r="W178" s="998"/>
      <c r="X178" s="2961">
        <f t="shared" si="54"/>
        <v>0</v>
      </c>
      <c r="Y178" s="296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61">
        <f t="shared" si="52"/>
        <v>0</v>
      </c>
      <c r="V179" s="2961">
        <f t="shared" si="53"/>
        <v>0</v>
      </c>
      <c r="W179" s="998"/>
      <c r="X179" s="2961">
        <f t="shared" si="54"/>
        <v>0</v>
      </c>
      <c r="Y179" s="296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61">
        <f t="shared" si="52"/>
        <v>0</v>
      </c>
      <c r="V180" s="2961">
        <f t="shared" si="53"/>
        <v>0</v>
      </c>
      <c r="W180" s="998"/>
      <c r="X180" s="2961">
        <f t="shared" si="54"/>
        <v>0</v>
      </c>
      <c r="Y180" s="296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61">
        <f t="shared" si="52"/>
        <v>0</v>
      </c>
      <c r="V181" s="2961">
        <f t="shared" si="53"/>
        <v>0</v>
      </c>
      <c r="W181" s="998"/>
      <c r="X181" s="2961">
        <f t="shared" si="54"/>
        <v>0</v>
      </c>
      <c r="Y181" s="296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61">
        <f t="shared" si="52"/>
        <v>0</v>
      </c>
      <c r="V182" s="2961">
        <f t="shared" si="53"/>
        <v>0</v>
      </c>
      <c r="W182" s="998"/>
      <c r="X182" s="2961">
        <f t="shared" si="54"/>
        <v>0</v>
      </c>
      <c r="Y182" s="296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61">
        <f t="shared" si="52"/>
        <v>0</v>
      </c>
      <c r="V183" s="2961">
        <f t="shared" si="53"/>
        <v>0</v>
      </c>
      <c r="W183" s="998"/>
      <c r="X183" s="2961">
        <f t="shared" si="54"/>
        <v>0</v>
      </c>
      <c r="Y183" s="296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61">
        <f t="shared" si="52"/>
        <v>0</v>
      </c>
      <c r="V184" s="2961">
        <f t="shared" si="53"/>
        <v>0</v>
      </c>
      <c r="W184" s="998"/>
      <c r="X184" s="2961">
        <f t="shared" si="54"/>
        <v>0</v>
      </c>
      <c r="Y184" s="296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61">
        <f t="shared" si="52"/>
        <v>0</v>
      </c>
      <c r="V185" s="2961">
        <f t="shared" si="53"/>
        <v>0</v>
      </c>
      <c r="W185" s="998"/>
      <c r="X185" s="2961">
        <f t="shared" si="54"/>
        <v>0</v>
      </c>
      <c r="Y185" s="296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61">
        <f t="shared" si="52"/>
        <v>0</v>
      </c>
      <c r="V186" s="2961">
        <f t="shared" si="53"/>
        <v>0</v>
      </c>
      <c r="W186" s="998"/>
      <c r="X186" s="2961">
        <f t="shared" si="54"/>
        <v>0</v>
      </c>
      <c r="Y186" s="296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61">
        <f t="shared" si="52"/>
        <v>0</v>
      </c>
      <c r="V187" s="2961">
        <f t="shared" si="53"/>
        <v>0</v>
      </c>
      <c r="W187" s="998"/>
      <c r="X187" s="2961">
        <f t="shared" si="54"/>
        <v>0</v>
      </c>
      <c r="Y187" s="296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61">
        <f t="shared" si="52"/>
        <v>0</v>
      </c>
      <c r="V188" s="2961">
        <f t="shared" si="53"/>
        <v>0</v>
      </c>
      <c r="W188" s="998"/>
      <c r="X188" s="2961">
        <f t="shared" si="54"/>
        <v>0</v>
      </c>
      <c r="Y188" s="296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61">
        <f t="shared" si="52"/>
        <v>0</v>
      </c>
      <c r="V189" s="2961">
        <f t="shared" si="53"/>
        <v>0</v>
      </c>
      <c r="W189" s="998"/>
      <c r="X189" s="2961">
        <f t="shared" si="54"/>
        <v>0</v>
      </c>
      <c r="Y189" s="296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61">
        <f t="shared" si="52"/>
        <v>0</v>
      </c>
      <c r="V190" s="2961">
        <f t="shared" si="53"/>
        <v>0</v>
      </c>
      <c r="W190" s="998"/>
      <c r="X190" s="2961">
        <f t="shared" si="54"/>
        <v>0</v>
      </c>
      <c r="Y190" s="296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61">
        <f t="shared" si="52"/>
        <v>0</v>
      </c>
      <c r="V191" s="2961">
        <f t="shared" si="53"/>
        <v>0</v>
      </c>
      <c r="W191" s="998"/>
      <c r="X191" s="2961">
        <f t="shared" si="54"/>
        <v>0</v>
      </c>
      <c r="Y191" s="296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61">
        <f t="shared" si="52"/>
        <v>0</v>
      </c>
      <c r="V192" s="2961">
        <f t="shared" si="53"/>
        <v>0</v>
      </c>
      <c r="W192" s="998"/>
      <c r="X192" s="2961">
        <f t="shared" si="54"/>
        <v>0</v>
      </c>
      <c r="Y192" s="296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61">
        <f t="shared" si="52"/>
        <v>0</v>
      </c>
      <c r="V193" s="2961">
        <f t="shared" si="53"/>
        <v>0</v>
      </c>
      <c r="W193" s="998"/>
      <c r="X193" s="2961">
        <f t="shared" si="54"/>
        <v>0</v>
      </c>
      <c r="Y193" s="296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61">
        <f t="shared" si="52"/>
        <v>0</v>
      </c>
      <c r="V194" s="2961">
        <f t="shared" si="53"/>
        <v>0</v>
      </c>
      <c r="W194" s="998"/>
      <c r="X194" s="2961">
        <f t="shared" si="54"/>
        <v>0</v>
      </c>
      <c r="Y194" s="296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61">
        <f t="shared" si="52"/>
        <v>0</v>
      </c>
      <c r="V195" s="2961">
        <f t="shared" si="53"/>
        <v>0</v>
      </c>
      <c r="W195" s="998"/>
      <c r="X195" s="2961">
        <f t="shared" si="54"/>
        <v>0</v>
      </c>
      <c r="Y195" s="296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61">
        <f t="shared" si="52"/>
        <v>0</v>
      </c>
      <c r="V196" s="2961">
        <f t="shared" si="53"/>
        <v>0</v>
      </c>
      <c r="W196" s="998"/>
      <c r="X196" s="2961">
        <f t="shared" si="54"/>
        <v>0</v>
      </c>
      <c r="Y196" s="296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61">
        <f t="shared" si="52"/>
        <v>0</v>
      </c>
      <c r="V197" s="2961">
        <f t="shared" si="53"/>
        <v>0</v>
      </c>
      <c r="W197" s="998"/>
      <c r="X197" s="2961">
        <f t="shared" si="54"/>
        <v>0</v>
      </c>
      <c r="Y197" s="296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61">
        <f t="shared" si="52"/>
        <v>0</v>
      </c>
      <c r="V198" s="2961">
        <f t="shared" si="53"/>
        <v>0</v>
      </c>
      <c r="W198" s="998"/>
      <c r="X198" s="2961">
        <f t="shared" si="54"/>
        <v>0</v>
      </c>
      <c r="Y198" s="296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61">
        <f t="shared" si="52"/>
        <v>0</v>
      </c>
      <c r="V199" s="2961">
        <f t="shared" si="53"/>
        <v>0</v>
      </c>
      <c r="W199" s="998"/>
      <c r="X199" s="2961">
        <f t="shared" si="54"/>
        <v>0</v>
      </c>
      <c r="Y199" s="296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61">
        <f t="shared" si="52"/>
        <v>0</v>
      </c>
      <c r="V200" s="2961">
        <f t="shared" si="53"/>
        <v>0</v>
      </c>
      <c r="W200" s="998"/>
      <c r="X200" s="2961">
        <f t="shared" si="54"/>
        <v>0</v>
      </c>
      <c r="Y200" s="296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61">
        <f t="shared" si="52"/>
        <v>0</v>
      </c>
      <c r="V201" s="2961">
        <f t="shared" si="53"/>
        <v>0</v>
      </c>
      <c r="W201" s="998"/>
      <c r="X201" s="2961">
        <f t="shared" si="54"/>
        <v>0</v>
      </c>
      <c r="Y201" s="296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61">
        <f t="shared" si="52"/>
        <v>0</v>
      </c>
      <c r="V202" s="2961">
        <f t="shared" si="53"/>
        <v>0</v>
      </c>
      <c r="W202" s="998"/>
      <c r="X202" s="2961">
        <f t="shared" si="54"/>
        <v>0</v>
      </c>
      <c r="Y202" s="296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61">
        <f t="shared" si="52"/>
        <v>0</v>
      </c>
      <c r="V203" s="2961">
        <f t="shared" si="53"/>
        <v>0</v>
      </c>
      <c r="W203" s="998"/>
      <c r="X203" s="2961">
        <f t="shared" si="54"/>
        <v>0</v>
      </c>
      <c r="Y203" s="296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61">
        <f t="shared" si="52"/>
        <v>0</v>
      </c>
      <c r="V204" s="2961">
        <f t="shared" si="53"/>
        <v>0</v>
      </c>
      <c r="W204" s="998"/>
      <c r="X204" s="2961">
        <f t="shared" si="54"/>
        <v>0</v>
      </c>
      <c r="Y204" s="296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61">
        <f t="shared" si="52"/>
        <v>0</v>
      </c>
      <c r="V205" s="2961">
        <f t="shared" si="53"/>
        <v>0</v>
      </c>
      <c r="W205" s="998"/>
      <c r="X205" s="2961">
        <f t="shared" si="54"/>
        <v>0</v>
      </c>
      <c r="Y205" s="296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61">
        <f t="shared" si="52"/>
        <v>0</v>
      </c>
      <c r="V206" s="2961">
        <f t="shared" si="53"/>
        <v>0</v>
      </c>
      <c r="W206" s="998"/>
      <c r="X206" s="2961">
        <f t="shared" si="54"/>
        <v>0</v>
      </c>
      <c r="Y206" s="296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61">
        <f t="shared" si="52"/>
        <v>0</v>
      </c>
      <c r="V207" s="2961">
        <f t="shared" si="53"/>
        <v>0</v>
      </c>
      <c r="W207" s="998"/>
      <c r="X207" s="2961">
        <f t="shared" si="54"/>
        <v>0</v>
      </c>
      <c r="Y207" s="296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61">
        <f t="shared" si="52"/>
        <v>0</v>
      </c>
      <c r="V208" s="2961">
        <f t="shared" si="53"/>
        <v>0</v>
      </c>
      <c r="W208" s="998"/>
      <c r="X208" s="2961">
        <f t="shared" si="54"/>
        <v>0</v>
      </c>
      <c r="Y208" s="296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61">
        <f t="shared" si="52"/>
        <v>0</v>
      </c>
      <c r="V209" s="2961">
        <f t="shared" si="53"/>
        <v>0</v>
      </c>
      <c r="W209" s="998"/>
      <c r="X209" s="2961">
        <f t="shared" si="54"/>
        <v>0</v>
      </c>
      <c r="Y209" s="296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61">
        <f t="shared" si="52"/>
        <v>0</v>
      </c>
      <c r="V210" s="2961">
        <f t="shared" si="53"/>
        <v>0</v>
      </c>
      <c r="W210" s="998"/>
      <c r="X210" s="2961">
        <f t="shared" si="54"/>
        <v>0</v>
      </c>
      <c r="Y210" s="296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61">
        <f t="shared" si="52"/>
        <v>0</v>
      </c>
      <c r="V211" s="2961">
        <f t="shared" si="53"/>
        <v>0</v>
      </c>
      <c r="W211" s="998"/>
      <c r="X211" s="2961">
        <f t="shared" si="54"/>
        <v>0</v>
      </c>
      <c r="Y211" s="296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61">
        <f t="shared" si="52"/>
        <v>0</v>
      </c>
      <c r="V212" s="2961">
        <f t="shared" si="53"/>
        <v>0</v>
      </c>
      <c r="W212" s="998"/>
      <c r="X212" s="2961">
        <f t="shared" si="54"/>
        <v>0</v>
      </c>
      <c r="Y212" s="296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61">
        <f t="shared" si="52"/>
        <v>0</v>
      </c>
      <c r="V213" s="2961">
        <f t="shared" si="53"/>
        <v>0</v>
      </c>
      <c r="W213" s="998"/>
      <c r="X213" s="2961">
        <f t="shared" si="54"/>
        <v>0</v>
      </c>
      <c r="Y213" s="296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61">
        <f t="shared" si="52"/>
        <v>0</v>
      </c>
      <c r="V214" s="2961">
        <f t="shared" si="53"/>
        <v>0</v>
      </c>
      <c r="W214" s="998"/>
      <c r="X214" s="2961">
        <f t="shared" si="54"/>
        <v>0</v>
      </c>
      <c r="Y214" s="296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61">
        <f t="shared" si="52"/>
        <v>0</v>
      </c>
      <c r="V215" s="2961">
        <f t="shared" si="53"/>
        <v>0</v>
      </c>
      <c r="W215" s="998"/>
      <c r="X215" s="2961">
        <f t="shared" si="54"/>
        <v>0</v>
      </c>
      <c r="Y215" s="296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61">
        <f t="shared" si="52"/>
        <v>0</v>
      </c>
      <c r="V216" s="2961">
        <f t="shared" si="53"/>
        <v>0</v>
      </c>
      <c r="W216" s="998"/>
      <c r="X216" s="2961">
        <f t="shared" si="54"/>
        <v>0</v>
      </c>
      <c r="Y216" s="296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61">
        <f t="shared" si="52"/>
        <v>0</v>
      </c>
      <c r="V217" s="2961">
        <f t="shared" si="53"/>
        <v>0</v>
      </c>
      <c r="W217" s="998"/>
      <c r="X217" s="2961">
        <f t="shared" si="54"/>
        <v>0</v>
      </c>
      <c r="Y217" s="296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61">
        <f t="shared" si="52"/>
        <v>0</v>
      </c>
      <c r="V218" s="2961">
        <f t="shared" si="53"/>
        <v>0</v>
      </c>
      <c r="W218" s="998"/>
      <c r="X218" s="2961">
        <f t="shared" si="54"/>
        <v>0</v>
      </c>
      <c r="Y218" s="296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61">
        <f t="shared" si="52"/>
        <v>0</v>
      </c>
      <c r="V219" s="2961">
        <f t="shared" si="53"/>
        <v>0</v>
      </c>
      <c r="W219" s="998"/>
      <c r="X219" s="2961">
        <f t="shared" si="54"/>
        <v>0</v>
      </c>
      <c r="Y219" s="296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61">
        <f t="shared" ref="U220:U283" si="67">ROUND(W220*B220,0)</f>
        <v>0</v>
      </c>
      <c r="V220" s="2961">
        <f t="shared" ref="V220:V283" si="68">ROUND(W220*B220/10000,0)</f>
        <v>0</v>
      </c>
      <c r="W220" s="998"/>
      <c r="X220" s="2961">
        <f t="shared" ref="X220:X283" si="69">ROUND(Z220*B220,0)</f>
        <v>0</v>
      </c>
      <c r="Y220" s="296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61">
        <f t="shared" si="67"/>
        <v>0</v>
      </c>
      <c r="V221" s="2961">
        <f t="shared" si="68"/>
        <v>0</v>
      </c>
      <c r="W221" s="998"/>
      <c r="X221" s="2961">
        <f t="shared" si="69"/>
        <v>0</v>
      </c>
      <c r="Y221" s="296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61">
        <f t="shared" si="67"/>
        <v>0</v>
      </c>
      <c r="V222" s="2961">
        <f t="shared" si="68"/>
        <v>0</v>
      </c>
      <c r="W222" s="998"/>
      <c r="X222" s="2961">
        <f t="shared" si="69"/>
        <v>0</v>
      </c>
      <c r="Y222" s="296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61">
        <f t="shared" si="67"/>
        <v>0</v>
      </c>
      <c r="V223" s="2961">
        <f t="shared" si="68"/>
        <v>0</v>
      </c>
      <c r="W223" s="998"/>
      <c r="X223" s="2961">
        <f t="shared" si="69"/>
        <v>0</v>
      </c>
      <c r="Y223" s="296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61">
        <f t="shared" si="67"/>
        <v>0</v>
      </c>
      <c r="V224" s="2961">
        <f t="shared" si="68"/>
        <v>0</v>
      </c>
      <c r="W224" s="998"/>
      <c r="X224" s="2961">
        <f t="shared" si="69"/>
        <v>0</v>
      </c>
      <c r="Y224" s="296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61">
        <f t="shared" si="67"/>
        <v>0</v>
      </c>
      <c r="V225" s="2961">
        <f t="shared" si="68"/>
        <v>0</v>
      </c>
      <c r="W225" s="998"/>
      <c r="X225" s="2961">
        <f t="shared" si="69"/>
        <v>0</v>
      </c>
      <c r="Y225" s="296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61">
        <f t="shared" si="67"/>
        <v>0</v>
      </c>
      <c r="V226" s="2961">
        <f t="shared" si="68"/>
        <v>0</v>
      </c>
      <c r="W226" s="998"/>
      <c r="X226" s="2961">
        <f t="shared" si="69"/>
        <v>0</v>
      </c>
      <c r="Y226" s="296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61">
        <f t="shared" si="67"/>
        <v>0</v>
      </c>
      <c r="V227" s="2961">
        <f t="shared" si="68"/>
        <v>0</v>
      </c>
      <c r="W227" s="998"/>
      <c r="X227" s="2961">
        <f t="shared" si="69"/>
        <v>0</v>
      </c>
      <c r="Y227" s="296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61">
        <f t="shared" si="67"/>
        <v>0</v>
      </c>
      <c r="V228" s="2961">
        <f t="shared" si="68"/>
        <v>0</v>
      </c>
      <c r="W228" s="998"/>
      <c r="X228" s="2961">
        <f t="shared" si="69"/>
        <v>0</v>
      </c>
      <c r="Y228" s="296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61">
        <f t="shared" si="67"/>
        <v>0</v>
      </c>
      <c r="V229" s="2961">
        <f t="shared" si="68"/>
        <v>0</v>
      </c>
      <c r="W229" s="998"/>
      <c r="X229" s="2961">
        <f t="shared" si="69"/>
        <v>0</v>
      </c>
      <c r="Y229" s="296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61">
        <f t="shared" si="67"/>
        <v>0</v>
      </c>
      <c r="V230" s="2961">
        <f t="shared" si="68"/>
        <v>0</v>
      </c>
      <c r="W230" s="998"/>
      <c r="X230" s="2961">
        <f t="shared" si="69"/>
        <v>0</v>
      </c>
      <c r="Y230" s="296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61">
        <f t="shared" si="67"/>
        <v>0</v>
      </c>
      <c r="V231" s="2961">
        <f t="shared" si="68"/>
        <v>0</v>
      </c>
      <c r="W231" s="998"/>
      <c r="X231" s="2961">
        <f t="shared" si="69"/>
        <v>0</v>
      </c>
      <c r="Y231" s="296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61">
        <f t="shared" si="67"/>
        <v>0</v>
      </c>
      <c r="V232" s="2961">
        <f t="shared" si="68"/>
        <v>0</v>
      </c>
      <c r="W232" s="998"/>
      <c r="X232" s="2961">
        <f t="shared" si="69"/>
        <v>0</v>
      </c>
      <c r="Y232" s="296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61">
        <f t="shared" si="67"/>
        <v>0</v>
      </c>
      <c r="V233" s="2961">
        <f t="shared" si="68"/>
        <v>0</v>
      </c>
      <c r="W233" s="998"/>
      <c r="X233" s="2961">
        <f t="shared" si="69"/>
        <v>0</v>
      </c>
      <c r="Y233" s="296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61">
        <f t="shared" si="67"/>
        <v>0</v>
      </c>
      <c r="V234" s="2961">
        <f t="shared" si="68"/>
        <v>0</v>
      </c>
      <c r="W234" s="998"/>
      <c r="X234" s="2961">
        <f t="shared" si="69"/>
        <v>0</v>
      </c>
      <c r="Y234" s="296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61">
        <f t="shared" si="67"/>
        <v>0</v>
      </c>
      <c r="V235" s="2961">
        <f t="shared" si="68"/>
        <v>0</v>
      </c>
      <c r="W235" s="998"/>
      <c r="X235" s="2961">
        <f t="shared" si="69"/>
        <v>0</v>
      </c>
      <c r="Y235" s="296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61">
        <f t="shared" si="67"/>
        <v>0</v>
      </c>
      <c r="V236" s="2961">
        <f t="shared" si="68"/>
        <v>0</v>
      </c>
      <c r="W236" s="998"/>
      <c r="X236" s="2961">
        <f t="shared" si="69"/>
        <v>0</v>
      </c>
      <c r="Y236" s="296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61">
        <f t="shared" si="67"/>
        <v>0</v>
      </c>
      <c r="V237" s="2961">
        <f t="shared" si="68"/>
        <v>0</v>
      </c>
      <c r="W237" s="998"/>
      <c r="X237" s="2961">
        <f t="shared" si="69"/>
        <v>0</v>
      </c>
      <c r="Y237" s="296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61">
        <f t="shared" si="67"/>
        <v>0</v>
      </c>
      <c r="V238" s="2961">
        <f t="shared" si="68"/>
        <v>0</v>
      </c>
      <c r="W238" s="998"/>
      <c r="X238" s="2961">
        <f t="shared" si="69"/>
        <v>0</v>
      </c>
      <c r="Y238" s="296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61">
        <f t="shared" si="67"/>
        <v>0</v>
      </c>
      <c r="V239" s="2961">
        <f t="shared" si="68"/>
        <v>0</v>
      </c>
      <c r="W239" s="998"/>
      <c r="X239" s="2961">
        <f t="shared" si="69"/>
        <v>0</v>
      </c>
      <c r="Y239" s="296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61">
        <f t="shared" si="67"/>
        <v>0</v>
      </c>
      <c r="V240" s="2961">
        <f t="shared" si="68"/>
        <v>0</v>
      </c>
      <c r="W240" s="998"/>
      <c r="X240" s="2961">
        <f t="shared" si="69"/>
        <v>0</v>
      </c>
      <c r="Y240" s="296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61">
        <f t="shared" si="67"/>
        <v>0</v>
      </c>
      <c r="V241" s="2961">
        <f t="shared" si="68"/>
        <v>0</v>
      </c>
      <c r="W241" s="998"/>
      <c r="X241" s="2961">
        <f t="shared" si="69"/>
        <v>0</v>
      </c>
      <c r="Y241" s="296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61">
        <f t="shared" si="67"/>
        <v>0</v>
      </c>
      <c r="V242" s="2961">
        <f t="shared" si="68"/>
        <v>0</v>
      </c>
      <c r="W242" s="998"/>
      <c r="X242" s="2961">
        <f t="shared" si="69"/>
        <v>0</v>
      </c>
      <c r="Y242" s="296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61">
        <f t="shared" si="67"/>
        <v>0</v>
      </c>
      <c r="V243" s="2961">
        <f t="shared" si="68"/>
        <v>0</v>
      </c>
      <c r="W243" s="998"/>
      <c r="X243" s="2961">
        <f t="shared" si="69"/>
        <v>0</v>
      </c>
      <c r="Y243" s="296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61">
        <f t="shared" si="67"/>
        <v>0</v>
      </c>
      <c r="V244" s="2961">
        <f t="shared" si="68"/>
        <v>0</v>
      </c>
      <c r="W244" s="998"/>
      <c r="X244" s="2961">
        <f t="shared" si="69"/>
        <v>0</v>
      </c>
      <c r="Y244" s="296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61">
        <f t="shared" si="67"/>
        <v>0</v>
      </c>
      <c r="V245" s="2961">
        <f t="shared" si="68"/>
        <v>0</v>
      </c>
      <c r="W245" s="998"/>
      <c r="X245" s="2961">
        <f t="shared" si="69"/>
        <v>0</v>
      </c>
      <c r="Y245" s="296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61">
        <f t="shared" si="67"/>
        <v>0</v>
      </c>
      <c r="V246" s="2961">
        <f t="shared" si="68"/>
        <v>0</v>
      </c>
      <c r="W246" s="998"/>
      <c r="X246" s="2961">
        <f t="shared" si="69"/>
        <v>0</v>
      </c>
      <c r="Y246" s="296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61">
        <f t="shared" si="67"/>
        <v>0</v>
      </c>
      <c r="V247" s="2961">
        <f t="shared" si="68"/>
        <v>0</v>
      </c>
      <c r="W247" s="998"/>
      <c r="X247" s="2961">
        <f t="shared" si="69"/>
        <v>0</v>
      </c>
      <c r="Y247" s="296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61">
        <f t="shared" si="67"/>
        <v>0</v>
      </c>
      <c r="V248" s="2961">
        <f t="shared" si="68"/>
        <v>0</v>
      </c>
      <c r="W248" s="998"/>
      <c r="X248" s="2961">
        <f t="shared" si="69"/>
        <v>0</v>
      </c>
      <c r="Y248" s="296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61">
        <f t="shared" si="67"/>
        <v>0</v>
      </c>
      <c r="V249" s="2961">
        <f t="shared" si="68"/>
        <v>0</v>
      </c>
      <c r="W249" s="998"/>
      <c r="X249" s="2961">
        <f t="shared" si="69"/>
        <v>0</v>
      </c>
      <c r="Y249" s="296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61">
        <f t="shared" si="67"/>
        <v>0</v>
      </c>
      <c r="V250" s="2961">
        <f t="shared" si="68"/>
        <v>0</v>
      </c>
      <c r="W250" s="998"/>
      <c r="X250" s="2961">
        <f t="shared" si="69"/>
        <v>0</v>
      </c>
      <c r="Y250" s="296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61">
        <f t="shared" si="67"/>
        <v>0</v>
      </c>
      <c r="V251" s="2961">
        <f t="shared" si="68"/>
        <v>0</v>
      </c>
      <c r="W251" s="998"/>
      <c r="X251" s="2961">
        <f t="shared" si="69"/>
        <v>0</v>
      </c>
      <c r="Y251" s="296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61">
        <f t="shared" si="67"/>
        <v>0</v>
      </c>
      <c r="V252" s="2961">
        <f t="shared" si="68"/>
        <v>0</v>
      </c>
      <c r="W252" s="998"/>
      <c r="X252" s="2961">
        <f t="shared" si="69"/>
        <v>0</v>
      </c>
      <c r="Y252" s="296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61">
        <f t="shared" si="67"/>
        <v>0</v>
      </c>
      <c r="V253" s="2961">
        <f t="shared" si="68"/>
        <v>0</v>
      </c>
      <c r="W253" s="998"/>
      <c r="X253" s="2961">
        <f t="shared" si="69"/>
        <v>0</v>
      </c>
      <c r="Y253" s="296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61">
        <f t="shared" si="67"/>
        <v>0</v>
      </c>
      <c r="V254" s="2961">
        <f t="shared" si="68"/>
        <v>0</v>
      </c>
      <c r="W254" s="998"/>
      <c r="X254" s="2961">
        <f t="shared" si="69"/>
        <v>0</v>
      </c>
      <c r="Y254" s="296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61">
        <f t="shared" si="67"/>
        <v>0</v>
      </c>
      <c r="V255" s="2961">
        <f t="shared" si="68"/>
        <v>0</v>
      </c>
      <c r="W255" s="998"/>
      <c r="X255" s="2961">
        <f t="shared" si="69"/>
        <v>0</v>
      </c>
      <c r="Y255" s="296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61">
        <f t="shared" si="67"/>
        <v>0</v>
      </c>
      <c r="V256" s="2961">
        <f t="shared" si="68"/>
        <v>0</v>
      </c>
      <c r="W256" s="998"/>
      <c r="X256" s="2961">
        <f t="shared" si="69"/>
        <v>0</v>
      </c>
      <c r="Y256" s="296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61">
        <f t="shared" si="67"/>
        <v>0</v>
      </c>
      <c r="V257" s="2961">
        <f t="shared" si="68"/>
        <v>0</v>
      </c>
      <c r="W257" s="998"/>
      <c r="X257" s="2961">
        <f t="shared" si="69"/>
        <v>0</v>
      </c>
      <c r="Y257" s="296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61">
        <f t="shared" si="67"/>
        <v>0</v>
      </c>
      <c r="V258" s="2961">
        <f t="shared" si="68"/>
        <v>0</v>
      </c>
      <c r="W258" s="998"/>
      <c r="X258" s="2961">
        <f t="shared" si="69"/>
        <v>0</v>
      </c>
      <c r="Y258" s="296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61">
        <f t="shared" si="67"/>
        <v>0</v>
      </c>
      <c r="V259" s="2961">
        <f t="shared" si="68"/>
        <v>0</v>
      </c>
      <c r="W259" s="998"/>
      <c r="X259" s="2961">
        <f t="shared" si="69"/>
        <v>0</v>
      </c>
      <c r="Y259" s="296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61">
        <f t="shared" si="67"/>
        <v>0</v>
      </c>
      <c r="V260" s="2961">
        <f t="shared" si="68"/>
        <v>0</v>
      </c>
      <c r="W260" s="998"/>
      <c r="X260" s="2961">
        <f t="shared" si="69"/>
        <v>0</v>
      </c>
      <c r="Y260" s="296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61">
        <f t="shared" si="67"/>
        <v>0</v>
      </c>
      <c r="V261" s="2961">
        <f t="shared" si="68"/>
        <v>0</v>
      </c>
      <c r="W261" s="998"/>
      <c r="X261" s="2961">
        <f t="shared" si="69"/>
        <v>0</v>
      </c>
      <c r="Y261" s="296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61">
        <f t="shared" si="67"/>
        <v>0</v>
      </c>
      <c r="V262" s="2961">
        <f t="shared" si="68"/>
        <v>0</v>
      </c>
      <c r="W262" s="998"/>
      <c r="X262" s="2961">
        <f t="shared" si="69"/>
        <v>0</v>
      </c>
      <c r="Y262" s="296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61">
        <f t="shared" si="67"/>
        <v>0</v>
      </c>
      <c r="V263" s="2961">
        <f t="shared" si="68"/>
        <v>0</v>
      </c>
      <c r="W263" s="998"/>
      <c r="X263" s="2961">
        <f t="shared" si="69"/>
        <v>0</v>
      </c>
      <c r="Y263" s="296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61">
        <f t="shared" si="67"/>
        <v>0</v>
      </c>
      <c r="V264" s="2961">
        <f t="shared" si="68"/>
        <v>0</v>
      </c>
      <c r="W264" s="998"/>
      <c r="X264" s="2961">
        <f t="shared" si="69"/>
        <v>0</v>
      </c>
      <c r="Y264" s="296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61">
        <f t="shared" si="67"/>
        <v>0</v>
      </c>
      <c r="V265" s="2961">
        <f t="shared" si="68"/>
        <v>0</v>
      </c>
      <c r="W265" s="998"/>
      <c r="X265" s="2961">
        <f t="shared" si="69"/>
        <v>0</v>
      </c>
      <c r="Y265" s="296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61">
        <f t="shared" si="67"/>
        <v>0</v>
      </c>
      <c r="V266" s="2961">
        <f t="shared" si="68"/>
        <v>0</v>
      </c>
      <c r="W266" s="998"/>
      <c r="X266" s="2961">
        <f t="shared" si="69"/>
        <v>0</v>
      </c>
      <c r="Y266" s="296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61">
        <f t="shared" si="67"/>
        <v>0</v>
      </c>
      <c r="V267" s="2961">
        <f t="shared" si="68"/>
        <v>0</v>
      </c>
      <c r="W267" s="998"/>
      <c r="X267" s="2961">
        <f t="shared" si="69"/>
        <v>0</v>
      </c>
      <c r="Y267" s="296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61">
        <f t="shared" si="67"/>
        <v>0</v>
      </c>
      <c r="V268" s="2961">
        <f t="shared" si="68"/>
        <v>0</v>
      </c>
      <c r="W268" s="998"/>
      <c r="X268" s="2961">
        <f t="shared" si="69"/>
        <v>0</v>
      </c>
      <c r="Y268" s="296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61">
        <f t="shared" si="67"/>
        <v>0</v>
      </c>
      <c r="V269" s="2961">
        <f t="shared" si="68"/>
        <v>0</v>
      </c>
      <c r="W269" s="998"/>
      <c r="X269" s="2961">
        <f t="shared" si="69"/>
        <v>0</v>
      </c>
      <c r="Y269" s="296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61">
        <f t="shared" si="67"/>
        <v>0</v>
      </c>
      <c r="V270" s="2961">
        <f t="shared" si="68"/>
        <v>0</v>
      </c>
      <c r="W270" s="998"/>
      <c r="X270" s="2961">
        <f t="shared" si="69"/>
        <v>0</v>
      </c>
      <c r="Y270" s="296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61">
        <f t="shared" si="67"/>
        <v>0</v>
      </c>
      <c r="V271" s="2961">
        <f t="shared" si="68"/>
        <v>0</v>
      </c>
      <c r="W271" s="998"/>
      <c r="X271" s="2961">
        <f t="shared" si="69"/>
        <v>0</v>
      </c>
      <c r="Y271" s="296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61">
        <f t="shared" si="67"/>
        <v>0</v>
      </c>
      <c r="V272" s="2961">
        <f t="shared" si="68"/>
        <v>0</v>
      </c>
      <c r="W272" s="998"/>
      <c r="X272" s="2961">
        <f t="shared" si="69"/>
        <v>0</v>
      </c>
      <c r="Y272" s="296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61">
        <f t="shared" si="67"/>
        <v>0</v>
      </c>
      <c r="V273" s="2961">
        <f t="shared" si="68"/>
        <v>0</v>
      </c>
      <c r="W273" s="998"/>
      <c r="X273" s="2961">
        <f t="shared" si="69"/>
        <v>0</v>
      </c>
      <c r="Y273" s="296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61">
        <f t="shared" si="67"/>
        <v>0</v>
      </c>
      <c r="V274" s="2961">
        <f t="shared" si="68"/>
        <v>0</v>
      </c>
      <c r="W274" s="998"/>
      <c r="X274" s="2961">
        <f t="shared" si="69"/>
        <v>0</v>
      </c>
      <c r="Y274" s="296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61">
        <f t="shared" si="67"/>
        <v>0</v>
      </c>
      <c r="V275" s="2961">
        <f t="shared" si="68"/>
        <v>0</v>
      </c>
      <c r="W275" s="998"/>
      <c r="X275" s="2961">
        <f t="shared" si="69"/>
        <v>0</v>
      </c>
      <c r="Y275" s="296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61">
        <f t="shared" si="67"/>
        <v>0</v>
      </c>
      <c r="V276" s="2961">
        <f t="shared" si="68"/>
        <v>0</v>
      </c>
      <c r="W276" s="998"/>
      <c r="X276" s="2961">
        <f t="shared" si="69"/>
        <v>0</v>
      </c>
      <c r="Y276" s="296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61">
        <f t="shared" si="67"/>
        <v>0</v>
      </c>
      <c r="V277" s="2961">
        <f t="shared" si="68"/>
        <v>0</v>
      </c>
      <c r="W277" s="998"/>
      <c r="X277" s="2961">
        <f t="shared" si="69"/>
        <v>0</v>
      </c>
      <c r="Y277" s="296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61">
        <f t="shared" si="67"/>
        <v>0</v>
      </c>
      <c r="V278" s="2961">
        <f t="shared" si="68"/>
        <v>0</v>
      </c>
      <c r="W278" s="998"/>
      <c r="X278" s="2961">
        <f t="shared" si="69"/>
        <v>0</v>
      </c>
      <c r="Y278" s="296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61">
        <f t="shared" si="67"/>
        <v>0</v>
      </c>
      <c r="V279" s="2961">
        <f t="shared" si="68"/>
        <v>0</v>
      </c>
      <c r="W279" s="998"/>
      <c r="X279" s="2961">
        <f t="shared" si="69"/>
        <v>0</v>
      </c>
      <c r="Y279" s="296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61">
        <f t="shared" si="67"/>
        <v>0</v>
      </c>
      <c r="V280" s="2961">
        <f t="shared" si="68"/>
        <v>0</v>
      </c>
      <c r="W280" s="998"/>
      <c r="X280" s="2961">
        <f t="shared" si="69"/>
        <v>0</v>
      </c>
      <c r="Y280" s="296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61">
        <f t="shared" si="67"/>
        <v>0</v>
      </c>
      <c r="V281" s="2961">
        <f t="shared" si="68"/>
        <v>0</v>
      </c>
      <c r="W281" s="998"/>
      <c r="X281" s="2961">
        <f t="shared" si="69"/>
        <v>0</v>
      </c>
      <c r="Y281" s="296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61">
        <f t="shared" si="67"/>
        <v>0</v>
      </c>
      <c r="V282" s="2961">
        <f t="shared" si="68"/>
        <v>0</v>
      </c>
      <c r="W282" s="998"/>
      <c r="X282" s="2961">
        <f t="shared" si="69"/>
        <v>0</v>
      </c>
      <c r="Y282" s="296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61">
        <f t="shared" si="67"/>
        <v>0</v>
      </c>
      <c r="V283" s="2961">
        <f t="shared" si="68"/>
        <v>0</v>
      </c>
      <c r="W283" s="998"/>
      <c r="X283" s="2961">
        <f t="shared" si="69"/>
        <v>0</v>
      </c>
      <c r="Y283" s="296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61">
        <f t="shared" ref="U284:U347" si="82">ROUND(W284*B284,0)</f>
        <v>0</v>
      </c>
      <c r="V284" s="2961">
        <f t="shared" ref="V284:V347" si="83">ROUND(W284*B284/10000,0)</f>
        <v>0</v>
      </c>
      <c r="W284" s="998"/>
      <c r="X284" s="2961">
        <f t="shared" ref="X284:X347" si="84">ROUND(Z284*B284,0)</f>
        <v>0</v>
      </c>
      <c r="Y284" s="296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61">
        <f t="shared" si="82"/>
        <v>0</v>
      </c>
      <c r="V285" s="2961">
        <f t="shared" si="83"/>
        <v>0</v>
      </c>
      <c r="W285" s="998"/>
      <c r="X285" s="2961">
        <f t="shared" si="84"/>
        <v>0</v>
      </c>
      <c r="Y285" s="296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61">
        <f t="shared" si="82"/>
        <v>0</v>
      </c>
      <c r="V286" s="2961">
        <f t="shared" si="83"/>
        <v>0</v>
      </c>
      <c r="W286" s="998"/>
      <c r="X286" s="2961">
        <f t="shared" si="84"/>
        <v>0</v>
      </c>
      <c r="Y286" s="296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61">
        <f t="shared" si="82"/>
        <v>0</v>
      </c>
      <c r="V287" s="2961">
        <f t="shared" si="83"/>
        <v>0</v>
      </c>
      <c r="W287" s="998"/>
      <c r="X287" s="2961">
        <f t="shared" si="84"/>
        <v>0</v>
      </c>
      <c r="Y287" s="296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61">
        <f t="shared" si="82"/>
        <v>0</v>
      </c>
      <c r="V288" s="2961">
        <f t="shared" si="83"/>
        <v>0</v>
      </c>
      <c r="W288" s="998"/>
      <c r="X288" s="2961">
        <f t="shared" si="84"/>
        <v>0</v>
      </c>
      <c r="Y288" s="296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61">
        <f t="shared" si="82"/>
        <v>0</v>
      </c>
      <c r="V289" s="2961">
        <f t="shared" si="83"/>
        <v>0</v>
      </c>
      <c r="W289" s="998"/>
      <c r="X289" s="2961">
        <f t="shared" si="84"/>
        <v>0</v>
      </c>
      <c r="Y289" s="296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61">
        <f t="shared" si="82"/>
        <v>0</v>
      </c>
      <c r="V290" s="2961">
        <f t="shared" si="83"/>
        <v>0</v>
      </c>
      <c r="W290" s="998"/>
      <c r="X290" s="2961">
        <f t="shared" si="84"/>
        <v>0</v>
      </c>
      <c r="Y290" s="296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61">
        <f t="shared" si="82"/>
        <v>0</v>
      </c>
      <c r="V291" s="2961">
        <f t="shared" si="83"/>
        <v>0</v>
      </c>
      <c r="W291" s="998"/>
      <c r="X291" s="2961">
        <f t="shared" si="84"/>
        <v>0</v>
      </c>
      <c r="Y291" s="296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61">
        <f t="shared" si="82"/>
        <v>0</v>
      </c>
      <c r="V292" s="2961">
        <f t="shared" si="83"/>
        <v>0</v>
      </c>
      <c r="W292" s="998"/>
      <c r="X292" s="2961">
        <f t="shared" si="84"/>
        <v>0</v>
      </c>
      <c r="Y292" s="296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61">
        <f t="shared" si="82"/>
        <v>0</v>
      </c>
      <c r="V293" s="2961">
        <f t="shared" si="83"/>
        <v>0</v>
      </c>
      <c r="W293" s="998"/>
      <c r="X293" s="2961">
        <f t="shared" si="84"/>
        <v>0</v>
      </c>
      <c r="Y293" s="296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61">
        <f t="shared" si="82"/>
        <v>0</v>
      </c>
      <c r="V294" s="2961">
        <f t="shared" si="83"/>
        <v>0</v>
      </c>
      <c r="W294" s="998"/>
      <c r="X294" s="2961">
        <f t="shared" si="84"/>
        <v>0</v>
      </c>
      <c r="Y294" s="296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61">
        <f t="shared" si="82"/>
        <v>0</v>
      </c>
      <c r="V295" s="2961">
        <f t="shared" si="83"/>
        <v>0</v>
      </c>
      <c r="W295" s="998"/>
      <c r="X295" s="2961">
        <f t="shared" si="84"/>
        <v>0</v>
      </c>
      <c r="Y295" s="296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61">
        <f t="shared" si="82"/>
        <v>0</v>
      </c>
      <c r="V296" s="2961">
        <f t="shared" si="83"/>
        <v>0</v>
      </c>
      <c r="W296" s="998"/>
      <c r="X296" s="2961">
        <f t="shared" si="84"/>
        <v>0</v>
      </c>
      <c r="Y296" s="296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61">
        <f t="shared" si="82"/>
        <v>0</v>
      </c>
      <c r="V297" s="2961">
        <f t="shared" si="83"/>
        <v>0</v>
      </c>
      <c r="W297" s="998"/>
      <c r="X297" s="2961">
        <f t="shared" si="84"/>
        <v>0</v>
      </c>
      <c r="Y297" s="296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61">
        <f t="shared" si="82"/>
        <v>0</v>
      </c>
      <c r="V298" s="2961">
        <f t="shared" si="83"/>
        <v>0</v>
      </c>
      <c r="W298" s="998"/>
      <c r="X298" s="2961">
        <f t="shared" si="84"/>
        <v>0</v>
      </c>
      <c r="Y298" s="296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61">
        <f t="shared" si="82"/>
        <v>0</v>
      </c>
      <c r="V299" s="2961">
        <f t="shared" si="83"/>
        <v>0</v>
      </c>
      <c r="W299" s="998"/>
      <c r="X299" s="2961">
        <f t="shared" si="84"/>
        <v>0</v>
      </c>
      <c r="Y299" s="296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61">
        <f t="shared" si="82"/>
        <v>0</v>
      </c>
      <c r="V300" s="2961">
        <f t="shared" si="83"/>
        <v>0</v>
      </c>
      <c r="W300" s="998"/>
      <c r="X300" s="2961">
        <f t="shared" si="84"/>
        <v>0</v>
      </c>
      <c r="Y300" s="296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61">
        <f t="shared" si="82"/>
        <v>0</v>
      </c>
      <c r="V301" s="2961">
        <f t="shared" si="83"/>
        <v>0</v>
      </c>
      <c r="W301" s="998"/>
      <c r="X301" s="2961">
        <f t="shared" si="84"/>
        <v>0</v>
      </c>
      <c r="Y301" s="296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61">
        <f t="shared" si="82"/>
        <v>0</v>
      </c>
      <c r="V302" s="2961">
        <f t="shared" si="83"/>
        <v>0</v>
      </c>
      <c r="W302" s="998"/>
      <c r="X302" s="2961">
        <f t="shared" si="84"/>
        <v>0</v>
      </c>
      <c r="Y302" s="296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61">
        <f t="shared" si="82"/>
        <v>0</v>
      </c>
      <c r="V303" s="2961">
        <f t="shared" si="83"/>
        <v>0</v>
      </c>
      <c r="W303" s="998"/>
      <c r="X303" s="2961">
        <f t="shared" si="84"/>
        <v>0</v>
      </c>
      <c r="Y303" s="296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61">
        <f t="shared" si="82"/>
        <v>0</v>
      </c>
      <c r="V304" s="2961">
        <f t="shared" si="83"/>
        <v>0</v>
      </c>
      <c r="W304" s="998"/>
      <c r="X304" s="2961">
        <f t="shared" si="84"/>
        <v>0</v>
      </c>
      <c r="Y304" s="296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61">
        <f t="shared" si="82"/>
        <v>0</v>
      </c>
      <c r="V305" s="2961">
        <f t="shared" si="83"/>
        <v>0</v>
      </c>
      <c r="W305" s="998"/>
      <c r="X305" s="2961">
        <f t="shared" si="84"/>
        <v>0</v>
      </c>
      <c r="Y305" s="296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61">
        <f t="shared" si="82"/>
        <v>0</v>
      </c>
      <c r="V306" s="2961">
        <f t="shared" si="83"/>
        <v>0</v>
      </c>
      <c r="W306" s="998"/>
      <c r="X306" s="2961">
        <f t="shared" si="84"/>
        <v>0</v>
      </c>
      <c r="Y306" s="296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61">
        <f t="shared" si="82"/>
        <v>0</v>
      </c>
      <c r="V307" s="2961">
        <f t="shared" si="83"/>
        <v>0</v>
      </c>
      <c r="W307" s="998"/>
      <c r="X307" s="2961">
        <f t="shared" si="84"/>
        <v>0</v>
      </c>
      <c r="Y307" s="296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61">
        <f t="shared" si="82"/>
        <v>0</v>
      </c>
      <c r="V308" s="2961">
        <f t="shared" si="83"/>
        <v>0</v>
      </c>
      <c r="W308" s="998"/>
      <c r="X308" s="2961">
        <f t="shared" si="84"/>
        <v>0</v>
      </c>
      <c r="Y308" s="296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61">
        <f t="shared" si="82"/>
        <v>0</v>
      </c>
      <c r="V309" s="2961">
        <f t="shared" si="83"/>
        <v>0</v>
      </c>
      <c r="W309" s="998"/>
      <c r="X309" s="2961">
        <f t="shared" si="84"/>
        <v>0</v>
      </c>
      <c r="Y309" s="296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61">
        <f t="shared" si="82"/>
        <v>0</v>
      </c>
      <c r="V310" s="2961">
        <f t="shared" si="83"/>
        <v>0</v>
      </c>
      <c r="W310" s="998"/>
      <c r="X310" s="2961">
        <f t="shared" si="84"/>
        <v>0</v>
      </c>
      <c r="Y310" s="296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61">
        <f t="shared" si="82"/>
        <v>0</v>
      </c>
      <c r="V311" s="2961">
        <f t="shared" si="83"/>
        <v>0</v>
      </c>
      <c r="W311" s="998"/>
      <c r="X311" s="2961">
        <f t="shared" si="84"/>
        <v>0</v>
      </c>
      <c r="Y311" s="296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61">
        <f t="shared" si="82"/>
        <v>0</v>
      </c>
      <c r="V312" s="2961">
        <f t="shared" si="83"/>
        <v>0</v>
      </c>
      <c r="W312" s="998"/>
      <c r="X312" s="2961">
        <f t="shared" si="84"/>
        <v>0</v>
      </c>
      <c r="Y312" s="296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61">
        <f t="shared" si="82"/>
        <v>0</v>
      </c>
      <c r="V313" s="2961">
        <f t="shared" si="83"/>
        <v>0</v>
      </c>
      <c r="W313" s="998"/>
      <c r="X313" s="2961">
        <f t="shared" si="84"/>
        <v>0</v>
      </c>
      <c r="Y313" s="296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61">
        <f t="shared" si="82"/>
        <v>0</v>
      </c>
      <c r="V314" s="2961">
        <f t="shared" si="83"/>
        <v>0</v>
      </c>
      <c r="W314" s="998"/>
      <c r="X314" s="2961">
        <f t="shared" si="84"/>
        <v>0</v>
      </c>
      <c r="Y314" s="296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61">
        <f t="shared" si="82"/>
        <v>0</v>
      </c>
      <c r="V315" s="2961">
        <f t="shared" si="83"/>
        <v>0</v>
      </c>
      <c r="W315" s="998"/>
      <c r="X315" s="2961">
        <f t="shared" si="84"/>
        <v>0</v>
      </c>
      <c r="Y315" s="296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61">
        <f t="shared" si="82"/>
        <v>0</v>
      </c>
      <c r="V316" s="2961">
        <f t="shared" si="83"/>
        <v>0</v>
      </c>
      <c r="W316" s="998"/>
      <c r="X316" s="2961">
        <f t="shared" si="84"/>
        <v>0</v>
      </c>
      <c r="Y316" s="296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61">
        <f t="shared" si="82"/>
        <v>0</v>
      </c>
      <c r="V317" s="2961">
        <f t="shared" si="83"/>
        <v>0</v>
      </c>
      <c r="W317" s="998"/>
      <c r="X317" s="2961">
        <f t="shared" si="84"/>
        <v>0</v>
      </c>
      <c r="Y317" s="296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61">
        <f t="shared" si="82"/>
        <v>0</v>
      </c>
      <c r="V318" s="2961">
        <f t="shared" si="83"/>
        <v>0</v>
      </c>
      <c r="W318" s="998"/>
      <c r="X318" s="2961">
        <f t="shared" si="84"/>
        <v>0</v>
      </c>
      <c r="Y318" s="296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61">
        <f t="shared" si="82"/>
        <v>0</v>
      </c>
      <c r="V319" s="2961">
        <f t="shared" si="83"/>
        <v>0</v>
      </c>
      <c r="W319" s="998"/>
      <c r="X319" s="2961">
        <f t="shared" si="84"/>
        <v>0</v>
      </c>
      <c r="Y319" s="296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61">
        <f t="shared" si="82"/>
        <v>0</v>
      </c>
      <c r="V320" s="2961">
        <f t="shared" si="83"/>
        <v>0</v>
      </c>
      <c r="W320" s="998"/>
      <c r="X320" s="2961">
        <f t="shared" si="84"/>
        <v>0</v>
      </c>
      <c r="Y320" s="296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61">
        <f t="shared" si="82"/>
        <v>0</v>
      </c>
      <c r="V321" s="2961">
        <f t="shared" si="83"/>
        <v>0</v>
      </c>
      <c r="W321" s="998"/>
      <c r="X321" s="2961">
        <f t="shared" si="84"/>
        <v>0</v>
      </c>
      <c r="Y321" s="296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61">
        <f t="shared" si="82"/>
        <v>0</v>
      </c>
      <c r="V322" s="2961">
        <f t="shared" si="83"/>
        <v>0</v>
      </c>
      <c r="W322" s="998"/>
      <c r="X322" s="2961">
        <f t="shared" si="84"/>
        <v>0</v>
      </c>
      <c r="Y322" s="296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61">
        <f t="shared" si="82"/>
        <v>0</v>
      </c>
      <c r="V323" s="2961">
        <f t="shared" si="83"/>
        <v>0</v>
      </c>
      <c r="W323" s="998"/>
      <c r="X323" s="2961">
        <f t="shared" si="84"/>
        <v>0</v>
      </c>
      <c r="Y323" s="296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61">
        <f t="shared" si="82"/>
        <v>0</v>
      </c>
      <c r="V324" s="2961">
        <f t="shared" si="83"/>
        <v>0</v>
      </c>
      <c r="W324" s="998"/>
      <c r="X324" s="2961">
        <f t="shared" si="84"/>
        <v>0</v>
      </c>
      <c r="Y324" s="296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61">
        <f t="shared" si="82"/>
        <v>0</v>
      </c>
      <c r="V325" s="2961">
        <f t="shared" si="83"/>
        <v>0</v>
      </c>
      <c r="W325" s="998"/>
      <c r="X325" s="2961">
        <f t="shared" si="84"/>
        <v>0</v>
      </c>
      <c r="Y325" s="296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61">
        <f t="shared" si="82"/>
        <v>0</v>
      </c>
      <c r="V326" s="2961">
        <f t="shared" si="83"/>
        <v>0</v>
      </c>
      <c r="W326" s="998"/>
      <c r="X326" s="2961">
        <f t="shared" si="84"/>
        <v>0</v>
      </c>
      <c r="Y326" s="296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61">
        <f t="shared" si="82"/>
        <v>0</v>
      </c>
      <c r="V327" s="2961">
        <f t="shared" si="83"/>
        <v>0</v>
      </c>
      <c r="W327" s="998"/>
      <c r="X327" s="2961">
        <f t="shared" si="84"/>
        <v>0</v>
      </c>
      <c r="Y327" s="296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61">
        <f t="shared" si="82"/>
        <v>0</v>
      </c>
      <c r="V328" s="2961">
        <f t="shared" si="83"/>
        <v>0</v>
      </c>
      <c r="W328" s="998"/>
      <c r="X328" s="2961">
        <f t="shared" si="84"/>
        <v>0</v>
      </c>
      <c r="Y328" s="296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61">
        <f t="shared" si="82"/>
        <v>0</v>
      </c>
      <c r="V329" s="2961">
        <f t="shared" si="83"/>
        <v>0</v>
      </c>
      <c r="W329" s="998"/>
      <c r="X329" s="2961">
        <f t="shared" si="84"/>
        <v>0</v>
      </c>
      <c r="Y329" s="296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61">
        <f t="shared" si="82"/>
        <v>0</v>
      </c>
      <c r="V330" s="2961">
        <f t="shared" si="83"/>
        <v>0</v>
      </c>
      <c r="W330" s="998"/>
      <c r="X330" s="2961">
        <f t="shared" si="84"/>
        <v>0</v>
      </c>
      <c r="Y330" s="296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61">
        <f t="shared" si="82"/>
        <v>0</v>
      </c>
      <c r="V331" s="2961">
        <f t="shared" si="83"/>
        <v>0</v>
      </c>
      <c r="W331" s="998"/>
      <c r="X331" s="2961">
        <f t="shared" si="84"/>
        <v>0</v>
      </c>
      <c r="Y331" s="296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61">
        <f t="shared" si="82"/>
        <v>0</v>
      </c>
      <c r="V332" s="2961">
        <f t="shared" si="83"/>
        <v>0</v>
      </c>
      <c r="W332" s="998"/>
      <c r="X332" s="2961">
        <f t="shared" si="84"/>
        <v>0</v>
      </c>
      <c r="Y332" s="296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61">
        <f t="shared" si="82"/>
        <v>0</v>
      </c>
      <c r="V333" s="2961">
        <f t="shared" si="83"/>
        <v>0</v>
      </c>
      <c r="W333" s="998"/>
      <c r="X333" s="2961">
        <f t="shared" si="84"/>
        <v>0</v>
      </c>
      <c r="Y333" s="296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61">
        <f t="shared" si="82"/>
        <v>0</v>
      </c>
      <c r="V334" s="2961">
        <f t="shared" si="83"/>
        <v>0</v>
      </c>
      <c r="W334" s="998"/>
      <c r="X334" s="2961">
        <f t="shared" si="84"/>
        <v>0</v>
      </c>
      <c r="Y334" s="296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61">
        <f t="shared" si="82"/>
        <v>0</v>
      </c>
      <c r="V335" s="2961">
        <f t="shared" si="83"/>
        <v>0</v>
      </c>
      <c r="W335" s="998"/>
      <c r="X335" s="2961">
        <f t="shared" si="84"/>
        <v>0</v>
      </c>
      <c r="Y335" s="296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61">
        <f t="shared" si="82"/>
        <v>0</v>
      </c>
      <c r="V336" s="2961">
        <f t="shared" si="83"/>
        <v>0</v>
      </c>
      <c r="W336" s="998"/>
      <c r="X336" s="2961">
        <f t="shared" si="84"/>
        <v>0</v>
      </c>
      <c r="Y336" s="296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61">
        <f t="shared" si="82"/>
        <v>0</v>
      </c>
      <c r="V337" s="2961">
        <f t="shared" si="83"/>
        <v>0</v>
      </c>
      <c r="W337" s="998"/>
      <c r="X337" s="2961">
        <f t="shared" si="84"/>
        <v>0</v>
      </c>
      <c r="Y337" s="296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61">
        <f t="shared" si="82"/>
        <v>0</v>
      </c>
      <c r="V338" s="2961">
        <f t="shared" si="83"/>
        <v>0</v>
      </c>
      <c r="W338" s="998"/>
      <c r="X338" s="2961">
        <f t="shared" si="84"/>
        <v>0</v>
      </c>
      <c r="Y338" s="296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61">
        <f t="shared" si="82"/>
        <v>0</v>
      </c>
      <c r="V339" s="2961">
        <f t="shared" si="83"/>
        <v>0</v>
      </c>
      <c r="W339" s="998"/>
      <c r="X339" s="2961">
        <f t="shared" si="84"/>
        <v>0</v>
      </c>
      <c r="Y339" s="296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61">
        <f t="shared" si="82"/>
        <v>0</v>
      </c>
      <c r="V340" s="2961">
        <f t="shared" si="83"/>
        <v>0</v>
      </c>
      <c r="W340" s="998"/>
      <c r="X340" s="2961">
        <f t="shared" si="84"/>
        <v>0</v>
      </c>
      <c r="Y340" s="296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61">
        <f t="shared" si="82"/>
        <v>0</v>
      </c>
      <c r="V341" s="2961">
        <f t="shared" si="83"/>
        <v>0</v>
      </c>
      <c r="W341" s="998"/>
      <c r="X341" s="2961">
        <f t="shared" si="84"/>
        <v>0</v>
      </c>
      <c r="Y341" s="296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61">
        <f t="shared" si="82"/>
        <v>0</v>
      </c>
      <c r="V342" s="2961">
        <f t="shared" si="83"/>
        <v>0</v>
      </c>
      <c r="W342" s="998"/>
      <c r="X342" s="2961">
        <f t="shared" si="84"/>
        <v>0</v>
      </c>
      <c r="Y342" s="296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61">
        <f t="shared" si="82"/>
        <v>0</v>
      </c>
      <c r="V343" s="2961">
        <f t="shared" si="83"/>
        <v>0</v>
      </c>
      <c r="W343" s="998"/>
      <c r="X343" s="2961">
        <f t="shared" si="84"/>
        <v>0</v>
      </c>
      <c r="Y343" s="296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61">
        <f t="shared" si="82"/>
        <v>0</v>
      </c>
      <c r="V344" s="2961">
        <f t="shared" si="83"/>
        <v>0</v>
      </c>
      <c r="W344" s="998"/>
      <c r="X344" s="2961">
        <f t="shared" si="84"/>
        <v>0</v>
      </c>
      <c r="Y344" s="296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61">
        <f t="shared" si="82"/>
        <v>0</v>
      </c>
      <c r="V345" s="2961">
        <f t="shared" si="83"/>
        <v>0</v>
      </c>
      <c r="W345" s="998"/>
      <c r="X345" s="2961">
        <f t="shared" si="84"/>
        <v>0</v>
      </c>
      <c r="Y345" s="296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61">
        <f t="shared" si="82"/>
        <v>0</v>
      </c>
      <c r="V346" s="2961">
        <f t="shared" si="83"/>
        <v>0</v>
      </c>
      <c r="W346" s="998"/>
      <c r="X346" s="2961">
        <f t="shared" si="84"/>
        <v>0</v>
      </c>
      <c r="Y346" s="296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61">
        <f t="shared" si="82"/>
        <v>0</v>
      </c>
      <c r="V347" s="2961">
        <f t="shared" si="83"/>
        <v>0</v>
      </c>
      <c r="W347" s="998"/>
      <c r="X347" s="2961">
        <f t="shared" si="84"/>
        <v>0</v>
      </c>
      <c r="Y347" s="296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61">
        <f t="shared" ref="U348:U411" si="97">ROUND(W348*B348,0)</f>
        <v>0</v>
      </c>
      <c r="V348" s="2961">
        <f t="shared" ref="V348:V411" si="98">ROUND(W348*B348/10000,0)</f>
        <v>0</v>
      </c>
      <c r="W348" s="998"/>
      <c r="X348" s="2961">
        <f t="shared" ref="X348:X411" si="99">ROUND(Z348*B348,0)</f>
        <v>0</v>
      </c>
      <c r="Y348" s="296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61">
        <f t="shared" si="97"/>
        <v>0</v>
      </c>
      <c r="V349" s="2961">
        <f t="shared" si="98"/>
        <v>0</v>
      </c>
      <c r="W349" s="998"/>
      <c r="X349" s="2961">
        <f t="shared" si="99"/>
        <v>0</v>
      </c>
      <c r="Y349" s="296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61">
        <f t="shared" si="97"/>
        <v>0</v>
      </c>
      <c r="V350" s="2961">
        <f t="shared" si="98"/>
        <v>0</v>
      </c>
      <c r="W350" s="998"/>
      <c r="X350" s="2961">
        <f t="shared" si="99"/>
        <v>0</v>
      </c>
      <c r="Y350" s="296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61">
        <f t="shared" si="97"/>
        <v>0</v>
      </c>
      <c r="V351" s="2961">
        <f t="shared" si="98"/>
        <v>0</v>
      </c>
      <c r="W351" s="998"/>
      <c r="X351" s="2961">
        <f t="shared" si="99"/>
        <v>0</v>
      </c>
      <c r="Y351" s="296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61">
        <f t="shared" si="97"/>
        <v>0</v>
      </c>
      <c r="V352" s="2961">
        <f t="shared" si="98"/>
        <v>0</v>
      </c>
      <c r="W352" s="998"/>
      <c r="X352" s="2961">
        <f t="shared" si="99"/>
        <v>0</v>
      </c>
      <c r="Y352" s="296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61">
        <f t="shared" si="97"/>
        <v>0</v>
      </c>
      <c r="V353" s="2961">
        <f t="shared" si="98"/>
        <v>0</v>
      </c>
      <c r="W353" s="998"/>
      <c r="X353" s="2961">
        <f t="shared" si="99"/>
        <v>0</v>
      </c>
      <c r="Y353" s="296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61">
        <f t="shared" si="97"/>
        <v>0</v>
      </c>
      <c r="V354" s="2961">
        <f t="shared" si="98"/>
        <v>0</v>
      </c>
      <c r="W354" s="998"/>
      <c r="X354" s="2961">
        <f t="shared" si="99"/>
        <v>0</v>
      </c>
      <c r="Y354" s="296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61">
        <f t="shared" si="97"/>
        <v>0</v>
      </c>
      <c r="V355" s="2961">
        <f t="shared" si="98"/>
        <v>0</v>
      </c>
      <c r="W355" s="998"/>
      <c r="X355" s="2961">
        <f t="shared" si="99"/>
        <v>0</v>
      </c>
      <c r="Y355" s="296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61">
        <f t="shared" si="97"/>
        <v>0</v>
      </c>
      <c r="V356" s="2961">
        <f t="shared" si="98"/>
        <v>0</v>
      </c>
      <c r="W356" s="998"/>
      <c r="X356" s="2961">
        <f t="shared" si="99"/>
        <v>0</v>
      </c>
      <c r="Y356" s="296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61">
        <f t="shared" si="97"/>
        <v>0</v>
      </c>
      <c r="V357" s="2961">
        <f t="shared" si="98"/>
        <v>0</v>
      </c>
      <c r="W357" s="998"/>
      <c r="X357" s="2961">
        <f t="shared" si="99"/>
        <v>0</v>
      </c>
      <c r="Y357" s="296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61">
        <f t="shared" si="97"/>
        <v>0</v>
      </c>
      <c r="V358" s="2961">
        <f t="shared" si="98"/>
        <v>0</v>
      </c>
      <c r="W358" s="998"/>
      <c r="X358" s="2961">
        <f t="shared" si="99"/>
        <v>0</v>
      </c>
      <c r="Y358" s="296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61">
        <f t="shared" si="97"/>
        <v>0</v>
      </c>
      <c r="V359" s="2961">
        <f t="shared" si="98"/>
        <v>0</v>
      </c>
      <c r="W359" s="998"/>
      <c r="X359" s="2961">
        <f t="shared" si="99"/>
        <v>0</v>
      </c>
      <c r="Y359" s="296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61">
        <f t="shared" si="97"/>
        <v>0</v>
      </c>
      <c r="V360" s="2961">
        <f t="shared" si="98"/>
        <v>0</v>
      </c>
      <c r="W360" s="998"/>
      <c r="X360" s="2961">
        <f t="shared" si="99"/>
        <v>0</v>
      </c>
      <c r="Y360" s="296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61">
        <f t="shared" si="97"/>
        <v>0</v>
      </c>
      <c r="V361" s="2961">
        <f t="shared" si="98"/>
        <v>0</v>
      </c>
      <c r="W361" s="998"/>
      <c r="X361" s="2961">
        <f t="shared" si="99"/>
        <v>0</v>
      </c>
      <c r="Y361" s="296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61">
        <f t="shared" si="97"/>
        <v>0</v>
      </c>
      <c r="V362" s="2961">
        <f t="shared" si="98"/>
        <v>0</v>
      </c>
      <c r="W362" s="998"/>
      <c r="X362" s="2961">
        <f t="shared" si="99"/>
        <v>0</v>
      </c>
      <c r="Y362" s="296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61">
        <f t="shared" si="97"/>
        <v>0</v>
      </c>
      <c r="V363" s="2961">
        <f t="shared" si="98"/>
        <v>0</v>
      </c>
      <c r="W363" s="998"/>
      <c r="X363" s="2961">
        <f t="shared" si="99"/>
        <v>0</v>
      </c>
      <c r="Y363" s="296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61">
        <f t="shared" si="97"/>
        <v>0</v>
      </c>
      <c r="V364" s="2961">
        <f t="shared" si="98"/>
        <v>0</v>
      </c>
      <c r="W364" s="998"/>
      <c r="X364" s="2961">
        <f t="shared" si="99"/>
        <v>0</v>
      </c>
      <c r="Y364" s="296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61">
        <f t="shared" si="97"/>
        <v>0</v>
      </c>
      <c r="V365" s="2961">
        <f t="shared" si="98"/>
        <v>0</v>
      </c>
      <c r="W365" s="998"/>
      <c r="X365" s="2961">
        <f t="shared" si="99"/>
        <v>0</v>
      </c>
      <c r="Y365" s="296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61">
        <f t="shared" si="97"/>
        <v>0</v>
      </c>
      <c r="V366" s="2961">
        <f t="shared" si="98"/>
        <v>0</v>
      </c>
      <c r="W366" s="998"/>
      <c r="X366" s="2961">
        <f t="shared" si="99"/>
        <v>0</v>
      </c>
      <c r="Y366" s="296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61">
        <f t="shared" si="97"/>
        <v>0</v>
      </c>
      <c r="V367" s="2961">
        <f t="shared" si="98"/>
        <v>0</v>
      </c>
      <c r="W367" s="998"/>
      <c r="X367" s="2961">
        <f t="shared" si="99"/>
        <v>0</v>
      </c>
      <c r="Y367" s="296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61">
        <f t="shared" si="97"/>
        <v>0</v>
      </c>
      <c r="V368" s="2961">
        <f t="shared" si="98"/>
        <v>0</v>
      </c>
      <c r="W368" s="998"/>
      <c r="X368" s="2961">
        <f t="shared" si="99"/>
        <v>0</v>
      </c>
      <c r="Y368" s="296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61">
        <f t="shared" si="97"/>
        <v>0</v>
      </c>
      <c r="V369" s="2961">
        <f t="shared" si="98"/>
        <v>0</v>
      </c>
      <c r="W369" s="998"/>
      <c r="X369" s="2961">
        <f t="shared" si="99"/>
        <v>0</v>
      </c>
      <c r="Y369" s="296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61">
        <f t="shared" si="97"/>
        <v>0</v>
      </c>
      <c r="V370" s="2961">
        <f t="shared" si="98"/>
        <v>0</v>
      </c>
      <c r="W370" s="998"/>
      <c r="X370" s="2961">
        <f t="shared" si="99"/>
        <v>0</v>
      </c>
      <c r="Y370" s="296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61">
        <f t="shared" si="97"/>
        <v>0</v>
      </c>
      <c r="V371" s="2961">
        <f t="shared" si="98"/>
        <v>0</v>
      </c>
      <c r="W371" s="998"/>
      <c r="X371" s="2961">
        <f t="shared" si="99"/>
        <v>0</v>
      </c>
      <c r="Y371" s="296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61">
        <f t="shared" si="97"/>
        <v>0</v>
      </c>
      <c r="V372" s="2961">
        <f t="shared" si="98"/>
        <v>0</v>
      </c>
      <c r="W372" s="998"/>
      <c r="X372" s="2961">
        <f t="shared" si="99"/>
        <v>0</v>
      </c>
      <c r="Y372" s="296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61">
        <f t="shared" si="97"/>
        <v>0</v>
      </c>
      <c r="V373" s="2961">
        <f t="shared" si="98"/>
        <v>0</v>
      </c>
      <c r="W373" s="998"/>
      <c r="X373" s="2961">
        <f t="shared" si="99"/>
        <v>0</v>
      </c>
      <c r="Y373" s="296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61">
        <f t="shared" si="97"/>
        <v>0</v>
      </c>
      <c r="V374" s="2961">
        <f t="shared" si="98"/>
        <v>0</v>
      </c>
      <c r="W374" s="998"/>
      <c r="X374" s="2961">
        <f t="shared" si="99"/>
        <v>0</v>
      </c>
      <c r="Y374" s="296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61">
        <f t="shared" si="97"/>
        <v>0</v>
      </c>
      <c r="V375" s="2961">
        <f t="shared" si="98"/>
        <v>0</v>
      </c>
      <c r="W375" s="998"/>
      <c r="X375" s="2961">
        <f t="shared" si="99"/>
        <v>0</v>
      </c>
      <c r="Y375" s="296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61">
        <f t="shared" si="97"/>
        <v>0</v>
      </c>
      <c r="V376" s="2961">
        <f t="shared" si="98"/>
        <v>0</v>
      </c>
      <c r="W376" s="998"/>
      <c r="X376" s="2961">
        <f t="shared" si="99"/>
        <v>0</v>
      </c>
      <c r="Y376" s="296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61">
        <f t="shared" si="97"/>
        <v>0</v>
      </c>
      <c r="V377" s="2961">
        <f t="shared" si="98"/>
        <v>0</v>
      </c>
      <c r="W377" s="998"/>
      <c r="X377" s="2961">
        <f t="shared" si="99"/>
        <v>0</v>
      </c>
      <c r="Y377" s="296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61">
        <f t="shared" si="97"/>
        <v>0</v>
      </c>
      <c r="V378" s="2961">
        <f t="shared" si="98"/>
        <v>0</v>
      </c>
      <c r="W378" s="998"/>
      <c r="X378" s="2961">
        <f t="shared" si="99"/>
        <v>0</v>
      </c>
      <c r="Y378" s="296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61">
        <f t="shared" si="97"/>
        <v>0</v>
      </c>
      <c r="V379" s="2961">
        <f t="shared" si="98"/>
        <v>0</v>
      </c>
      <c r="W379" s="998"/>
      <c r="X379" s="2961">
        <f t="shared" si="99"/>
        <v>0</v>
      </c>
      <c r="Y379" s="296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61">
        <f t="shared" si="97"/>
        <v>0</v>
      </c>
      <c r="V380" s="2961">
        <f t="shared" si="98"/>
        <v>0</v>
      </c>
      <c r="W380" s="998"/>
      <c r="X380" s="2961">
        <f t="shared" si="99"/>
        <v>0</v>
      </c>
      <c r="Y380" s="296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61">
        <f t="shared" si="97"/>
        <v>0</v>
      </c>
      <c r="V381" s="2961">
        <f t="shared" si="98"/>
        <v>0</v>
      </c>
      <c r="W381" s="998"/>
      <c r="X381" s="2961">
        <f t="shared" si="99"/>
        <v>0</v>
      </c>
      <c r="Y381" s="296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61">
        <f t="shared" si="97"/>
        <v>0</v>
      </c>
      <c r="V382" s="2961">
        <f t="shared" si="98"/>
        <v>0</v>
      </c>
      <c r="W382" s="998"/>
      <c r="X382" s="2961">
        <f t="shared" si="99"/>
        <v>0</v>
      </c>
      <c r="Y382" s="296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61">
        <f t="shared" si="97"/>
        <v>0</v>
      </c>
      <c r="V383" s="2961">
        <f t="shared" si="98"/>
        <v>0</v>
      </c>
      <c r="W383" s="998"/>
      <c r="X383" s="2961">
        <f t="shared" si="99"/>
        <v>0</v>
      </c>
      <c r="Y383" s="296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61">
        <f t="shared" si="97"/>
        <v>0</v>
      </c>
      <c r="V384" s="2961">
        <f t="shared" si="98"/>
        <v>0</v>
      </c>
      <c r="W384" s="998"/>
      <c r="X384" s="2961">
        <f t="shared" si="99"/>
        <v>0</v>
      </c>
      <c r="Y384" s="296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61">
        <f t="shared" si="97"/>
        <v>0</v>
      </c>
      <c r="V385" s="2961">
        <f t="shared" si="98"/>
        <v>0</v>
      </c>
      <c r="W385" s="998"/>
      <c r="X385" s="2961">
        <f t="shared" si="99"/>
        <v>0</v>
      </c>
      <c r="Y385" s="296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61">
        <f t="shared" si="97"/>
        <v>0</v>
      </c>
      <c r="V386" s="2961">
        <f t="shared" si="98"/>
        <v>0</v>
      </c>
      <c r="W386" s="998"/>
      <c r="X386" s="2961">
        <f t="shared" si="99"/>
        <v>0</v>
      </c>
      <c r="Y386" s="296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61">
        <f t="shared" si="97"/>
        <v>0</v>
      </c>
      <c r="V387" s="2961">
        <f t="shared" si="98"/>
        <v>0</v>
      </c>
      <c r="W387" s="998"/>
      <c r="X387" s="2961">
        <f t="shared" si="99"/>
        <v>0</v>
      </c>
      <c r="Y387" s="296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61">
        <f t="shared" si="97"/>
        <v>0</v>
      </c>
      <c r="V388" s="2961">
        <f t="shared" si="98"/>
        <v>0</v>
      </c>
      <c r="W388" s="998"/>
      <c r="X388" s="2961">
        <f t="shared" si="99"/>
        <v>0</v>
      </c>
      <c r="Y388" s="296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61">
        <f t="shared" si="97"/>
        <v>0</v>
      </c>
      <c r="V389" s="2961">
        <f t="shared" si="98"/>
        <v>0</v>
      </c>
      <c r="W389" s="998"/>
      <c r="X389" s="2961">
        <f t="shared" si="99"/>
        <v>0</v>
      </c>
      <c r="Y389" s="296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61">
        <f t="shared" si="97"/>
        <v>0</v>
      </c>
      <c r="V390" s="2961">
        <f t="shared" si="98"/>
        <v>0</v>
      </c>
      <c r="W390" s="998"/>
      <c r="X390" s="2961">
        <f t="shared" si="99"/>
        <v>0</v>
      </c>
      <c r="Y390" s="296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61">
        <f t="shared" si="97"/>
        <v>0</v>
      </c>
      <c r="V391" s="2961">
        <f t="shared" si="98"/>
        <v>0</v>
      </c>
      <c r="W391" s="998"/>
      <c r="X391" s="2961">
        <f t="shared" si="99"/>
        <v>0</v>
      </c>
      <c r="Y391" s="296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61">
        <f t="shared" si="97"/>
        <v>0</v>
      </c>
      <c r="V392" s="2961">
        <f t="shared" si="98"/>
        <v>0</v>
      </c>
      <c r="W392" s="998"/>
      <c r="X392" s="2961">
        <f t="shared" si="99"/>
        <v>0</v>
      </c>
      <c r="Y392" s="296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61">
        <f t="shared" si="97"/>
        <v>0</v>
      </c>
      <c r="V393" s="2961">
        <f t="shared" si="98"/>
        <v>0</v>
      </c>
      <c r="W393" s="998"/>
      <c r="X393" s="2961">
        <f t="shared" si="99"/>
        <v>0</v>
      </c>
      <c r="Y393" s="296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61">
        <f t="shared" si="97"/>
        <v>0</v>
      </c>
      <c r="V394" s="2961">
        <f t="shared" si="98"/>
        <v>0</v>
      </c>
      <c r="W394" s="998"/>
      <c r="X394" s="2961">
        <f t="shared" si="99"/>
        <v>0</v>
      </c>
      <c r="Y394" s="296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61">
        <f t="shared" si="97"/>
        <v>0</v>
      </c>
      <c r="V395" s="2961">
        <f t="shared" si="98"/>
        <v>0</v>
      </c>
      <c r="W395" s="998"/>
      <c r="X395" s="2961">
        <f t="shared" si="99"/>
        <v>0</v>
      </c>
      <c r="Y395" s="296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61">
        <f t="shared" si="97"/>
        <v>0</v>
      </c>
      <c r="V396" s="2961">
        <f t="shared" si="98"/>
        <v>0</v>
      </c>
      <c r="W396" s="998"/>
      <c r="X396" s="2961">
        <f t="shared" si="99"/>
        <v>0</v>
      </c>
      <c r="Y396" s="296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61">
        <f t="shared" si="97"/>
        <v>0</v>
      </c>
      <c r="V397" s="2961">
        <f t="shared" si="98"/>
        <v>0</v>
      </c>
      <c r="W397" s="998"/>
      <c r="X397" s="2961">
        <f t="shared" si="99"/>
        <v>0</v>
      </c>
      <c r="Y397" s="296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61">
        <f t="shared" si="97"/>
        <v>0</v>
      </c>
      <c r="V398" s="2961">
        <f t="shared" si="98"/>
        <v>0</v>
      </c>
      <c r="W398" s="998"/>
      <c r="X398" s="2961">
        <f t="shared" si="99"/>
        <v>0</v>
      </c>
      <c r="Y398" s="296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61">
        <f t="shared" si="97"/>
        <v>0</v>
      </c>
      <c r="V399" s="2961">
        <f t="shared" si="98"/>
        <v>0</v>
      </c>
      <c r="W399" s="998"/>
      <c r="X399" s="2961">
        <f t="shared" si="99"/>
        <v>0</v>
      </c>
      <c r="Y399" s="296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61">
        <f t="shared" si="97"/>
        <v>0</v>
      </c>
      <c r="V400" s="2961">
        <f t="shared" si="98"/>
        <v>0</v>
      </c>
      <c r="W400" s="998"/>
      <c r="X400" s="2961">
        <f t="shared" si="99"/>
        <v>0</v>
      </c>
      <c r="Y400" s="296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61">
        <f t="shared" si="97"/>
        <v>0</v>
      </c>
      <c r="V401" s="2961">
        <f t="shared" si="98"/>
        <v>0</v>
      </c>
      <c r="W401" s="998"/>
      <c r="X401" s="2961">
        <f t="shared" si="99"/>
        <v>0</v>
      </c>
      <c r="Y401" s="296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61">
        <f t="shared" si="97"/>
        <v>0</v>
      </c>
      <c r="V402" s="2961">
        <f t="shared" si="98"/>
        <v>0</v>
      </c>
      <c r="W402" s="998"/>
      <c r="X402" s="2961">
        <f t="shared" si="99"/>
        <v>0</v>
      </c>
      <c r="Y402" s="296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61">
        <f t="shared" si="97"/>
        <v>0</v>
      </c>
      <c r="V403" s="2961">
        <f t="shared" si="98"/>
        <v>0</v>
      </c>
      <c r="W403" s="998"/>
      <c r="X403" s="2961">
        <f t="shared" si="99"/>
        <v>0</v>
      </c>
      <c r="Y403" s="296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61">
        <f t="shared" si="97"/>
        <v>0</v>
      </c>
      <c r="V404" s="2961">
        <f t="shared" si="98"/>
        <v>0</v>
      </c>
      <c r="W404" s="998"/>
      <c r="X404" s="2961">
        <f t="shared" si="99"/>
        <v>0</v>
      </c>
      <c r="Y404" s="296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61">
        <f t="shared" si="97"/>
        <v>0</v>
      </c>
      <c r="V405" s="2961">
        <f t="shared" si="98"/>
        <v>0</v>
      </c>
      <c r="W405" s="998"/>
      <c r="X405" s="2961">
        <f t="shared" si="99"/>
        <v>0</v>
      </c>
      <c r="Y405" s="296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61">
        <f t="shared" si="97"/>
        <v>0</v>
      </c>
      <c r="V406" s="2961">
        <f t="shared" si="98"/>
        <v>0</v>
      </c>
      <c r="W406" s="998"/>
      <c r="X406" s="2961">
        <f t="shared" si="99"/>
        <v>0</v>
      </c>
      <c r="Y406" s="296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61">
        <f t="shared" si="97"/>
        <v>0</v>
      </c>
      <c r="V407" s="2961">
        <f t="shared" si="98"/>
        <v>0</v>
      </c>
      <c r="W407" s="998"/>
      <c r="X407" s="2961">
        <f t="shared" si="99"/>
        <v>0</v>
      </c>
      <c r="Y407" s="296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61">
        <f t="shared" si="97"/>
        <v>0</v>
      </c>
      <c r="V408" s="2961">
        <f t="shared" si="98"/>
        <v>0</v>
      </c>
      <c r="W408" s="998"/>
      <c r="X408" s="2961">
        <f t="shared" si="99"/>
        <v>0</v>
      </c>
      <c r="Y408" s="296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61">
        <f t="shared" si="97"/>
        <v>0</v>
      </c>
      <c r="V409" s="2961">
        <f t="shared" si="98"/>
        <v>0</v>
      </c>
      <c r="W409" s="998"/>
      <c r="X409" s="2961">
        <f t="shared" si="99"/>
        <v>0</v>
      </c>
      <c r="Y409" s="296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61">
        <f t="shared" si="97"/>
        <v>0</v>
      </c>
      <c r="V410" s="2961">
        <f t="shared" si="98"/>
        <v>0</v>
      </c>
      <c r="W410" s="998"/>
      <c r="X410" s="2961">
        <f t="shared" si="99"/>
        <v>0</v>
      </c>
      <c r="Y410" s="296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61">
        <f t="shared" si="97"/>
        <v>0</v>
      </c>
      <c r="V411" s="2961">
        <f t="shared" si="98"/>
        <v>0</v>
      </c>
      <c r="W411" s="998"/>
      <c r="X411" s="2961">
        <f t="shared" si="99"/>
        <v>0</v>
      </c>
      <c r="Y411" s="296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61">
        <f t="shared" ref="U412:U475" si="112">ROUND(W412*B412,0)</f>
        <v>0</v>
      </c>
      <c r="V412" s="2961">
        <f t="shared" ref="V412:V475" si="113">ROUND(W412*B412/10000,0)</f>
        <v>0</v>
      </c>
      <c r="W412" s="998"/>
      <c r="X412" s="2961">
        <f t="shared" ref="X412:X475" si="114">ROUND(Z412*B412,0)</f>
        <v>0</v>
      </c>
      <c r="Y412" s="296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61">
        <f t="shared" si="112"/>
        <v>0</v>
      </c>
      <c r="V413" s="2961">
        <f t="shared" si="113"/>
        <v>0</v>
      </c>
      <c r="W413" s="998"/>
      <c r="X413" s="2961">
        <f t="shared" si="114"/>
        <v>0</v>
      </c>
      <c r="Y413" s="296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61">
        <f t="shared" si="112"/>
        <v>0</v>
      </c>
      <c r="V414" s="2961">
        <f t="shared" si="113"/>
        <v>0</v>
      </c>
      <c r="W414" s="998"/>
      <c r="X414" s="2961">
        <f t="shared" si="114"/>
        <v>0</v>
      </c>
      <c r="Y414" s="296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61">
        <f t="shared" si="112"/>
        <v>0</v>
      </c>
      <c r="V415" s="2961">
        <f t="shared" si="113"/>
        <v>0</v>
      </c>
      <c r="W415" s="998"/>
      <c r="X415" s="2961">
        <f t="shared" si="114"/>
        <v>0</v>
      </c>
      <c r="Y415" s="296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61">
        <f t="shared" si="112"/>
        <v>0</v>
      </c>
      <c r="V416" s="2961">
        <f t="shared" si="113"/>
        <v>0</v>
      </c>
      <c r="W416" s="998"/>
      <c r="X416" s="2961">
        <f t="shared" si="114"/>
        <v>0</v>
      </c>
      <c r="Y416" s="296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61">
        <f t="shared" si="112"/>
        <v>0</v>
      </c>
      <c r="V417" s="2961">
        <f t="shared" si="113"/>
        <v>0</v>
      </c>
      <c r="W417" s="998"/>
      <c r="X417" s="2961">
        <f t="shared" si="114"/>
        <v>0</v>
      </c>
      <c r="Y417" s="296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61">
        <f t="shared" si="112"/>
        <v>0</v>
      </c>
      <c r="V418" s="2961">
        <f t="shared" si="113"/>
        <v>0</v>
      </c>
      <c r="W418" s="998"/>
      <c r="X418" s="2961">
        <f t="shared" si="114"/>
        <v>0</v>
      </c>
      <c r="Y418" s="296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61">
        <f t="shared" si="112"/>
        <v>0</v>
      </c>
      <c r="V419" s="2961">
        <f t="shared" si="113"/>
        <v>0</v>
      </c>
      <c r="W419" s="998"/>
      <c r="X419" s="2961">
        <f t="shared" si="114"/>
        <v>0</v>
      </c>
      <c r="Y419" s="296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61">
        <f t="shared" si="112"/>
        <v>0</v>
      </c>
      <c r="V420" s="2961">
        <f t="shared" si="113"/>
        <v>0</v>
      </c>
      <c r="W420" s="998"/>
      <c r="X420" s="2961">
        <f t="shared" si="114"/>
        <v>0</v>
      </c>
      <c r="Y420" s="296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61">
        <f t="shared" si="112"/>
        <v>0</v>
      </c>
      <c r="V421" s="2961">
        <f t="shared" si="113"/>
        <v>0</v>
      </c>
      <c r="W421" s="998"/>
      <c r="X421" s="2961">
        <f t="shared" si="114"/>
        <v>0</v>
      </c>
      <c r="Y421" s="296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61">
        <f t="shared" si="112"/>
        <v>0</v>
      </c>
      <c r="V422" s="2961">
        <f t="shared" si="113"/>
        <v>0</v>
      </c>
      <c r="W422" s="998"/>
      <c r="X422" s="2961">
        <f t="shared" si="114"/>
        <v>0</v>
      </c>
      <c r="Y422" s="296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61">
        <f t="shared" si="112"/>
        <v>0</v>
      </c>
      <c r="V423" s="2961">
        <f t="shared" si="113"/>
        <v>0</v>
      </c>
      <c r="W423" s="998"/>
      <c r="X423" s="2961">
        <f t="shared" si="114"/>
        <v>0</v>
      </c>
      <c r="Y423" s="296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61">
        <f t="shared" si="112"/>
        <v>0</v>
      </c>
      <c r="V424" s="2961">
        <f t="shared" si="113"/>
        <v>0</v>
      </c>
      <c r="W424" s="998"/>
      <c r="X424" s="2961">
        <f t="shared" si="114"/>
        <v>0</v>
      </c>
      <c r="Y424" s="296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61">
        <f t="shared" si="112"/>
        <v>0</v>
      </c>
      <c r="V425" s="2961">
        <f t="shared" si="113"/>
        <v>0</v>
      </c>
      <c r="W425" s="998"/>
      <c r="X425" s="2961">
        <f t="shared" si="114"/>
        <v>0</v>
      </c>
      <c r="Y425" s="296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61">
        <f t="shared" si="112"/>
        <v>0</v>
      </c>
      <c r="V426" s="2961">
        <f t="shared" si="113"/>
        <v>0</v>
      </c>
      <c r="W426" s="998"/>
      <c r="X426" s="2961">
        <f t="shared" si="114"/>
        <v>0</v>
      </c>
      <c r="Y426" s="296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61">
        <f t="shared" si="112"/>
        <v>0</v>
      </c>
      <c r="V427" s="2961">
        <f t="shared" si="113"/>
        <v>0</v>
      </c>
      <c r="W427" s="998"/>
      <c r="X427" s="2961">
        <f t="shared" si="114"/>
        <v>0</v>
      </c>
      <c r="Y427" s="296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61">
        <f t="shared" si="112"/>
        <v>0</v>
      </c>
      <c r="V428" s="2961">
        <f t="shared" si="113"/>
        <v>0</v>
      </c>
      <c r="W428" s="998"/>
      <c r="X428" s="2961">
        <f t="shared" si="114"/>
        <v>0</v>
      </c>
      <c r="Y428" s="296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61">
        <f t="shared" si="112"/>
        <v>0</v>
      </c>
      <c r="V429" s="2961">
        <f t="shared" si="113"/>
        <v>0</v>
      </c>
      <c r="W429" s="998"/>
      <c r="X429" s="2961">
        <f t="shared" si="114"/>
        <v>0</v>
      </c>
      <c r="Y429" s="296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61">
        <f t="shared" si="112"/>
        <v>0</v>
      </c>
      <c r="V430" s="2961">
        <f t="shared" si="113"/>
        <v>0</v>
      </c>
      <c r="W430" s="998"/>
      <c r="X430" s="2961">
        <f t="shared" si="114"/>
        <v>0</v>
      </c>
      <c r="Y430" s="296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61">
        <f t="shared" si="112"/>
        <v>0</v>
      </c>
      <c r="V431" s="2961">
        <f t="shared" si="113"/>
        <v>0</v>
      </c>
      <c r="W431" s="998"/>
      <c r="X431" s="2961">
        <f t="shared" si="114"/>
        <v>0</v>
      </c>
      <c r="Y431" s="296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61">
        <f t="shared" si="112"/>
        <v>0</v>
      </c>
      <c r="V432" s="2961">
        <f t="shared" si="113"/>
        <v>0</v>
      </c>
      <c r="W432" s="998"/>
      <c r="X432" s="2961">
        <f t="shared" si="114"/>
        <v>0</v>
      </c>
      <c r="Y432" s="296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61">
        <f t="shared" si="112"/>
        <v>0</v>
      </c>
      <c r="V433" s="2961">
        <f t="shared" si="113"/>
        <v>0</v>
      </c>
      <c r="W433" s="998"/>
      <c r="X433" s="2961">
        <f t="shared" si="114"/>
        <v>0</v>
      </c>
      <c r="Y433" s="296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61">
        <f t="shared" si="112"/>
        <v>0</v>
      </c>
      <c r="V434" s="2961">
        <f t="shared" si="113"/>
        <v>0</v>
      </c>
      <c r="W434" s="998"/>
      <c r="X434" s="2961">
        <f t="shared" si="114"/>
        <v>0</v>
      </c>
      <c r="Y434" s="296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61">
        <f t="shared" si="112"/>
        <v>0</v>
      </c>
      <c r="V435" s="2961">
        <f t="shared" si="113"/>
        <v>0</v>
      </c>
      <c r="W435" s="998"/>
      <c r="X435" s="2961">
        <f t="shared" si="114"/>
        <v>0</v>
      </c>
      <c r="Y435" s="296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61">
        <f t="shared" si="112"/>
        <v>0</v>
      </c>
      <c r="V436" s="2961">
        <f t="shared" si="113"/>
        <v>0</v>
      </c>
      <c r="W436" s="998"/>
      <c r="X436" s="2961">
        <f t="shared" si="114"/>
        <v>0</v>
      </c>
      <c r="Y436" s="296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61">
        <f t="shared" si="112"/>
        <v>0</v>
      </c>
      <c r="V437" s="2961">
        <f t="shared" si="113"/>
        <v>0</v>
      </c>
      <c r="W437" s="998"/>
      <c r="X437" s="2961">
        <f t="shared" si="114"/>
        <v>0</v>
      </c>
      <c r="Y437" s="296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61">
        <f t="shared" si="112"/>
        <v>0</v>
      </c>
      <c r="V438" s="2961">
        <f t="shared" si="113"/>
        <v>0</v>
      </c>
      <c r="W438" s="998"/>
      <c r="X438" s="2961">
        <f t="shared" si="114"/>
        <v>0</v>
      </c>
      <c r="Y438" s="296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61">
        <f t="shared" si="112"/>
        <v>0</v>
      </c>
      <c r="V439" s="2961">
        <f t="shared" si="113"/>
        <v>0</v>
      </c>
      <c r="W439" s="998"/>
      <c r="X439" s="2961">
        <f t="shared" si="114"/>
        <v>0</v>
      </c>
      <c r="Y439" s="296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61">
        <f t="shared" si="112"/>
        <v>0</v>
      </c>
      <c r="V440" s="2961">
        <f t="shared" si="113"/>
        <v>0</v>
      </c>
      <c r="W440" s="998"/>
      <c r="X440" s="2961">
        <f t="shared" si="114"/>
        <v>0</v>
      </c>
      <c r="Y440" s="296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61">
        <f t="shared" si="112"/>
        <v>0</v>
      </c>
      <c r="V441" s="2961">
        <f t="shared" si="113"/>
        <v>0</v>
      </c>
      <c r="W441" s="998"/>
      <c r="X441" s="2961">
        <f t="shared" si="114"/>
        <v>0</v>
      </c>
      <c r="Y441" s="296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61">
        <f t="shared" si="112"/>
        <v>0</v>
      </c>
      <c r="V442" s="2961">
        <f t="shared" si="113"/>
        <v>0</v>
      </c>
      <c r="W442" s="998"/>
      <c r="X442" s="2961">
        <f t="shared" si="114"/>
        <v>0</v>
      </c>
      <c r="Y442" s="296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61">
        <f t="shared" si="112"/>
        <v>0</v>
      </c>
      <c r="V443" s="2961">
        <f t="shared" si="113"/>
        <v>0</v>
      </c>
      <c r="W443" s="998"/>
      <c r="X443" s="2961">
        <f t="shared" si="114"/>
        <v>0</v>
      </c>
      <c r="Y443" s="296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61">
        <f t="shared" si="112"/>
        <v>0</v>
      </c>
      <c r="V444" s="2961">
        <f t="shared" si="113"/>
        <v>0</v>
      </c>
      <c r="W444" s="998"/>
      <c r="X444" s="2961">
        <f t="shared" si="114"/>
        <v>0</v>
      </c>
      <c r="Y444" s="296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61">
        <f t="shared" si="112"/>
        <v>0</v>
      </c>
      <c r="V445" s="2961">
        <f t="shared" si="113"/>
        <v>0</v>
      </c>
      <c r="W445" s="998"/>
      <c r="X445" s="2961">
        <f t="shared" si="114"/>
        <v>0</v>
      </c>
      <c r="Y445" s="296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61">
        <f t="shared" si="112"/>
        <v>0</v>
      </c>
      <c r="V446" s="2961">
        <f t="shared" si="113"/>
        <v>0</v>
      </c>
      <c r="W446" s="998"/>
      <c r="X446" s="2961">
        <f t="shared" si="114"/>
        <v>0</v>
      </c>
      <c r="Y446" s="296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61">
        <f t="shared" si="112"/>
        <v>0</v>
      </c>
      <c r="V447" s="2961">
        <f t="shared" si="113"/>
        <v>0</v>
      </c>
      <c r="W447" s="998"/>
      <c r="X447" s="2961">
        <f t="shared" si="114"/>
        <v>0</v>
      </c>
      <c r="Y447" s="296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61">
        <f t="shared" si="112"/>
        <v>0</v>
      </c>
      <c r="V448" s="2961">
        <f t="shared" si="113"/>
        <v>0</v>
      </c>
      <c r="W448" s="998"/>
      <c r="X448" s="2961">
        <f t="shared" si="114"/>
        <v>0</v>
      </c>
      <c r="Y448" s="296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61">
        <f t="shared" si="112"/>
        <v>0</v>
      </c>
      <c r="V449" s="2961">
        <f t="shared" si="113"/>
        <v>0</v>
      </c>
      <c r="W449" s="998"/>
      <c r="X449" s="2961">
        <f t="shared" si="114"/>
        <v>0</v>
      </c>
      <c r="Y449" s="296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61">
        <f t="shared" si="112"/>
        <v>0</v>
      </c>
      <c r="V450" s="2961">
        <f t="shared" si="113"/>
        <v>0</v>
      </c>
      <c r="W450" s="998"/>
      <c r="X450" s="2961">
        <f t="shared" si="114"/>
        <v>0</v>
      </c>
      <c r="Y450" s="296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61">
        <f t="shared" si="112"/>
        <v>0</v>
      </c>
      <c r="V451" s="2961">
        <f t="shared" si="113"/>
        <v>0</v>
      </c>
      <c r="W451" s="998"/>
      <c r="X451" s="2961">
        <f t="shared" si="114"/>
        <v>0</v>
      </c>
      <c r="Y451" s="296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61">
        <f t="shared" si="112"/>
        <v>0</v>
      </c>
      <c r="V452" s="2961">
        <f t="shared" si="113"/>
        <v>0</v>
      </c>
      <c r="W452" s="998"/>
      <c r="X452" s="2961">
        <f t="shared" si="114"/>
        <v>0</v>
      </c>
      <c r="Y452" s="296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61">
        <f t="shared" si="112"/>
        <v>0</v>
      </c>
      <c r="V453" s="2961">
        <f t="shared" si="113"/>
        <v>0</v>
      </c>
      <c r="W453" s="998"/>
      <c r="X453" s="2961">
        <f t="shared" si="114"/>
        <v>0</v>
      </c>
      <c r="Y453" s="296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61">
        <f t="shared" si="112"/>
        <v>0</v>
      </c>
      <c r="V454" s="2961">
        <f t="shared" si="113"/>
        <v>0</v>
      </c>
      <c r="W454" s="998"/>
      <c r="X454" s="2961">
        <f t="shared" si="114"/>
        <v>0</v>
      </c>
      <c r="Y454" s="296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61">
        <f t="shared" si="112"/>
        <v>0</v>
      </c>
      <c r="V455" s="2961">
        <f t="shared" si="113"/>
        <v>0</v>
      </c>
      <c r="W455" s="998"/>
      <c r="X455" s="2961">
        <f t="shared" si="114"/>
        <v>0</v>
      </c>
      <c r="Y455" s="296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61">
        <f t="shared" si="112"/>
        <v>0</v>
      </c>
      <c r="V456" s="2961">
        <f t="shared" si="113"/>
        <v>0</v>
      </c>
      <c r="W456" s="998"/>
      <c r="X456" s="2961">
        <f t="shared" si="114"/>
        <v>0</v>
      </c>
      <c r="Y456" s="296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61">
        <f t="shared" si="112"/>
        <v>0</v>
      </c>
      <c r="V457" s="2961">
        <f t="shared" si="113"/>
        <v>0</v>
      </c>
      <c r="W457" s="998"/>
      <c r="X457" s="2961">
        <f t="shared" si="114"/>
        <v>0</v>
      </c>
      <c r="Y457" s="296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61">
        <f t="shared" si="112"/>
        <v>0</v>
      </c>
      <c r="V458" s="2961">
        <f t="shared" si="113"/>
        <v>0</v>
      </c>
      <c r="W458" s="998"/>
      <c r="X458" s="2961">
        <f t="shared" si="114"/>
        <v>0</v>
      </c>
      <c r="Y458" s="296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61">
        <f t="shared" si="112"/>
        <v>0</v>
      </c>
      <c r="V459" s="2961">
        <f t="shared" si="113"/>
        <v>0</v>
      </c>
      <c r="W459" s="998"/>
      <c r="X459" s="2961">
        <f t="shared" si="114"/>
        <v>0</v>
      </c>
      <c r="Y459" s="296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61">
        <f t="shared" si="112"/>
        <v>0</v>
      </c>
      <c r="V460" s="2961">
        <f t="shared" si="113"/>
        <v>0</v>
      </c>
      <c r="W460" s="998"/>
      <c r="X460" s="2961">
        <f t="shared" si="114"/>
        <v>0</v>
      </c>
      <c r="Y460" s="296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61">
        <f t="shared" si="112"/>
        <v>0</v>
      </c>
      <c r="V461" s="2961">
        <f t="shared" si="113"/>
        <v>0</v>
      </c>
      <c r="W461" s="998"/>
      <c r="X461" s="2961">
        <f t="shared" si="114"/>
        <v>0</v>
      </c>
      <c r="Y461" s="296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61">
        <f t="shared" si="112"/>
        <v>0</v>
      </c>
      <c r="V462" s="2961">
        <f t="shared" si="113"/>
        <v>0</v>
      </c>
      <c r="W462" s="998"/>
      <c r="X462" s="2961">
        <f t="shared" si="114"/>
        <v>0</v>
      </c>
      <c r="Y462" s="296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61">
        <f t="shared" si="112"/>
        <v>0</v>
      </c>
      <c r="V463" s="2961">
        <f t="shared" si="113"/>
        <v>0</v>
      </c>
      <c r="W463" s="998"/>
      <c r="X463" s="2961">
        <f t="shared" si="114"/>
        <v>0</v>
      </c>
      <c r="Y463" s="296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61">
        <f t="shared" si="112"/>
        <v>0</v>
      </c>
      <c r="V464" s="2961">
        <f t="shared" si="113"/>
        <v>0</v>
      </c>
      <c r="W464" s="998"/>
      <c r="X464" s="2961">
        <f t="shared" si="114"/>
        <v>0</v>
      </c>
      <c r="Y464" s="296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61">
        <f t="shared" si="112"/>
        <v>0</v>
      </c>
      <c r="V465" s="2961">
        <f t="shared" si="113"/>
        <v>0</v>
      </c>
      <c r="W465" s="998"/>
      <c r="X465" s="2961">
        <f t="shared" si="114"/>
        <v>0</v>
      </c>
      <c r="Y465" s="296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61">
        <f t="shared" si="112"/>
        <v>0</v>
      </c>
      <c r="V466" s="2961">
        <f t="shared" si="113"/>
        <v>0</v>
      </c>
      <c r="W466" s="998"/>
      <c r="X466" s="2961">
        <f t="shared" si="114"/>
        <v>0</v>
      </c>
      <c r="Y466" s="296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61">
        <f t="shared" si="112"/>
        <v>0</v>
      </c>
      <c r="V467" s="2961">
        <f t="shared" si="113"/>
        <v>0</v>
      </c>
      <c r="W467" s="998"/>
      <c r="X467" s="2961">
        <f t="shared" si="114"/>
        <v>0</v>
      </c>
      <c r="Y467" s="296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61">
        <f t="shared" si="112"/>
        <v>0</v>
      </c>
      <c r="V468" s="2961">
        <f t="shared" si="113"/>
        <v>0</v>
      </c>
      <c r="W468" s="998"/>
      <c r="X468" s="2961">
        <f t="shared" si="114"/>
        <v>0</v>
      </c>
      <c r="Y468" s="296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61">
        <f t="shared" si="112"/>
        <v>0</v>
      </c>
      <c r="V469" s="2961">
        <f t="shared" si="113"/>
        <v>0</v>
      </c>
      <c r="W469" s="998"/>
      <c r="X469" s="2961">
        <f t="shared" si="114"/>
        <v>0</v>
      </c>
      <c r="Y469" s="296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61">
        <f t="shared" si="112"/>
        <v>0</v>
      </c>
      <c r="V470" s="2961">
        <f t="shared" si="113"/>
        <v>0</v>
      </c>
      <c r="W470" s="998"/>
      <c r="X470" s="2961">
        <f t="shared" si="114"/>
        <v>0</v>
      </c>
      <c r="Y470" s="296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61">
        <f t="shared" si="112"/>
        <v>0</v>
      </c>
      <c r="V471" s="2961">
        <f t="shared" si="113"/>
        <v>0</v>
      </c>
      <c r="W471" s="998"/>
      <c r="X471" s="2961">
        <f t="shared" si="114"/>
        <v>0</v>
      </c>
      <c r="Y471" s="296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61">
        <f t="shared" si="112"/>
        <v>0</v>
      </c>
      <c r="V472" s="2961">
        <f t="shared" si="113"/>
        <v>0</v>
      </c>
      <c r="W472" s="998"/>
      <c r="X472" s="2961">
        <f t="shared" si="114"/>
        <v>0</v>
      </c>
      <c r="Y472" s="296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61">
        <f t="shared" si="112"/>
        <v>0</v>
      </c>
      <c r="V473" s="2961">
        <f t="shared" si="113"/>
        <v>0</v>
      </c>
      <c r="W473" s="998"/>
      <c r="X473" s="2961">
        <f t="shared" si="114"/>
        <v>0</v>
      </c>
      <c r="Y473" s="296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61">
        <f t="shared" si="112"/>
        <v>0</v>
      </c>
      <c r="V474" s="2961">
        <f t="shared" si="113"/>
        <v>0</v>
      </c>
      <c r="W474" s="998"/>
      <c r="X474" s="2961">
        <f t="shared" si="114"/>
        <v>0</v>
      </c>
      <c r="Y474" s="296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61">
        <f t="shared" si="112"/>
        <v>0</v>
      </c>
      <c r="V475" s="2961">
        <f t="shared" si="113"/>
        <v>0</v>
      </c>
      <c r="W475" s="998"/>
      <c r="X475" s="2961">
        <f t="shared" si="114"/>
        <v>0</v>
      </c>
      <c r="Y475" s="296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61">
        <f t="shared" ref="U476:U527" si="127">ROUND(W476*B476,0)</f>
        <v>0</v>
      </c>
      <c r="V476" s="2961">
        <f t="shared" ref="V476:V527" si="128">ROUND(W476*B476/10000,0)</f>
        <v>0</v>
      </c>
      <c r="W476" s="998"/>
      <c r="X476" s="2961">
        <f t="shared" ref="X476:X527" si="129">ROUND(Z476*B476,0)</f>
        <v>0</v>
      </c>
      <c r="Y476" s="296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61">
        <f t="shared" si="127"/>
        <v>0</v>
      </c>
      <c r="V477" s="2961">
        <f t="shared" si="128"/>
        <v>0</v>
      </c>
      <c r="W477" s="998"/>
      <c r="X477" s="2961">
        <f t="shared" si="129"/>
        <v>0</v>
      </c>
      <c r="Y477" s="296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61">
        <f t="shared" si="127"/>
        <v>0</v>
      </c>
      <c r="V478" s="2961">
        <f t="shared" si="128"/>
        <v>0</v>
      </c>
      <c r="W478" s="998"/>
      <c r="X478" s="2961">
        <f t="shared" si="129"/>
        <v>0</v>
      </c>
      <c r="Y478" s="296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61">
        <f t="shared" si="127"/>
        <v>0</v>
      </c>
      <c r="V479" s="2961">
        <f t="shared" si="128"/>
        <v>0</v>
      </c>
      <c r="W479" s="998"/>
      <c r="X479" s="2961">
        <f t="shared" si="129"/>
        <v>0</v>
      </c>
      <c r="Y479" s="296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61">
        <f t="shared" si="127"/>
        <v>0</v>
      </c>
      <c r="V480" s="2961">
        <f t="shared" si="128"/>
        <v>0</v>
      </c>
      <c r="W480" s="998"/>
      <c r="X480" s="2961">
        <f t="shared" si="129"/>
        <v>0</v>
      </c>
      <c r="Y480" s="296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61">
        <f t="shared" si="127"/>
        <v>0</v>
      </c>
      <c r="V481" s="2961">
        <f t="shared" si="128"/>
        <v>0</v>
      </c>
      <c r="W481" s="998"/>
      <c r="X481" s="2961">
        <f t="shared" si="129"/>
        <v>0</v>
      </c>
      <c r="Y481" s="296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61">
        <f t="shared" si="127"/>
        <v>0</v>
      </c>
      <c r="V482" s="2961">
        <f t="shared" si="128"/>
        <v>0</v>
      </c>
      <c r="W482" s="998"/>
      <c r="X482" s="2961">
        <f t="shared" si="129"/>
        <v>0</v>
      </c>
      <c r="Y482" s="296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61">
        <f t="shared" si="127"/>
        <v>0</v>
      </c>
      <c r="V483" s="2961">
        <f t="shared" si="128"/>
        <v>0</v>
      </c>
      <c r="W483" s="998"/>
      <c r="X483" s="2961">
        <f t="shared" si="129"/>
        <v>0</v>
      </c>
      <c r="Y483" s="296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61">
        <f t="shared" si="127"/>
        <v>0</v>
      </c>
      <c r="V484" s="2961">
        <f t="shared" si="128"/>
        <v>0</v>
      </c>
      <c r="W484" s="998"/>
      <c r="X484" s="2961">
        <f t="shared" si="129"/>
        <v>0</v>
      </c>
      <c r="Y484" s="296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61">
        <f t="shared" si="127"/>
        <v>0</v>
      </c>
      <c r="V485" s="2961">
        <f t="shared" si="128"/>
        <v>0</v>
      </c>
      <c r="W485" s="998"/>
      <c r="X485" s="2961">
        <f t="shared" si="129"/>
        <v>0</v>
      </c>
      <c r="Y485" s="296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61">
        <f t="shared" si="127"/>
        <v>0</v>
      </c>
      <c r="V486" s="2961">
        <f t="shared" si="128"/>
        <v>0</v>
      </c>
      <c r="W486" s="998"/>
      <c r="X486" s="2961">
        <f t="shared" si="129"/>
        <v>0</v>
      </c>
      <c r="Y486" s="296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61">
        <f t="shared" si="127"/>
        <v>0</v>
      </c>
      <c r="V487" s="2961">
        <f t="shared" si="128"/>
        <v>0</v>
      </c>
      <c r="W487" s="998"/>
      <c r="X487" s="2961">
        <f t="shared" si="129"/>
        <v>0</v>
      </c>
      <c r="Y487" s="296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61">
        <f t="shared" si="127"/>
        <v>0</v>
      </c>
      <c r="V488" s="2961">
        <f t="shared" si="128"/>
        <v>0</v>
      </c>
      <c r="W488" s="998"/>
      <c r="X488" s="2961">
        <f t="shared" si="129"/>
        <v>0</v>
      </c>
      <c r="Y488" s="296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61">
        <f t="shared" si="127"/>
        <v>0</v>
      </c>
      <c r="V489" s="2961">
        <f t="shared" si="128"/>
        <v>0</v>
      </c>
      <c r="W489" s="998"/>
      <c r="X489" s="2961">
        <f t="shared" si="129"/>
        <v>0</v>
      </c>
      <c r="Y489" s="296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61">
        <f t="shared" si="127"/>
        <v>0</v>
      </c>
      <c r="V490" s="2961">
        <f t="shared" si="128"/>
        <v>0</v>
      </c>
      <c r="W490" s="998"/>
      <c r="X490" s="2961">
        <f t="shared" si="129"/>
        <v>0</v>
      </c>
      <c r="Y490" s="296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61">
        <f t="shared" si="127"/>
        <v>0</v>
      </c>
      <c r="V491" s="2961">
        <f t="shared" si="128"/>
        <v>0</v>
      </c>
      <c r="W491" s="998"/>
      <c r="X491" s="2961">
        <f t="shared" si="129"/>
        <v>0</v>
      </c>
      <c r="Y491" s="296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61">
        <f t="shared" si="127"/>
        <v>0</v>
      </c>
      <c r="V492" s="2961">
        <f t="shared" si="128"/>
        <v>0</v>
      </c>
      <c r="W492" s="998"/>
      <c r="X492" s="2961">
        <f t="shared" si="129"/>
        <v>0</v>
      </c>
      <c r="Y492" s="296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61">
        <f t="shared" si="127"/>
        <v>0</v>
      </c>
      <c r="V493" s="2961">
        <f t="shared" si="128"/>
        <v>0</v>
      </c>
      <c r="W493" s="998"/>
      <c r="X493" s="2961">
        <f t="shared" si="129"/>
        <v>0</v>
      </c>
      <c r="Y493" s="296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61">
        <f t="shared" si="127"/>
        <v>0</v>
      </c>
      <c r="V494" s="2961">
        <f t="shared" si="128"/>
        <v>0</v>
      </c>
      <c r="W494" s="998"/>
      <c r="X494" s="2961">
        <f t="shared" si="129"/>
        <v>0</v>
      </c>
      <c r="Y494" s="296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61">
        <f t="shared" si="127"/>
        <v>0</v>
      </c>
      <c r="V495" s="2961">
        <f t="shared" si="128"/>
        <v>0</v>
      </c>
      <c r="W495" s="998"/>
      <c r="X495" s="2961">
        <f t="shared" si="129"/>
        <v>0</v>
      </c>
      <c r="Y495" s="296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61">
        <f t="shared" si="127"/>
        <v>0</v>
      </c>
      <c r="V496" s="2961">
        <f t="shared" si="128"/>
        <v>0</v>
      </c>
      <c r="W496" s="998"/>
      <c r="X496" s="2961">
        <f t="shared" si="129"/>
        <v>0</v>
      </c>
      <c r="Y496" s="296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61">
        <f t="shared" si="127"/>
        <v>0</v>
      </c>
      <c r="V497" s="2961">
        <f t="shared" si="128"/>
        <v>0</v>
      </c>
      <c r="W497" s="998"/>
      <c r="X497" s="2961">
        <f t="shared" si="129"/>
        <v>0</v>
      </c>
      <c r="Y497" s="296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61">
        <f t="shared" si="127"/>
        <v>0</v>
      </c>
      <c r="V498" s="2961">
        <f t="shared" si="128"/>
        <v>0</v>
      </c>
      <c r="W498" s="998"/>
      <c r="X498" s="2961">
        <f t="shared" si="129"/>
        <v>0</v>
      </c>
      <c r="Y498" s="296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61">
        <f t="shared" si="127"/>
        <v>0</v>
      </c>
      <c r="V499" s="2961">
        <f t="shared" si="128"/>
        <v>0</v>
      </c>
      <c r="W499" s="998"/>
      <c r="X499" s="2961">
        <f t="shared" si="129"/>
        <v>0</v>
      </c>
      <c r="Y499" s="296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61">
        <f t="shared" si="127"/>
        <v>0</v>
      </c>
      <c r="V500" s="2961">
        <f t="shared" si="128"/>
        <v>0</v>
      </c>
      <c r="W500" s="998"/>
      <c r="X500" s="2961">
        <f t="shared" si="129"/>
        <v>0</v>
      </c>
      <c r="Y500" s="296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61">
        <f t="shared" si="127"/>
        <v>0</v>
      </c>
      <c r="V501" s="2961">
        <f t="shared" si="128"/>
        <v>0</v>
      </c>
      <c r="W501" s="998"/>
      <c r="X501" s="2961">
        <f t="shared" si="129"/>
        <v>0</v>
      </c>
      <c r="Y501" s="296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61">
        <f t="shared" si="127"/>
        <v>0</v>
      </c>
      <c r="V502" s="2961">
        <f t="shared" si="128"/>
        <v>0</v>
      </c>
      <c r="W502" s="998"/>
      <c r="X502" s="2961">
        <f t="shared" si="129"/>
        <v>0</v>
      </c>
      <c r="Y502" s="296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61">
        <f t="shared" si="127"/>
        <v>0</v>
      </c>
      <c r="V503" s="2961">
        <f t="shared" si="128"/>
        <v>0</v>
      </c>
      <c r="W503" s="998"/>
      <c r="X503" s="2961">
        <f t="shared" si="129"/>
        <v>0</v>
      </c>
      <c r="Y503" s="296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61">
        <f t="shared" si="127"/>
        <v>0</v>
      </c>
      <c r="V504" s="2961">
        <f t="shared" si="128"/>
        <v>0</v>
      </c>
      <c r="W504" s="998"/>
      <c r="X504" s="2961">
        <f t="shared" si="129"/>
        <v>0</v>
      </c>
      <c r="Y504" s="296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61">
        <f t="shared" si="127"/>
        <v>0</v>
      </c>
      <c r="V505" s="2961">
        <f t="shared" si="128"/>
        <v>0</v>
      </c>
      <c r="W505" s="998"/>
      <c r="X505" s="2961">
        <f t="shared" si="129"/>
        <v>0</v>
      </c>
      <c r="Y505" s="296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61">
        <f t="shared" si="127"/>
        <v>0</v>
      </c>
      <c r="V506" s="2961">
        <f t="shared" si="128"/>
        <v>0</v>
      </c>
      <c r="W506" s="998"/>
      <c r="X506" s="2961">
        <f t="shared" si="129"/>
        <v>0</v>
      </c>
      <c r="Y506" s="296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61">
        <f t="shared" si="127"/>
        <v>0</v>
      </c>
      <c r="V507" s="2961">
        <f t="shared" si="128"/>
        <v>0</v>
      </c>
      <c r="W507" s="998"/>
      <c r="X507" s="2961">
        <f t="shared" si="129"/>
        <v>0</v>
      </c>
      <c r="Y507" s="296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61">
        <f t="shared" si="127"/>
        <v>0</v>
      </c>
      <c r="V508" s="2961">
        <f t="shared" si="128"/>
        <v>0</v>
      </c>
      <c r="W508" s="998"/>
      <c r="X508" s="2961">
        <f t="shared" si="129"/>
        <v>0</v>
      </c>
      <c r="Y508" s="296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61">
        <f t="shared" si="127"/>
        <v>0</v>
      </c>
      <c r="V509" s="2961">
        <f t="shared" si="128"/>
        <v>0</v>
      </c>
      <c r="W509" s="998"/>
      <c r="X509" s="2961">
        <f t="shared" si="129"/>
        <v>0</v>
      </c>
      <c r="Y509" s="296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61">
        <f t="shared" si="127"/>
        <v>0</v>
      </c>
      <c r="V510" s="2961">
        <f t="shared" si="128"/>
        <v>0</v>
      </c>
      <c r="W510" s="998"/>
      <c r="X510" s="2961">
        <f t="shared" si="129"/>
        <v>0</v>
      </c>
      <c r="Y510" s="296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61">
        <f t="shared" si="127"/>
        <v>0</v>
      </c>
      <c r="V511" s="2961">
        <f t="shared" si="128"/>
        <v>0</v>
      </c>
      <c r="W511" s="998"/>
      <c r="X511" s="2961">
        <f t="shared" si="129"/>
        <v>0</v>
      </c>
      <c r="Y511" s="296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61">
        <f t="shared" si="127"/>
        <v>0</v>
      </c>
      <c r="V512" s="2961">
        <f t="shared" si="128"/>
        <v>0</v>
      </c>
      <c r="W512" s="998"/>
      <c r="X512" s="2961">
        <f t="shared" si="129"/>
        <v>0</v>
      </c>
      <c r="Y512" s="296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61">
        <f t="shared" si="127"/>
        <v>0</v>
      </c>
      <c r="V513" s="2961">
        <f t="shared" si="128"/>
        <v>0</v>
      </c>
      <c r="W513" s="998"/>
      <c r="X513" s="2961">
        <f t="shared" si="129"/>
        <v>0</v>
      </c>
      <c r="Y513" s="296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61">
        <f t="shared" si="127"/>
        <v>0</v>
      </c>
      <c r="V514" s="2961">
        <f t="shared" si="128"/>
        <v>0</v>
      </c>
      <c r="W514" s="998"/>
      <c r="X514" s="2961">
        <f t="shared" si="129"/>
        <v>0</v>
      </c>
      <c r="Y514" s="296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61">
        <f t="shared" si="127"/>
        <v>0</v>
      </c>
      <c r="V515" s="2961">
        <f t="shared" si="128"/>
        <v>0</v>
      </c>
      <c r="W515" s="998"/>
      <c r="X515" s="2961">
        <f t="shared" si="129"/>
        <v>0</v>
      </c>
      <c r="Y515" s="296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61">
        <f t="shared" si="127"/>
        <v>0</v>
      </c>
      <c r="V516" s="2961">
        <f t="shared" si="128"/>
        <v>0</v>
      </c>
      <c r="W516" s="998"/>
      <c r="X516" s="2961">
        <f t="shared" si="129"/>
        <v>0</v>
      </c>
      <c r="Y516" s="296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61">
        <f t="shared" si="127"/>
        <v>0</v>
      </c>
      <c r="V517" s="2961">
        <f t="shared" si="128"/>
        <v>0</v>
      </c>
      <c r="W517" s="998"/>
      <c r="X517" s="2961">
        <f t="shared" si="129"/>
        <v>0</v>
      </c>
      <c r="Y517" s="296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61">
        <f t="shared" si="127"/>
        <v>0</v>
      </c>
      <c r="V518" s="2961">
        <f t="shared" si="128"/>
        <v>0</v>
      </c>
      <c r="W518" s="998"/>
      <c r="X518" s="2961">
        <f t="shared" si="129"/>
        <v>0</v>
      </c>
      <c r="Y518" s="296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61">
        <f t="shared" si="127"/>
        <v>0</v>
      </c>
      <c r="V519" s="2961">
        <f t="shared" si="128"/>
        <v>0</v>
      </c>
      <c r="W519" s="998"/>
      <c r="X519" s="2961">
        <f t="shared" si="129"/>
        <v>0</v>
      </c>
      <c r="Y519" s="296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61">
        <f t="shared" si="127"/>
        <v>0</v>
      </c>
      <c r="V520" s="2961">
        <f t="shared" si="128"/>
        <v>0</v>
      </c>
      <c r="W520" s="998"/>
      <c r="X520" s="2961">
        <f t="shared" si="129"/>
        <v>0</v>
      </c>
      <c r="Y520" s="296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61">
        <f t="shared" si="127"/>
        <v>0</v>
      </c>
      <c r="V521" s="2961">
        <f t="shared" si="128"/>
        <v>0</v>
      </c>
      <c r="W521" s="998"/>
      <c r="X521" s="2961">
        <f t="shared" si="129"/>
        <v>0</v>
      </c>
      <c r="Y521" s="296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61">
        <f t="shared" si="127"/>
        <v>0</v>
      </c>
      <c r="V522" s="2961">
        <f t="shared" si="128"/>
        <v>0</v>
      </c>
      <c r="W522" s="998"/>
      <c r="X522" s="2961">
        <f t="shared" si="129"/>
        <v>0</v>
      </c>
      <c r="Y522" s="296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61">
        <f t="shared" si="127"/>
        <v>0</v>
      </c>
      <c r="V523" s="2961">
        <f t="shared" si="128"/>
        <v>0</v>
      </c>
      <c r="W523" s="998"/>
      <c r="X523" s="2961">
        <f t="shared" si="129"/>
        <v>0</v>
      </c>
      <c r="Y523" s="296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61">
        <f t="shared" si="127"/>
        <v>0</v>
      </c>
      <c r="V524" s="2961">
        <f t="shared" si="128"/>
        <v>0</v>
      </c>
      <c r="W524" s="998"/>
      <c r="X524" s="2961">
        <f t="shared" si="129"/>
        <v>0</v>
      </c>
      <c r="Y524" s="296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61">
        <f t="shared" si="127"/>
        <v>0</v>
      </c>
      <c r="V525" s="2961">
        <f t="shared" si="128"/>
        <v>0</v>
      </c>
      <c r="W525" s="998"/>
      <c r="X525" s="2961">
        <f t="shared" si="129"/>
        <v>0</v>
      </c>
      <c r="Y525" s="296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61">
        <f t="shared" si="127"/>
        <v>0</v>
      </c>
      <c r="V526" s="2961">
        <f t="shared" si="128"/>
        <v>0</v>
      </c>
      <c r="W526" s="998"/>
      <c r="X526" s="2961">
        <f t="shared" si="129"/>
        <v>0</v>
      </c>
      <c r="Y526" s="296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61">
        <f t="shared" si="127"/>
        <v>0</v>
      </c>
      <c r="V527" s="2961">
        <f t="shared" si="128"/>
        <v>0</v>
      </c>
      <c r="W527" s="998"/>
      <c r="X527" s="2961">
        <f t="shared" si="129"/>
        <v>0</v>
      </c>
      <c r="Y527" s="296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2185</v>
      </c>
      <c r="C1" s="1609"/>
      <c r="D1" s="1610"/>
      <c r="E1" s="1611" t="s">
        <v>1167</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1856</v>
      </c>
      <c r="B2" s="1620" t="e">
        <f ca="1">IF(D2="——",IF(C2="元",ROUND(C49*D3,0),ROUND(C49*D3/10000,0)),IF(C2="元",ROUND(C49*D3,0),ROUND(C49*D3/10000,0))-E2)</f>
        <v>#DIV/0!</v>
      </c>
      <c r="C2" s="1621" t="str">
        <f>'数据-取费表'!B3</f>
        <v>万元</v>
      </c>
      <c r="D2" s="1622"/>
      <c r="E2" s="1623" t="e">
        <f ca="1">SUMIF(INDIRECT("'"&amp;G2&amp;"'"&amp;"!A:A"),"承租人权益价值",INDIRECT("'"&amp;G2&amp;"'"&amp;"!c:c"))</f>
        <v>#REF!</v>
      </c>
      <c r="F2" s="1624" t="str">
        <f>C2</f>
        <v>万元</v>
      </c>
      <c r="G2" s="1625"/>
      <c r="H2" s="2963"/>
      <c r="I2" s="2963"/>
      <c r="J2" s="2963"/>
      <c r="K2" s="2964"/>
      <c r="L2" s="2965"/>
      <c r="M2" s="2963"/>
      <c r="N2" s="2963"/>
      <c r="O2" s="2963"/>
      <c r="P2" s="1626"/>
      <c r="Q2" s="1627"/>
      <c r="R2" s="1627"/>
      <c r="S2" s="1627"/>
      <c r="T2" s="1627"/>
      <c r="U2" s="1627"/>
      <c r="V2" s="1627"/>
      <c r="W2" s="1627"/>
      <c r="X2" s="1627"/>
      <c r="Y2" s="1627"/>
      <c r="Z2" s="1627"/>
      <c r="AA2" s="1627"/>
      <c r="AB2" s="1627"/>
      <c r="AC2" s="1628"/>
    </row>
    <row r="3" spans="1:29" s="277" customFormat="1" ht="28.5" customHeight="1" thickBot="1">
      <c r="A3" s="1629" t="s">
        <v>1857</v>
      </c>
      <c r="B3" s="1630" t="e">
        <f ca="1">ROUND(IF(D2="——",C49,IF(C2="万元",B2*10000/D3,B2/D3)),0)</f>
        <v>#DIV/0!</v>
      </c>
      <c r="C3" s="1630" t="s">
        <v>2187</v>
      </c>
      <c r="D3" s="1630">
        <f>IF(C1="仅计算典型户型",'数据-取费表'!E5,'数据-取费表'!B5)</f>
        <v>240.88</v>
      </c>
      <c r="E3" s="2963"/>
      <c r="F3" s="2966"/>
      <c r="G3" s="2963"/>
      <c r="H3" s="2963"/>
      <c r="I3" s="2963"/>
      <c r="J3" s="2963"/>
      <c r="K3" s="2964"/>
      <c r="L3" s="2965"/>
      <c r="M3" s="2963"/>
      <c r="N3" s="2963"/>
      <c r="O3" s="2963"/>
      <c r="P3" s="1631"/>
      <c r="Q3" s="1627"/>
      <c r="R3" s="1627"/>
      <c r="S3" s="1627"/>
      <c r="T3" s="1627"/>
      <c r="U3" s="1627"/>
      <c r="V3" s="1627"/>
      <c r="W3" s="1627"/>
      <c r="X3" s="1627"/>
      <c r="Y3" s="1627"/>
      <c r="Z3" s="1627"/>
      <c r="AA3" s="1627"/>
      <c r="AB3" s="1627"/>
      <c r="AC3" s="1632"/>
    </row>
    <row r="4" spans="1:29" ht="15">
      <c r="A4" s="1633" t="s">
        <v>2188</v>
      </c>
      <c r="B4" s="1634"/>
      <c r="C4" s="3572" t="s">
        <v>2189</v>
      </c>
      <c r="D4" s="3573"/>
      <c r="E4" s="3574" t="s">
        <v>2190</v>
      </c>
      <c r="F4" s="3575"/>
      <c r="G4" s="3572" t="s">
        <v>2191</v>
      </c>
      <c r="H4" s="3573"/>
      <c r="I4" s="3572" t="s">
        <v>2192</v>
      </c>
      <c r="J4" s="3573"/>
      <c r="K4" s="1635" t="s">
        <v>2193</v>
      </c>
      <c r="L4" s="2967"/>
      <c r="M4" s="2968"/>
      <c r="N4" s="2968"/>
      <c r="O4" s="2968"/>
      <c r="P4" s="3576" t="s">
        <v>2194</v>
      </c>
      <c r="Q4" s="3577"/>
      <c r="R4" s="3560" t="s">
        <v>2190</v>
      </c>
      <c r="S4" s="3561"/>
      <c r="T4" s="3560" t="s">
        <v>2191</v>
      </c>
      <c r="U4" s="3561"/>
      <c r="V4" s="3582" t="s">
        <v>2192</v>
      </c>
      <c r="W4" s="3582"/>
      <c r="X4" s="1636"/>
      <c r="Y4" s="3560" t="s">
        <v>2194</v>
      </c>
      <c r="Z4" s="3561"/>
      <c r="AA4" s="3569" t="s">
        <v>2190</v>
      </c>
      <c r="AB4" s="3569" t="s">
        <v>2191</v>
      </c>
      <c r="AC4" s="3569" t="s">
        <v>2192</v>
      </c>
    </row>
    <row r="5" spans="1:29" ht="15">
      <c r="A5" s="1638"/>
      <c r="B5" s="1639"/>
      <c r="C5" s="3585" t="s">
        <v>2195</v>
      </c>
      <c r="D5" s="3586"/>
      <c r="E5" s="3630" t="s">
        <v>2196</v>
      </c>
      <c r="F5" s="3584"/>
      <c r="G5" s="3585" t="s">
        <v>2197</v>
      </c>
      <c r="H5" s="3586"/>
      <c r="I5" s="3585" t="s">
        <v>2198</v>
      </c>
      <c r="J5" s="3586"/>
      <c r="K5" s="1640"/>
      <c r="L5" s="2967"/>
      <c r="M5" s="2968"/>
      <c r="N5" s="2968"/>
      <c r="O5" s="2968"/>
      <c r="P5" s="3578"/>
      <c r="Q5" s="3579"/>
      <c r="R5" s="3562"/>
      <c r="S5" s="3563"/>
      <c r="T5" s="3562"/>
      <c r="U5" s="3563"/>
      <c r="V5" s="3582"/>
      <c r="W5" s="3582"/>
      <c r="X5" s="1636"/>
      <c r="Y5" s="3562"/>
      <c r="Z5" s="3563"/>
      <c r="AA5" s="3570"/>
      <c r="AB5" s="3570"/>
      <c r="AC5" s="3570"/>
    </row>
    <row r="6" spans="1:29" ht="15.75" thickBot="1">
      <c r="A6" s="1641"/>
      <c r="B6" s="1642"/>
      <c r="C6" s="3587" t="s">
        <v>2199</v>
      </c>
      <c r="D6" s="3588"/>
      <c r="E6" s="3590" t="s">
        <v>2199</v>
      </c>
      <c r="F6" s="3591"/>
      <c r="G6" s="3587" t="s">
        <v>2199</v>
      </c>
      <c r="H6" s="3588"/>
      <c r="I6" s="3587" t="s">
        <v>2199</v>
      </c>
      <c r="J6" s="3588"/>
      <c r="K6" s="1640" t="s">
        <v>2200</v>
      </c>
      <c r="L6" s="2967"/>
      <c r="M6" s="2968"/>
      <c r="N6" s="2968"/>
      <c r="O6" s="2968"/>
      <c r="P6" s="3580"/>
      <c r="Q6" s="3581"/>
      <c r="R6" s="3562"/>
      <c r="S6" s="3563"/>
      <c r="T6" s="3564"/>
      <c r="U6" s="3565"/>
      <c r="V6" s="3582"/>
      <c r="W6" s="3582"/>
      <c r="X6" s="1636"/>
      <c r="Y6" s="3564"/>
      <c r="Z6" s="3565"/>
      <c r="AA6" s="3571"/>
      <c r="AB6" s="3571"/>
      <c r="AC6" s="3571"/>
    </row>
    <row r="7" spans="1:29" s="1655" customFormat="1" ht="15.75" thickBot="1">
      <c r="A7" s="1643" t="s">
        <v>2201</v>
      </c>
      <c r="B7" s="1644"/>
      <c r="C7" s="1645">
        <f>'数据-取费表'!B2</f>
        <v>44645</v>
      </c>
      <c r="D7" s="1646">
        <v>100</v>
      </c>
      <c r="E7" s="1647"/>
      <c r="F7" s="1648">
        <f>SUMIF(58:58,YEAR(E7)&amp;"-"&amp;MONTH(E7),59:59)</f>
        <v>0</v>
      </c>
      <c r="G7" s="1647"/>
      <c r="H7" s="1646">
        <f>SUMIF(58:58,YEAR(G7)&amp;"-"&amp;MONTH(G7),59:59)</f>
        <v>0</v>
      </c>
      <c r="I7" s="1647"/>
      <c r="J7" s="1646">
        <f>SUMIF(58:58,YEAR(I7)&amp;"-"&amp;MONTH(I7),59:59)</f>
        <v>0</v>
      </c>
      <c r="K7" s="1649"/>
      <c r="L7" s="2967"/>
      <c r="M7" s="2940"/>
      <c r="N7" s="2940"/>
      <c r="O7" s="2940"/>
      <c r="P7" s="3558" t="s">
        <v>2202</v>
      </c>
      <c r="Q7" s="3566"/>
      <c r="R7" s="1651" t="s">
        <v>34</v>
      </c>
      <c r="S7" s="1652">
        <f t="shared" ref="S7:S15" si="0">F7</f>
        <v>0</v>
      </c>
      <c r="T7" s="1651" t="s">
        <v>34</v>
      </c>
      <c r="U7" s="1652">
        <f t="shared" ref="U7:U15" si="1">H7</f>
        <v>0</v>
      </c>
      <c r="V7" s="1651" t="s">
        <v>34</v>
      </c>
      <c r="W7" s="1652">
        <f t="shared" ref="W7:W15" si="2">J7</f>
        <v>0</v>
      </c>
      <c r="X7" s="1653"/>
      <c r="Y7" s="3558" t="s">
        <v>2202</v>
      </c>
      <c r="Z7" s="3559"/>
      <c r="AA7" s="1654" t="e">
        <f>D7/F7</f>
        <v>#DIV/0!</v>
      </c>
      <c r="AB7" s="1654" t="e">
        <f>D7/H7</f>
        <v>#DIV/0!</v>
      </c>
      <c r="AC7" s="1654" t="e">
        <f>D7/J7</f>
        <v>#DIV/0!</v>
      </c>
    </row>
    <row r="8" spans="1:29" s="1655" customFormat="1" ht="15.75" thickBot="1">
      <c r="A8" s="1643" t="s">
        <v>2203</v>
      </c>
      <c r="B8" s="1644"/>
      <c r="C8" s="1656" t="s">
        <v>2204</v>
      </c>
      <c r="D8" s="1646">
        <v>100</v>
      </c>
      <c r="E8" s="1657"/>
      <c r="F8" s="1648">
        <f>SUMIF(61:61,E8,62:62)-SUMIF(61:61,C8,62:62)+100</f>
        <v>0</v>
      </c>
      <c r="G8" s="1656"/>
      <c r="H8" s="1646">
        <f>SUMIF(61:61,G8,62:62)-SUMIF(61:61,C8,62:62)+100</f>
        <v>0</v>
      </c>
      <c r="I8" s="1657"/>
      <c r="J8" s="1646">
        <f>SUMIF(61:61,I8,62:62)-SUMIF(61:61,C8,62:62)+100</f>
        <v>0</v>
      </c>
      <c r="K8" s="1649"/>
      <c r="L8" s="2967"/>
      <c r="M8" s="2940"/>
      <c r="N8" s="2940"/>
      <c r="O8" s="2940"/>
      <c r="P8" s="3558" t="s">
        <v>2205</v>
      </c>
      <c r="Q8" s="3559"/>
      <c r="R8" s="1651" t="s">
        <v>34</v>
      </c>
      <c r="S8" s="1652">
        <f t="shared" si="0"/>
        <v>0</v>
      </c>
      <c r="T8" s="1651" t="s">
        <v>34</v>
      </c>
      <c r="U8" s="1652">
        <f t="shared" si="1"/>
        <v>0</v>
      </c>
      <c r="V8" s="1651" t="s">
        <v>34</v>
      </c>
      <c r="W8" s="1652">
        <f t="shared" si="2"/>
        <v>0</v>
      </c>
      <c r="X8" s="1653"/>
      <c r="Y8" s="3558" t="s">
        <v>2205</v>
      </c>
      <c r="Z8" s="3559"/>
      <c r="AA8" s="1654" t="e">
        <f t="shared" ref="AA8:AA46" si="3">D8/F8</f>
        <v>#DIV/0!</v>
      </c>
      <c r="AB8" s="1654" t="e">
        <f t="shared" ref="AB8:AB46" si="4">D8/H8</f>
        <v>#DIV/0!</v>
      </c>
      <c r="AC8" s="1654" t="e">
        <f t="shared" ref="AC8:AC46" si="5">D8/J8</f>
        <v>#DIV/0!</v>
      </c>
    </row>
    <row r="9" spans="1:29" s="1655" customFormat="1">
      <c r="A9" s="1606" t="s">
        <v>2206</v>
      </c>
      <c r="B9" s="1658" t="s">
        <v>2207</v>
      </c>
      <c r="C9" s="1659"/>
      <c r="D9" s="1660">
        <v>100</v>
      </c>
      <c r="E9" s="1661"/>
      <c r="F9" s="1662">
        <f>SUMIF(63:63,E9,64:64)-SUMIF(63:63,C9,64:64)+100</f>
        <v>100</v>
      </c>
      <c r="G9" s="1663"/>
      <c r="H9" s="1660">
        <f>SUMIF(63:63,G9,64:64)-SUMIF(63:63,C9,64:64)+100</f>
        <v>100</v>
      </c>
      <c r="I9" s="1663"/>
      <c r="J9" s="1660">
        <f>SUMIF(63:63,I9,64:64)-SUMIF(63:63,C9,64:64)+100</f>
        <v>100</v>
      </c>
      <c r="K9" s="1649"/>
      <c r="L9" s="2967"/>
      <c r="M9" s="2940"/>
      <c r="N9" s="2940"/>
      <c r="O9" s="2940"/>
      <c r="P9" s="3629" t="s">
        <v>2208</v>
      </c>
      <c r="Q9" s="1605" t="str">
        <f t="shared" ref="Q9:Q15" si="6">B9</f>
        <v>用途</v>
      </c>
      <c r="R9" s="1651" t="s">
        <v>25</v>
      </c>
      <c r="S9" s="1652">
        <f t="shared" si="0"/>
        <v>100</v>
      </c>
      <c r="T9" s="1651" t="s">
        <v>25</v>
      </c>
      <c r="U9" s="1652">
        <f t="shared" si="1"/>
        <v>100</v>
      </c>
      <c r="V9" s="1651" t="s">
        <v>25</v>
      </c>
      <c r="W9" s="1652">
        <f t="shared" si="2"/>
        <v>100</v>
      </c>
      <c r="X9" s="1653"/>
      <c r="Y9" s="3446"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671"/>
      <c r="L10" s="2969"/>
      <c r="M10" s="2970"/>
      <c r="N10" s="2970"/>
      <c r="O10" s="2970"/>
      <c r="P10" s="3629"/>
      <c r="Q10" s="1605" t="str">
        <f t="shared" si="6"/>
        <v>土地使用年限（年）</v>
      </c>
      <c r="R10" s="1651" t="s">
        <v>25</v>
      </c>
      <c r="S10" s="1652">
        <f t="shared" si="0"/>
        <v>100</v>
      </c>
      <c r="T10" s="1651" t="s">
        <v>25</v>
      </c>
      <c r="U10" s="1652">
        <f t="shared" si="1"/>
        <v>100</v>
      </c>
      <c r="V10" s="1651" t="s">
        <v>25</v>
      </c>
      <c r="W10" s="1652">
        <f t="shared" si="2"/>
        <v>100</v>
      </c>
      <c r="X10" s="1653"/>
      <c r="Y10" s="3446"/>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671"/>
      <c r="L11" s="2971"/>
      <c r="M11" s="2968"/>
      <c r="N11" s="2968"/>
      <c r="O11" s="2968"/>
      <c r="P11" s="3629"/>
      <c r="Q11" s="1605" t="str">
        <f t="shared" si="6"/>
        <v>容积率</v>
      </c>
      <c r="R11" s="1651" t="s">
        <v>28</v>
      </c>
      <c r="S11" s="1652" t="e">
        <f t="shared" si="0"/>
        <v>#N/A</v>
      </c>
      <c r="T11" s="1651" t="s">
        <v>28</v>
      </c>
      <c r="U11" s="1652" t="e">
        <f t="shared" si="1"/>
        <v>#N/A</v>
      </c>
      <c r="V11" s="1651" t="s">
        <v>28</v>
      </c>
      <c r="W11" s="1652" t="e">
        <f t="shared" si="2"/>
        <v>#N/A</v>
      </c>
      <c r="X11" s="1653"/>
      <c r="Y11" s="3446"/>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7"/>
      <c r="M12" s="2940"/>
      <c r="N12" s="2940"/>
      <c r="O12" s="2940"/>
      <c r="P12" s="3629"/>
      <c r="Q12" s="1605">
        <f t="shared" si="6"/>
        <v>111</v>
      </c>
      <c r="R12" s="1651" t="s">
        <v>28</v>
      </c>
      <c r="S12" s="1652">
        <f t="shared" si="0"/>
        <v>100</v>
      </c>
      <c r="T12" s="1651" t="s">
        <v>28</v>
      </c>
      <c r="U12" s="1652">
        <f t="shared" si="1"/>
        <v>100</v>
      </c>
      <c r="V12" s="1651" t="s">
        <v>28</v>
      </c>
      <c r="W12" s="1652">
        <f t="shared" si="2"/>
        <v>100</v>
      </c>
      <c r="X12" s="1653"/>
      <c r="Y12" s="3446"/>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72"/>
      <c r="M13" s="2968"/>
      <c r="N13" s="2968"/>
      <c r="O13" s="2968"/>
      <c r="P13" s="3629"/>
      <c r="Q13" s="1605">
        <f t="shared" si="6"/>
        <v>111</v>
      </c>
      <c r="R13" s="1651" t="s">
        <v>28</v>
      </c>
      <c r="S13" s="1652">
        <f t="shared" si="0"/>
        <v>100</v>
      </c>
      <c r="T13" s="1651" t="s">
        <v>28</v>
      </c>
      <c r="U13" s="1652">
        <f t="shared" si="1"/>
        <v>100</v>
      </c>
      <c r="V13" s="1651" t="s">
        <v>28</v>
      </c>
      <c r="W13" s="1652">
        <f t="shared" si="2"/>
        <v>100</v>
      </c>
      <c r="X13" s="1653"/>
      <c r="Y13" s="3446"/>
      <c r="Z13" s="1664">
        <f t="shared" si="7"/>
        <v>111</v>
      </c>
      <c r="AA13" s="1654">
        <f t="shared" si="3"/>
        <v>1</v>
      </c>
      <c r="AB13" s="1654">
        <f t="shared" si="4"/>
        <v>1</v>
      </c>
      <c r="AC13" s="1654">
        <f t="shared" si="5"/>
        <v>1</v>
      </c>
    </row>
    <row r="14" spans="1:29" ht="15.75"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72"/>
      <c r="M14" s="2968"/>
      <c r="N14" s="2968"/>
      <c r="O14" s="2968"/>
      <c r="P14" s="3629"/>
      <c r="Q14" s="1605">
        <f t="shared" si="6"/>
        <v>111</v>
      </c>
      <c r="R14" s="1651" t="s">
        <v>28</v>
      </c>
      <c r="S14" s="1652">
        <f t="shared" si="0"/>
        <v>100</v>
      </c>
      <c r="T14" s="1651" t="s">
        <v>28</v>
      </c>
      <c r="U14" s="1652">
        <f t="shared" si="1"/>
        <v>100</v>
      </c>
      <c r="V14" s="1651" t="s">
        <v>28</v>
      </c>
      <c r="W14" s="1652">
        <f t="shared" si="2"/>
        <v>100</v>
      </c>
      <c r="X14" s="1653"/>
      <c r="Y14" s="3446"/>
      <c r="Z14" s="1664">
        <f t="shared" si="7"/>
        <v>111</v>
      </c>
      <c r="AA14" s="1654">
        <f t="shared" si="3"/>
        <v>1</v>
      </c>
      <c r="AB14" s="1654">
        <f t="shared" si="4"/>
        <v>1</v>
      </c>
      <c r="AC14" s="1654">
        <f t="shared" si="5"/>
        <v>1</v>
      </c>
    </row>
    <row r="15" spans="1:29" ht="99.75">
      <c r="A15" s="1688" t="s">
        <v>2212</v>
      </c>
      <c r="B15" s="1689" t="s">
        <v>1646</v>
      </c>
      <c r="C15" s="1690">
        <f>估价对象房地状况!C3</f>
        <v>0</v>
      </c>
      <c r="D15" s="1691">
        <v>100</v>
      </c>
      <c r="E15" s="1692"/>
      <c r="F15" s="1693">
        <f>SUMIF(76:76,E16,77:77)-SUMIF(76:76,C16,77:77)+100</f>
        <v>100</v>
      </c>
      <c r="G15" s="1694"/>
      <c r="H15" s="1691">
        <f>SUMIF(76:76,G16,77:77)-SUMIF(76:76,C16,77:77)+100</f>
        <v>100</v>
      </c>
      <c r="I15" s="1692"/>
      <c r="J15" s="1691">
        <f>SUMIF(76:76,I16,77:77)-SUMIF(76:76,C16,77:77)+100</f>
        <v>100</v>
      </c>
      <c r="K15" s="1695"/>
      <c r="L15" s="2972"/>
      <c r="M15" s="2968"/>
      <c r="N15" s="2968"/>
      <c r="O15" s="2968"/>
      <c r="P15" s="3624" t="s">
        <v>2213</v>
      </c>
      <c r="Q15" s="1586" t="str">
        <f t="shared" si="6"/>
        <v>居住社区成熟度</v>
      </c>
      <c r="R15" s="1696" t="s">
        <v>28</v>
      </c>
      <c r="S15" s="1697">
        <f t="shared" si="0"/>
        <v>100</v>
      </c>
      <c r="T15" s="1696" t="s">
        <v>28</v>
      </c>
      <c r="U15" s="1697">
        <f t="shared" si="1"/>
        <v>100</v>
      </c>
      <c r="V15" s="1696" t="s">
        <v>28</v>
      </c>
      <c r="W15" s="1697">
        <f t="shared" si="2"/>
        <v>100</v>
      </c>
      <c r="X15" s="1636"/>
      <c r="Y15" s="3567" t="s">
        <v>2213</v>
      </c>
      <c r="Z15" s="1698" t="str">
        <f t="shared" si="7"/>
        <v>居住社区成熟度</v>
      </c>
      <c r="AA15" s="1699">
        <f t="shared" si="3"/>
        <v>1</v>
      </c>
      <c r="AB15" s="1699">
        <f t="shared" si="4"/>
        <v>1</v>
      </c>
      <c r="AC15" s="1699">
        <f t="shared" si="5"/>
        <v>1</v>
      </c>
    </row>
    <row r="16" spans="1:29" ht="15">
      <c r="A16" s="1673"/>
      <c r="B16" s="1700"/>
      <c r="C16" s="1701"/>
      <c r="D16" s="1702"/>
      <c r="E16" s="1703"/>
      <c r="F16" s="1704"/>
      <c r="G16" s="1705"/>
      <c r="H16" s="1706"/>
      <c r="I16" s="1703"/>
      <c r="J16" s="1702"/>
      <c r="K16" s="1707"/>
      <c r="L16" s="2972"/>
      <c r="M16" s="2968"/>
      <c r="N16" s="2968"/>
      <c r="O16" s="2968"/>
      <c r="P16" s="3625"/>
      <c r="Q16" s="1586"/>
      <c r="R16" s="1696"/>
      <c r="S16" s="1697"/>
      <c r="T16" s="1696"/>
      <c r="U16" s="1697"/>
      <c r="V16" s="1696"/>
      <c r="W16" s="1697"/>
      <c r="X16" s="1636"/>
      <c r="Y16" s="3568"/>
      <c r="Z16" s="1698"/>
      <c r="AA16" s="1699">
        <v>1</v>
      </c>
      <c r="AB16" s="1699">
        <v>1</v>
      </c>
      <c r="AC16" s="1699">
        <v>1</v>
      </c>
    </row>
    <row r="17" spans="1:29" ht="85.5">
      <c r="A17" s="1673"/>
      <c r="B17" s="1708" t="s">
        <v>1648</v>
      </c>
      <c r="C17" s="1709" t="str">
        <f>估价对象房地状况!C6</f>
        <v>较好</v>
      </c>
      <c r="D17" s="1706">
        <v>100</v>
      </c>
      <c r="E17" s="1710"/>
      <c r="F17" s="1711">
        <f>SUMIF(78:78,E18,79:79)-SUMIF(78:78,C18,79:79)+100</f>
        <v>100</v>
      </c>
      <c r="G17" s="1712"/>
      <c r="H17" s="1713">
        <f>SUMIF(78:78,G18,79:79)-SUMIF(78:78,C18,79:79)+100</f>
        <v>100</v>
      </c>
      <c r="I17" s="1710"/>
      <c r="J17" s="1713">
        <f>SUMIF(78:78,I18,79:79)-SUMIF(78:78,C18,79:79)+100</f>
        <v>100</v>
      </c>
      <c r="K17" s="1695"/>
      <c r="L17" s="2972"/>
      <c r="M17" s="2968"/>
      <c r="N17" s="2968"/>
      <c r="O17" s="2968"/>
      <c r="P17" s="3625"/>
      <c r="Q17" s="1586" t="str">
        <f>B17</f>
        <v>交通便捷度</v>
      </c>
      <c r="R17" s="1696" t="s">
        <v>28</v>
      </c>
      <c r="S17" s="1697">
        <f>F17</f>
        <v>100</v>
      </c>
      <c r="T17" s="1696" t="s">
        <v>28</v>
      </c>
      <c r="U17" s="1697">
        <f>H17</f>
        <v>100</v>
      </c>
      <c r="V17" s="1696" t="s">
        <v>28</v>
      </c>
      <c r="W17" s="1697">
        <f>J17</f>
        <v>100</v>
      </c>
      <c r="X17" s="1636"/>
      <c r="Y17" s="3568"/>
      <c r="Z17" s="1698" t="str">
        <f>Q17</f>
        <v>交通便捷度</v>
      </c>
      <c r="AA17" s="1699">
        <f t="shared" si="3"/>
        <v>1</v>
      </c>
      <c r="AB17" s="1699">
        <f t="shared" si="4"/>
        <v>1</v>
      </c>
      <c r="AC17" s="1699">
        <f t="shared" si="5"/>
        <v>1</v>
      </c>
    </row>
    <row r="18" spans="1:29" ht="15">
      <c r="A18" s="1673"/>
      <c r="B18" s="1714"/>
      <c r="C18" s="1715"/>
      <c r="D18" s="1706"/>
      <c r="E18" s="1716"/>
      <c r="F18" s="1711"/>
      <c r="G18" s="1717"/>
      <c r="H18" s="1702"/>
      <c r="I18" s="1716"/>
      <c r="J18" s="1702"/>
      <c r="K18" s="1707"/>
      <c r="L18" s="2972"/>
      <c r="M18" s="2968"/>
      <c r="N18" s="2968"/>
      <c r="O18" s="2968"/>
      <c r="P18" s="3625"/>
      <c r="Q18" s="1586"/>
      <c r="R18" s="1696"/>
      <c r="S18" s="1697"/>
      <c r="T18" s="1696"/>
      <c r="U18" s="1697"/>
      <c r="V18" s="1696"/>
      <c r="W18" s="1697"/>
      <c r="X18" s="1636"/>
      <c r="Y18" s="3568"/>
      <c r="Z18" s="1698"/>
      <c r="AA18" s="1699">
        <v>1</v>
      </c>
      <c r="AB18" s="1699">
        <v>1</v>
      </c>
      <c r="AC18" s="1699">
        <v>1</v>
      </c>
    </row>
    <row r="19" spans="1:29" ht="42.75">
      <c r="A19" s="1673"/>
      <c r="B19" s="1708" t="s">
        <v>1647</v>
      </c>
      <c r="C19" s="1709" t="str">
        <f>估价对象房地状况!C7</f>
        <v>较好</v>
      </c>
      <c r="D19" s="1713">
        <v>100</v>
      </c>
      <c r="E19" s="1718"/>
      <c r="F19" s="1719">
        <f>SUMIF(80:80,E20,81:81)-SUMIF(80:80,C20,81:81)+100</f>
        <v>100</v>
      </c>
      <c r="G19" s="1720"/>
      <c r="H19" s="1706">
        <f>SUMIF(80:80,G20,81:81)-SUMIF(80:80,C20,81:81)+100</f>
        <v>100</v>
      </c>
      <c r="I19" s="1718"/>
      <c r="J19" s="1706">
        <f>SUMIF(80:80,I20,81:81)-SUMIF(80:80,C20,81:81)+100</f>
        <v>100</v>
      </c>
      <c r="K19" s="1695"/>
      <c r="L19" s="2972"/>
      <c r="M19" s="2968"/>
      <c r="N19" s="2968"/>
      <c r="O19" s="2968"/>
      <c r="P19" s="3625"/>
      <c r="Q19" s="1586" t="str">
        <f>B19</f>
        <v>公共配套设施</v>
      </c>
      <c r="R19" s="1696" t="s">
        <v>28</v>
      </c>
      <c r="S19" s="1697">
        <f>F19</f>
        <v>100</v>
      </c>
      <c r="T19" s="1696" t="s">
        <v>28</v>
      </c>
      <c r="U19" s="1697">
        <f>H19</f>
        <v>100</v>
      </c>
      <c r="V19" s="1696" t="s">
        <v>28</v>
      </c>
      <c r="W19" s="1697">
        <f>J19</f>
        <v>100</v>
      </c>
      <c r="X19" s="1636"/>
      <c r="Y19" s="3568"/>
      <c r="Z19" s="1698" t="str">
        <f>Q19</f>
        <v>公共配套设施</v>
      </c>
      <c r="AA19" s="1699">
        <f t="shared" si="3"/>
        <v>1</v>
      </c>
      <c r="AB19" s="1699">
        <f t="shared" si="4"/>
        <v>1</v>
      </c>
      <c r="AC19" s="1699">
        <f t="shared" si="5"/>
        <v>1</v>
      </c>
    </row>
    <row r="20" spans="1:29" ht="15">
      <c r="A20" s="1673"/>
      <c r="B20" s="1714"/>
      <c r="C20" s="1701"/>
      <c r="D20" s="1702"/>
      <c r="E20" s="1703"/>
      <c r="F20" s="1704"/>
      <c r="G20" s="1705"/>
      <c r="H20" s="1702"/>
      <c r="I20" s="1703"/>
      <c r="J20" s="1702"/>
      <c r="K20" s="1707"/>
      <c r="L20" s="2972"/>
      <c r="M20" s="2968"/>
      <c r="N20" s="2968"/>
      <c r="O20" s="2968"/>
      <c r="P20" s="3625"/>
      <c r="Q20" s="1586"/>
      <c r="R20" s="1696"/>
      <c r="S20" s="1697"/>
      <c r="T20" s="1696"/>
      <c r="U20" s="1697"/>
      <c r="V20" s="1696"/>
      <c r="W20" s="1697"/>
      <c r="X20" s="1636"/>
      <c r="Y20" s="3568"/>
      <c r="Z20" s="1698"/>
      <c r="AA20" s="1699">
        <v>1</v>
      </c>
      <c r="AB20" s="1699">
        <v>1</v>
      </c>
      <c r="AC20" s="1699">
        <v>1</v>
      </c>
    </row>
    <row r="21" spans="1:29" ht="28.5">
      <c r="A21" s="1673"/>
      <c r="B21" s="1721" t="s">
        <v>1649</v>
      </c>
      <c r="C21" s="1709" t="str">
        <f>估价对象房地状况!C8</f>
        <v>七通</v>
      </c>
      <c r="D21" s="1713">
        <v>100</v>
      </c>
      <c r="E21" s="1718"/>
      <c r="F21" s="1719">
        <f>SUMIF(82:82,E22,83:83)-SUMIF(82:82,C22,83:83)+100</f>
        <v>100</v>
      </c>
      <c r="G21" s="1720"/>
      <c r="H21" s="1706">
        <f>SUMIF(82:82,G22,83:83)-SUMIF(82:82,C22,83:83)+100</f>
        <v>100</v>
      </c>
      <c r="I21" s="1718"/>
      <c r="J21" s="1706">
        <f>SUMIF(82:82,I22,83:83)-SUMIF(82:82,C22,83:83)+100</f>
        <v>100</v>
      </c>
      <c r="K21" s="1695"/>
      <c r="L21" s="2972"/>
      <c r="M21" s="2968"/>
      <c r="N21" s="2968"/>
      <c r="O21" s="2968"/>
      <c r="P21" s="3625"/>
      <c r="Q21" s="1586" t="str">
        <f>B21</f>
        <v>基础设施水平</v>
      </c>
      <c r="R21" s="1696" t="s">
        <v>28</v>
      </c>
      <c r="S21" s="1697">
        <f>F21</f>
        <v>100</v>
      </c>
      <c r="T21" s="1696" t="s">
        <v>28</v>
      </c>
      <c r="U21" s="1697">
        <f>H21</f>
        <v>100</v>
      </c>
      <c r="V21" s="1696" t="s">
        <v>28</v>
      </c>
      <c r="W21" s="1697">
        <f>J21</f>
        <v>100</v>
      </c>
      <c r="X21" s="1636"/>
      <c r="Y21" s="3568"/>
      <c r="Z21" s="1698" t="str">
        <f>Q21</f>
        <v>基础设施水平</v>
      </c>
      <c r="AA21" s="1699">
        <f t="shared" ref="AA21" si="8">D21/F21</f>
        <v>1</v>
      </c>
      <c r="AB21" s="1699">
        <f t="shared" ref="AB21" si="9">D21/H21</f>
        <v>1</v>
      </c>
      <c r="AC21" s="1699">
        <f t="shared" ref="AC21" si="10">D21/J21</f>
        <v>1</v>
      </c>
    </row>
    <row r="22" spans="1:29" ht="15">
      <c r="A22" s="1673"/>
      <c r="B22" s="1721"/>
      <c r="C22" s="1715"/>
      <c r="D22" s="1702"/>
      <c r="E22" s="1701"/>
      <c r="F22" s="1704"/>
      <c r="G22" s="1701"/>
      <c r="H22" s="1702"/>
      <c r="I22" s="1701"/>
      <c r="J22" s="1702"/>
      <c r="K22" s="1722"/>
      <c r="L22" s="2972"/>
      <c r="M22" s="2968"/>
      <c r="N22" s="2968"/>
      <c r="O22" s="2968"/>
      <c r="P22" s="3625"/>
      <c r="Q22" s="1586"/>
      <c r="R22" s="1696"/>
      <c r="S22" s="1697"/>
      <c r="T22" s="1696"/>
      <c r="U22" s="1697"/>
      <c r="V22" s="1696"/>
      <c r="W22" s="1697"/>
      <c r="X22" s="1636"/>
      <c r="Y22" s="3568"/>
      <c r="Z22" s="1698"/>
      <c r="AA22" s="1699">
        <v>1</v>
      </c>
      <c r="AB22" s="1699">
        <v>1</v>
      </c>
      <c r="AC22" s="1699">
        <v>1</v>
      </c>
    </row>
    <row r="23" spans="1:29" ht="57">
      <c r="A23" s="1673"/>
      <c r="B23" s="1708" t="s">
        <v>1650</v>
      </c>
      <c r="C23" s="1709" t="str">
        <f>估价对象房地状况!C9</f>
        <v>较好</v>
      </c>
      <c r="D23" s="1706">
        <v>100</v>
      </c>
      <c r="E23" s="1710"/>
      <c r="F23" s="1711">
        <f>SUMIF(84:84,E24,85:85)-SUMIF(84:84,C24,85:85)+100</f>
        <v>100</v>
      </c>
      <c r="G23" s="1712"/>
      <c r="H23" s="1706">
        <f>SUMIF(84:84,G24,85:85)-SUMIF(84:84,C24,85:85)+100</f>
        <v>100</v>
      </c>
      <c r="I23" s="1710"/>
      <c r="J23" s="1706">
        <f>SUMIF(84:84,I24,85:85)-SUMIF(84:84,C24,85:85)+100</f>
        <v>100</v>
      </c>
      <c r="K23" s="1695"/>
      <c r="L23" s="2972"/>
      <c r="M23" s="2968"/>
      <c r="N23" s="2968"/>
      <c r="O23" s="2968"/>
      <c r="P23" s="3625"/>
      <c r="Q23" s="1586" t="str">
        <f>B23</f>
        <v>自然及人文环境</v>
      </c>
      <c r="R23" s="1696" t="s">
        <v>28</v>
      </c>
      <c r="S23" s="1697">
        <f>F23</f>
        <v>100</v>
      </c>
      <c r="T23" s="1696" t="s">
        <v>28</v>
      </c>
      <c r="U23" s="1697">
        <f>H23</f>
        <v>100</v>
      </c>
      <c r="V23" s="1696" t="s">
        <v>28</v>
      </c>
      <c r="W23" s="1697">
        <f>J23</f>
        <v>100</v>
      </c>
      <c r="X23" s="1636"/>
      <c r="Y23" s="3568"/>
      <c r="Z23" s="1698" t="str">
        <f>Q23</f>
        <v>自然及人文环境</v>
      </c>
      <c r="AA23" s="1699">
        <f t="shared" si="3"/>
        <v>1</v>
      </c>
      <c r="AB23" s="1699">
        <f t="shared" si="4"/>
        <v>1</v>
      </c>
      <c r="AC23" s="1699">
        <f t="shared" si="5"/>
        <v>1</v>
      </c>
    </row>
    <row r="24" spans="1:29" ht="15">
      <c r="A24" s="1673"/>
      <c r="B24" s="1714"/>
      <c r="C24" s="1701"/>
      <c r="D24" s="1702"/>
      <c r="E24" s="1703"/>
      <c r="F24" s="1704"/>
      <c r="G24" s="1705"/>
      <c r="H24" s="1702"/>
      <c r="I24" s="1703"/>
      <c r="J24" s="1702"/>
      <c r="K24" s="1707"/>
      <c r="L24" s="2972"/>
      <c r="M24" s="2968"/>
      <c r="N24" s="2968"/>
      <c r="O24" s="2968"/>
      <c r="P24" s="3625"/>
      <c r="Q24" s="1586"/>
      <c r="R24" s="1696"/>
      <c r="S24" s="1697"/>
      <c r="T24" s="1696"/>
      <c r="U24" s="1697"/>
      <c r="V24" s="1696"/>
      <c r="W24" s="1697"/>
      <c r="X24" s="1636"/>
      <c r="Y24" s="3568"/>
      <c r="Z24" s="1698"/>
      <c r="AA24" s="1699">
        <v>1</v>
      </c>
      <c r="AB24" s="1699">
        <v>1</v>
      </c>
      <c r="AC24" s="1699">
        <v>1</v>
      </c>
    </row>
    <row r="25" spans="1:29" ht="15">
      <c r="A25" s="1673"/>
      <c r="B25" s="1666" t="s">
        <v>2214</v>
      </c>
      <c r="C25" s="1723"/>
      <c r="D25" s="1682">
        <v>100</v>
      </c>
      <c r="E25" s="1724"/>
      <c r="F25" s="1725">
        <f>SUMIF(86:86,E25,87:87)-SUMIF(86:86,C25,87:87)+100</f>
        <v>100</v>
      </c>
      <c r="G25" s="1726"/>
      <c r="H25" s="1682">
        <f>SUMIF(86:86,G25,87:87)-SUMIF(86:86,C25,87:87)+100</f>
        <v>100</v>
      </c>
      <c r="I25" s="1724"/>
      <c r="J25" s="1682">
        <f>SUMIF(86:86,I25,87:87)-SUMIF(86:86,C25,87:87)+100</f>
        <v>100</v>
      </c>
      <c r="K25" s="1671"/>
      <c r="L25" s="2972"/>
      <c r="M25" s="2968"/>
      <c r="N25" s="2968"/>
      <c r="O25" s="2968"/>
      <c r="P25" s="3625"/>
      <c r="Q25" s="1586" t="str">
        <f t="shared" ref="Q25:Q46" si="11">B25</f>
        <v>楼层-1</v>
      </c>
      <c r="R25" s="1696" t="s">
        <v>28</v>
      </c>
      <c r="S25" s="1697">
        <f>F25</f>
        <v>100</v>
      </c>
      <c r="T25" s="1696" t="s">
        <v>28</v>
      </c>
      <c r="U25" s="1697">
        <f>H25</f>
        <v>100</v>
      </c>
      <c r="V25" s="1696" t="s">
        <v>28</v>
      </c>
      <c r="W25" s="1697">
        <f>J25</f>
        <v>100</v>
      </c>
      <c r="X25" s="1636"/>
      <c r="Y25" s="3568"/>
      <c r="Z25" s="1698" t="str">
        <f>Q25</f>
        <v>楼层-1</v>
      </c>
      <c r="AA25" s="1699">
        <f t="shared" si="3"/>
        <v>1</v>
      </c>
      <c r="AB25" s="1699">
        <f t="shared" si="4"/>
        <v>1</v>
      </c>
      <c r="AC25" s="1699">
        <f t="shared" si="5"/>
        <v>1</v>
      </c>
    </row>
    <row r="26" spans="1:29" ht="15">
      <c r="A26" s="1673"/>
      <c r="B26" s="1666" t="s">
        <v>2215</v>
      </c>
      <c r="C26" s="1723"/>
      <c r="D26" s="1682">
        <v>100</v>
      </c>
      <c r="E26" s="1724"/>
      <c r="F26" s="1725">
        <f>SUMIF(88:88,E26,89:89)-SUMIF(88:88,C26,89:89)+100</f>
        <v>100</v>
      </c>
      <c r="G26" s="1726"/>
      <c r="H26" s="1682">
        <f>SUMIF(88:88,G26,89:89)-SUMIF(88:88,C26,89:89)+100</f>
        <v>100</v>
      </c>
      <c r="I26" s="1724"/>
      <c r="J26" s="1682">
        <f>SUMIF(88:88,I26,89:89)-SUMIF(88:88,C26,89:89)+100</f>
        <v>100</v>
      </c>
      <c r="K26" s="1671"/>
      <c r="L26" s="2972"/>
      <c r="M26" s="2968"/>
      <c r="N26" s="2968"/>
      <c r="O26" s="2968"/>
      <c r="P26" s="3625"/>
      <c r="Q26" s="1586" t="str">
        <f t="shared" si="11"/>
        <v>朝向</v>
      </c>
      <c r="R26" s="1696" t="s">
        <v>28</v>
      </c>
      <c r="S26" s="1697">
        <f>F26</f>
        <v>100</v>
      </c>
      <c r="T26" s="1696" t="s">
        <v>28</v>
      </c>
      <c r="U26" s="1697">
        <f>H26</f>
        <v>100</v>
      </c>
      <c r="V26" s="1696" t="s">
        <v>28</v>
      </c>
      <c r="W26" s="1697">
        <f>J26</f>
        <v>100</v>
      </c>
      <c r="X26" s="1636"/>
      <c r="Y26" s="3568"/>
      <c r="Z26" s="1698" t="str">
        <f>Q26</f>
        <v>朝向</v>
      </c>
      <c r="AA26" s="1699">
        <f t="shared" si="3"/>
        <v>1</v>
      </c>
      <c r="AB26" s="1699">
        <f t="shared" si="4"/>
        <v>1</v>
      </c>
      <c r="AC26" s="1699">
        <f t="shared" si="5"/>
        <v>1</v>
      </c>
    </row>
    <row r="27" spans="1:29" s="1655" customFormat="1" ht="15">
      <c r="A27" s="1676"/>
      <c r="B27" s="1677" t="s">
        <v>2216</v>
      </c>
      <c r="C27" s="1678"/>
      <c r="D27" s="1727">
        <v>100</v>
      </c>
      <c r="E27" s="1728"/>
      <c r="F27" s="1729">
        <f>SUMIF(90:90,E27,91:91)-SUMIF(90:90,C27,91:91)+100</f>
        <v>100</v>
      </c>
      <c r="G27" s="1730"/>
      <c r="H27" s="1727">
        <f>SUMIF(90:90,G27,91:91)-SUMIF(90:90,C27,91:91)+100</f>
        <v>100</v>
      </c>
      <c r="I27" s="1728"/>
      <c r="J27" s="1727">
        <f>SUMIF(90:90,I27,91:91)-SUMIF(90:90,C27,91:91)+100</f>
        <v>100</v>
      </c>
      <c r="K27" s="1680"/>
      <c r="L27" s="2967"/>
      <c r="M27" s="2940"/>
      <c r="N27" s="2940"/>
      <c r="O27" s="2940"/>
      <c r="P27" s="3625"/>
      <c r="Q27" s="1605" t="str">
        <f t="shared" si="11"/>
        <v>道路级别</v>
      </c>
      <c r="R27" s="1651" t="s">
        <v>28</v>
      </c>
      <c r="S27" s="1652">
        <f>F27</f>
        <v>100</v>
      </c>
      <c r="T27" s="1651" t="s">
        <v>28</v>
      </c>
      <c r="U27" s="1652">
        <f>H27</f>
        <v>100</v>
      </c>
      <c r="V27" s="1651" t="s">
        <v>28</v>
      </c>
      <c r="W27" s="1652">
        <f>J27</f>
        <v>100</v>
      </c>
      <c r="X27" s="1653"/>
      <c r="Y27" s="3568"/>
      <c r="Z27" s="1664" t="str">
        <f>Q27</f>
        <v>道路级别</v>
      </c>
      <c r="AA27" s="1699">
        <f>D27/F27</f>
        <v>1</v>
      </c>
      <c r="AB27" s="1699">
        <f>D27/H27</f>
        <v>1</v>
      </c>
      <c r="AC27" s="1699">
        <f>D27/J27</f>
        <v>1</v>
      </c>
    </row>
    <row r="28" spans="1:29" ht="15">
      <c r="A28" s="1673"/>
      <c r="B28" s="1731">
        <v>111</v>
      </c>
      <c r="C28" s="1681"/>
      <c r="D28" s="1682">
        <v>100</v>
      </c>
      <c r="E28" s="1681"/>
      <c r="F28" s="1725">
        <f>SUMIF(92:92,E28,93:93)-SUMIF(92:92,C28,93:93)+100</f>
        <v>100</v>
      </c>
      <c r="G28" s="1681"/>
      <c r="H28" s="1682">
        <f>SUMIF(92:92,G28,93:93)-SUMIF(92:92,C28,93:93)+100</f>
        <v>100</v>
      </c>
      <c r="I28" s="1681"/>
      <c r="J28" s="1682">
        <f>SUMIF(92:92,I28,93:93)-SUMIF(92:92,C28,93:93)+100</f>
        <v>100</v>
      </c>
      <c r="K28" s="1680"/>
      <c r="L28" s="2972"/>
      <c r="M28" s="2968"/>
      <c r="N28" s="2968"/>
      <c r="O28" s="2968"/>
      <c r="P28" s="3625"/>
      <c r="Q28" s="1586">
        <f t="shared" si="11"/>
        <v>111</v>
      </c>
      <c r="R28" s="1696" t="s">
        <v>28</v>
      </c>
      <c r="S28" s="1697">
        <f t="shared" ref="S28:S46" si="12">F28</f>
        <v>100</v>
      </c>
      <c r="T28" s="1696" t="s">
        <v>28</v>
      </c>
      <c r="U28" s="1697">
        <f t="shared" ref="U28:U46" si="13">H28</f>
        <v>100</v>
      </c>
      <c r="V28" s="1696" t="s">
        <v>28</v>
      </c>
      <c r="W28" s="1697">
        <f t="shared" ref="W28:W46" si="14">J28</f>
        <v>100</v>
      </c>
      <c r="X28" s="1636"/>
      <c r="Y28" s="3568"/>
      <c r="Z28" s="1698">
        <f t="shared" ref="Z28:Z46" si="15">Q28</f>
        <v>111</v>
      </c>
      <c r="AA28" s="1699">
        <f t="shared" si="3"/>
        <v>1</v>
      </c>
      <c r="AB28" s="1699">
        <f t="shared" si="4"/>
        <v>1</v>
      </c>
      <c r="AC28" s="1699">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72"/>
      <c r="M29" s="2968"/>
      <c r="N29" s="2968"/>
      <c r="O29" s="2968"/>
      <c r="P29" s="3625"/>
      <c r="Q29" s="1586">
        <f t="shared" si="11"/>
        <v>111</v>
      </c>
      <c r="R29" s="1696" t="s">
        <v>28</v>
      </c>
      <c r="S29" s="1697">
        <f t="shared" si="12"/>
        <v>100</v>
      </c>
      <c r="T29" s="1696" t="s">
        <v>28</v>
      </c>
      <c r="U29" s="1697">
        <f t="shared" si="13"/>
        <v>100</v>
      </c>
      <c r="V29" s="1696" t="s">
        <v>28</v>
      </c>
      <c r="W29" s="1697">
        <f t="shared" si="14"/>
        <v>100</v>
      </c>
      <c r="X29" s="1636"/>
      <c r="Y29" s="3568"/>
      <c r="Z29" s="1698">
        <f t="shared" si="15"/>
        <v>111</v>
      </c>
      <c r="AA29" s="1699">
        <f t="shared" si="3"/>
        <v>1</v>
      </c>
      <c r="AB29" s="1699">
        <f t="shared" si="4"/>
        <v>1</v>
      </c>
      <c r="AC29" s="1699">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72"/>
      <c r="M30" s="2968"/>
      <c r="N30" s="2968"/>
      <c r="O30" s="2968"/>
      <c r="P30" s="3625"/>
      <c r="Q30" s="1586">
        <f t="shared" si="11"/>
        <v>111</v>
      </c>
      <c r="R30" s="1696" t="s">
        <v>28</v>
      </c>
      <c r="S30" s="1697">
        <f t="shared" si="12"/>
        <v>100</v>
      </c>
      <c r="T30" s="1696" t="s">
        <v>28</v>
      </c>
      <c r="U30" s="1697">
        <f t="shared" si="13"/>
        <v>100</v>
      </c>
      <c r="V30" s="1696" t="s">
        <v>28</v>
      </c>
      <c r="W30" s="1697">
        <f t="shared" si="14"/>
        <v>100</v>
      </c>
      <c r="X30" s="1636"/>
      <c r="Y30" s="3568"/>
      <c r="Z30" s="1698">
        <f t="shared" si="15"/>
        <v>111</v>
      </c>
      <c r="AA30" s="1699">
        <f t="shared" si="3"/>
        <v>1</v>
      </c>
      <c r="AB30" s="1699">
        <f t="shared" si="4"/>
        <v>1</v>
      </c>
      <c r="AC30" s="1699">
        <f t="shared" si="5"/>
        <v>1</v>
      </c>
    </row>
    <row r="31" spans="1:29" ht="15.75"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72"/>
      <c r="M31" s="2968"/>
      <c r="N31" s="2968"/>
      <c r="O31" s="2968"/>
      <c r="P31" s="3625"/>
      <c r="Q31" s="1586">
        <f t="shared" si="11"/>
        <v>111</v>
      </c>
      <c r="R31" s="1696" t="s">
        <v>28</v>
      </c>
      <c r="S31" s="1697">
        <f t="shared" si="12"/>
        <v>100</v>
      </c>
      <c r="T31" s="1696" t="s">
        <v>28</v>
      </c>
      <c r="U31" s="1697">
        <f t="shared" si="13"/>
        <v>100</v>
      </c>
      <c r="V31" s="1696" t="s">
        <v>28</v>
      </c>
      <c r="W31" s="1697">
        <f t="shared" si="14"/>
        <v>100</v>
      </c>
      <c r="X31" s="1636"/>
      <c r="Y31" s="3568"/>
      <c r="Z31" s="1698">
        <f t="shared" si="15"/>
        <v>111</v>
      </c>
      <c r="AA31" s="1699">
        <f t="shared" si="3"/>
        <v>1</v>
      </c>
      <c r="AB31" s="1699">
        <f t="shared" si="4"/>
        <v>1</v>
      </c>
      <c r="AC31" s="1699">
        <f t="shared" si="5"/>
        <v>1</v>
      </c>
    </row>
    <row r="32" spans="1:29" ht="15">
      <c r="A32" s="1688" t="s">
        <v>2217</v>
      </c>
      <c r="B32" s="1658" t="s">
        <v>2218</v>
      </c>
      <c r="C32" s="1732"/>
      <c r="D32" s="1733">
        <v>100</v>
      </c>
      <c r="E32" s="1734"/>
      <c r="F32" s="1725">
        <f>SUMIF(100:100,E32,101:101)-SUMIF(100:100,C32,101:101)+100</f>
        <v>100</v>
      </c>
      <c r="G32" s="1732"/>
      <c r="H32" s="1733">
        <f>SUMIF(100:100,G32,101:101)-SUMIF(100:100,C32,101:101)+100</f>
        <v>100</v>
      </c>
      <c r="I32" s="1734"/>
      <c r="J32" s="1682">
        <f>SUMIF(100:100,I32,101:101)-SUMIF(100:100,C32,101:101)+100</f>
        <v>100</v>
      </c>
      <c r="K32" s="1671"/>
      <c r="L32" s="2972"/>
      <c r="M32" s="2968"/>
      <c r="N32" s="2968"/>
      <c r="O32" s="2968"/>
      <c r="P32" s="3626" t="s">
        <v>2219</v>
      </c>
      <c r="Q32" s="1586" t="str">
        <f t="shared" si="11"/>
        <v>建筑类型</v>
      </c>
      <c r="R32" s="1696" t="s">
        <v>28</v>
      </c>
      <c r="S32" s="1697">
        <f t="shared" si="12"/>
        <v>100</v>
      </c>
      <c r="T32" s="1696" t="s">
        <v>28</v>
      </c>
      <c r="U32" s="1697">
        <f t="shared" si="13"/>
        <v>100</v>
      </c>
      <c r="V32" s="1696" t="s">
        <v>28</v>
      </c>
      <c r="W32" s="1697">
        <f t="shared" si="14"/>
        <v>100</v>
      </c>
      <c r="X32" s="1636"/>
      <c r="Y32" s="3556" t="s">
        <v>2219</v>
      </c>
      <c r="Z32" s="1698" t="str">
        <f t="shared" si="15"/>
        <v>建筑类型</v>
      </c>
      <c r="AA32" s="1699">
        <f t="shared" si="3"/>
        <v>1</v>
      </c>
      <c r="AB32" s="1699">
        <f t="shared" si="4"/>
        <v>1</v>
      </c>
      <c r="AC32" s="1699">
        <f t="shared" si="5"/>
        <v>1</v>
      </c>
    </row>
    <row r="33" spans="1:29" s="1742" customFormat="1" ht="15">
      <c r="A33" s="1735"/>
      <c r="B33" s="1666" t="s">
        <v>2220</v>
      </c>
      <c r="C33" s="1736"/>
      <c r="D33" s="1668">
        <v>100</v>
      </c>
      <c r="E33" s="1675"/>
      <c r="F33" s="1670" t="e">
        <f>LOOKUP(E33,103:103,104:104)-LOOKUP(C33,103:103,104:104)+100</f>
        <v>#N/A</v>
      </c>
      <c r="G33" s="1674"/>
      <c r="H33" s="1668" t="e">
        <f>LOOKUP(G33,103:103,104:104)-LOOKUP(C33,103:103,104:104)+100</f>
        <v>#N/A</v>
      </c>
      <c r="I33" s="1675"/>
      <c r="J33" s="1668" t="e">
        <f>LOOKUP(I33,103:103,104:104)-LOOKUP(C33,103:103,104:104)+100</f>
        <v>#N/A</v>
      </c>
      <c r="K33" s="1680"/>
      <c r="L33" s="2971"/>
      <c r="M33" s="2030"/>
      <c r="N33" s="2030"/>
      <c r="O33" s="2030"/>
      <c r="P33" s="3627"/>
      <c r="Q33" s="1737" t="str">
        <f t="shared" si="11"/>
        <v>项目建筑规模</v>
      </c>
      <c r="R33" s="1738" t="s">
        <v>28</v>
      </c>
      <c r="S33" s="1739" t="e">
        <f t="shared" si="12"/>
        <v>#N/A</v>
      </c>
      <c r="T33" s="1738" t="s">
        <v>28</v>
      </c>
      <c r="U33" s="1739" t="e">
        <f t="shared" si="13"/>
        <v>#N/A</v>
      </c>
      <c r="V33" s="1738" t="s">
        <v>28</v>
      </c>
      <c r="W33" s="1739" t="e">
        <f t="shared" si="14"/>
        <v>#N/A</v>
      </c>
      <c r="X33" s="1740"/>
      <c r="Y33" s="3556"/>
      <c r="Z33" s="1741" t="str">
        <f t="shared" si="15"/>
        <v>项目建筑规模</v>
      </c>
      <c r="AA33" s="1699" t="e">
        <f t="shared" si="3"/>
        <v>#N/A</v>
      </c>
      <c r="AB33" s="1699" t="e">
        <f t="shared" si="4"/>
        <v>#N/A</v>
      </c>
      <c r="AC33" s="1699" t="e">
        <f t="shared" si="5"/>
        <v>#N/A</v>
      </c>
    </row>
    <row r="34" spans="1:29" ht="15">
      <c r="A34" s="1743"/>
      <c r="B34" s="1666" t="s">
        <v>2221</v>
      </c>
      <c r="C34" s="1744"/>
      <c r="D34" s="1682">
        <v>100</v>
      </c>
      <c r="E34" s="1745"/>
      <c r="F34" s="1725">
        <f>SUMIF(105:105,E34,106:106)-SUMIF(105:105,C34,106:106)+100</f>
        <v>100</v>
      </c>
      <c r="G34" s="1744"/>
      <c r="H34" s="1682">
        <f>SUMIF(105:105,G34,106:106)-SUMIF(105:105,C34,106:106)+100</f>
        <v>100</v>
      </c>
      <c r="I34" s="1745"/>
      <c r="J34" s="1682">
        <f>SUMIF(105:105,I34,106:106)-SUMIF(105:105,C34,106:106)+100</f>
        <v>100</v>
      </c>
      <c r="K34" s="1671"/>
      <c r="L34" s="2972"/>
      <c r="M34" s="2968"/>
      <c r="N34" s="2968"/>
      <c r="O34" s="2968"/>
      <c r="P34" s="3627"/>
      <c r="Q34" s="1586" t="str">
        <f t="shared" si="11"/>
        <v>建筑结构</v>
      </c>
      <c r="R34" s="1696" t="s">
        <v>28</v>
      </c>
      <c r="S34" s="1697">
        <f t="shared" si="12"/>
        <v>100</v>
      </c>
      <c r="T34" s="1696" t="s">
        <v>28</v>
      </c>
      <c r="U34" s="1697">
        <f t="shared" si="13"/>
        <v>100</v>
      </c>
      <c r="V34" s="1696" t="s">
        <v>28</v>
      </c>
      <c r="W34" s="1697">
        <f t="shared" si="14"/>
        <v>100</v>
      </c>
      <c r="X34" s="1636"/>
      <c r="Y34" s="3556"/>
      <c r="Z34" s="1698" t="str">
        <f t="shared" si="15"/>
        <v>建筑结构</v>
      </c>
      <c r="AA34" s="1699">
        <f t="shared" si="3"/>
        <v>1</v>
      </c>
      <c r="AB34" s="1699">
        <f t="shared" si="4"/>
        <v>1</v>
      </c>
      <c r="AC34" s="1699">
        <f t="shared" si="5"/>
        <v>1</v>
      </c>
    </row>
    <row r="35" spans="1:29" ht="15">
      <c r="A35" s="1743"/>
      <c r="B35" s="1666" t="s">
        <v>2222</v>
      </c>
      <c r="C35" s="1726"/>
      <c r="D35" s="1682">
        <v>100</v>
      </c>
      <c r="E35" s="1724"/>
      <c r="F35" s="1725">
        <f>SUMIF(107:107,E35,108:108)-SUMIF(107:107,C35,108:108)+100</f>
        <v>100</v>
      </c>
      <c r="G35" s="1726"/>
      <c r="H35" s="1682">
        <f>SUMIF(107:107,G35,108:108)-SUMIF(107:107,C35,108:108)+100</f>
        <v>100</v>
      </c>
      <c r="I35" s="1724"/>
      <c r="J35" s="1682">
        <f>SUMIF(107:107,I35,108:108)-SUMIF(107:107,C35,108:108)+100</f>
        <v>100</v>
      </c>
      <c r="K35" s="1671"/>
      <c r="L35" s="2972"/>
      <c r="M35" s="2968"/>
      <c r="N35" s="2968"/>
      <c r="O35" s="2968"/>
      <c r="P35" s="3627"/>
      <c r="Q35" s="1586" t="str">
        <f t="shared" si="11"/>
        <v>建筑品质</v>
      </c>
      <c r="R35" s="1696" t="s">
        <v>28</v>
      </c>
      <c r="S35" s="1697">
        <f t="shared" si="12"/>
        <v>100</v>
      </c>
      <c r="T35" s="1696" t="s">
        <v>28</v>
      </c>
      <c r="U35" s="1697">
        <f t="shared" si="13"/>
        <v>100</v>
      </c>
      <c r="V35" s="1696" t="s">
        <v>28</v>
      </c>
      <c r="W35" s="1697">
        <f t="shared" si="14"/>
        <v>100</v>
      </c>
      <c r="X35" s="1636"/>
      <c r="Y35" s="3556"/>
      <c r="Z35" s="1698" t="str">
        <f t="shared" si="15"/>
        <v>建筑品质</v>
      </c>
      <c r="AA35" s="1699">
        <f t="shared" si="3"/>
        <v>1</v>
      </c>
      <c r="AB35" s="1699">
        <f t="shared" si="4"/>
        <v>1</v>
      </c>
      <c r="AC35" s="1699">
        <f t="shared" si="5"/>
        <v>1</v>
      </c>
    </row>
    <row r="36" spans="1:29" ht="15">
      <c r="A36" s="1743"/>
      <c r="B36" s="1666" t="s">
        <v>2223</v>
      </c>
      <c r="C36" s="1726"/>
      <c r="D36" s="1682">
        <v>100</v>
      </c>
      <c r="E36" s="1724"/>
      <c r="F36" s="1725">
        <f>SUMIF(109:109,E36,110:110)-SUMIF(109:109,C36,110:110)+100</f>
        <v>100</v>
      </c>
      <c r="G36" s="1726"/>
      <c r="H36" s="1682">
        <f>SUMIF(109:109,G36,110:110)-SUMIF(109:109,C36,110:110)+100</f>
        <v>100</v>
      </c>
      <c r="I36" s="1724"/>
      <c r="J36" s="1682">
        <f>SUMIF(109:109,I36,110:110)-SUMIF(109:109,C36,110:110)+100</f>
        <v>100</v>
      </c>
      <c r="K36" s="1671"/>
      <c r="L36" s="2972"/>
      <c r="M36" s="2968"/>
      <c r="N36" s="2968"/>
      <c r="O36" s="2968"/>
      <c r="P36" s="3627"/>
      <c r="Q36" s="1586" t="str">
        <f t="shared" si="11"/>
        <v>公共部分装修</v>
      </c>
      <c r="R36" s="1696" t="s">
        <v>28</v>
      </c>
      <c r="S36" s="1697">
        <f t="shared" si="12"/>
        <v>100</v>
      </c>
      <c r="T36" s="1696" t="s">
        <v>28</v>
      </c>
      <c r="U36" s="1697">
        <f t="shared" si="13"/>
        <v>100</v>
      </c>
      <c r="V36" s="1696" t="s">
        <v>28</v>
      </c>
      <c r="W36" s="1697">
        <f t="shared" si="14"/>
        <v>100</v>
      </c>
      <c r="X36" s="1636"/>
      <c r="Y36" s="3556"/>
      <c r="Z36" s="1698" t="str">
        <f t="shared" si="15"/>
        <v>公共部分装修</v>
      </c>
      <c r="AA36" s="1699">
        <f t="shared" si="3"/>
        <v>1</v>
      </c>
      <c r="AB36" s="1699">
        <f t="shared" si="4"/>
        <v>1</v>
      </c>
      <c r="AC36" s="1699">
        <f t="shared" si="5"/>
        <v>1</v>
      </c>
    </row>
    <row r="37" spans="1:29" s="1655" customFormat="1" ht="15">
      <c r="A37" s="1746"/>
      <c r="B37" s="1666" t="s">
        <v>2224</v>
      </c>
      <c r="C37" s="1747"/>
      <c r="D37" s="1668">
        <v>100</v>
      </c>
      <c r="E37" s="1748"/>
      <c r="F37" s="1670" t="e">
        <f>LOOKUP(E37,112:112,113:113)-LOOKUP(C37,112:112,113:113)+100</f>
        <v>#N/A</v>
      </c>
      <c r="G37" s="1749"/>
      <c r="H37" s="1668" t="e">
        <f>LOOKUP(G37,112:112,113:113)-LOOKUP(C37,112:112,113:113)+100</f>
        <v>#N/A</v>
      </c>
      <c r="I37" s="1748"/>
      <c r="J37" s="1668" t="e">
        <f>LOOKUP(I37,112:112,113:113)-LOOKUP(C37,112:112,113:113)+100</f>
        <v>#N/A</v>
      </c>
      <c r="K37" s="1671"/>
      <c r="L37" s="2967"/>
      <c r="M37" s="2940"/>
      <c r="N37" s="2940"/>
      <c r="O37" s="2940"/>
      <c r="P37" s="3627"/>
      <c r="Q37" s="1605" t="str">
        <f t="shared" si="11"/>
        <v>成新度</v>
      </c>
      <c r="R37" s="1651" t="s">
        <v>28</v>
      </c>
      <c r="S37" s="1652" t="e">
        <f t="shared" si="12"/>
        <v>#N/A</v>
      </c>
      <c r="T37" s="1651" t="s">
        <v>28</v>
      </c>
      <c r="U37" s="1652" t="e">
        <f t="shared" si="13"/>
        <v>#N/A</v>
      </c>
      <c r="V37" s="1651" t="s">
        <v>28</v>
      </c>
      <c r="W37" s="1652" t="e">
        <f t="shared" si="14"/>
        <v>#N/A</v>
      </c>
      <c r="X37" s="1653"/>
      <c r="Y37" s="3556"/>
      <c r="Z37" s="1664" t="str">
        <f t="shared" si="15"/>
        <v>成新度</v>
      </c>
      <c r="AA37" s="1654" t="e">
        <f t="shared" si="3"/>
        <v>#N/A</v>
      </c>
      <c r="AB37" s="1654" t="e">
        <f t="shared" si="4"/>
        <v>#N/A</v>
      </c>
      <c r="AC37" s="1654" t="e">
        <f t="shared" si="5"/>
        <v>#N/A</v>
      </c>
    </row>
    <row r="38" spans="1:29" ht="15">
      <c r="A38" s="1743"/>
      <c r="B38" s="1666" t="s">
        <v>2225</v>
      </c>
      <c r="C38" s="1726"/>
      <c r="D38" s="1682">
        <v>100</v>
      </c>
      <c r="E38" s="1724"/>
      <c r="F38" s="1725">
        <f>SUMIF(114:114,E38,115:115)-SUMIF(114:114,C38,115:115)+100</f>
        <v>100</v>
      </c>
      <c r="G38" s="1726"/>
      <c r="H38" s="1682">
        <f>SUMIF(114:114,G38,115:115)-SUMIF(114:114,C38,115:115)+100</f>
        <v>100</v>
      </c>
      <c r="I38" s="1724"/>
      <c r="J38" s="1682">
        <f>SUMIF(114:114,I38,115:115)-SUMIF(114:114,C38,115:115)+100</f>
        <v>100</v>
      </c>
      <c r="K38" s="1671"/>
      <c r="L38" s="2972"/>
      <c r="M38" s="2968"/>
      <c r="N38" s="2968"/>
      <c r="O38" s="2968"/>
      <c r="P38" s="3627" t="s">
        <v>2219</v>
      </c>
      <c r="Q38" s="1586" t="str">
        <f t="shared" si="11"/>
        <v>物业管理</v>
      </c>
      <c r="R38" s="1696" t="s">
        <v>28</v>
      </c>
      <c r="S38" s="1697">
        <f t="shared" si="12"/>
        <v>100</v>
      </c>
      <c r="T38" s="1696" t="s">
        <v>28</v>
      </c>
      <c r="U38" s="1697">
        <f t="shared" si="13"/>
        <v>100</v>
      </c>
      <c r="V38" s="1696" t="s">
        <v>28</v>
      </c>
      <c r="W38" s="1697">
        <f t="shared" si="14"/>
        <v>100</v>
      </c>
      <c r="X38" s="1636"/>
      <c r="Y38" s="3556" t="s">
        <v>2219</v>
      </c>
      <c r="Z38" s="1698" t="str">
        <f t="shared" si="15"/>
        <v>物业管理</v>
      </c>
      <c r="AA38" s="1699">
        <f t="shared" si="3"/>
        <v>1</v>
      </c>
      <c r="AB38" s="1699">
        <f t="shared" si="4"/>
        <v>1</v>
      </c>
      <c r="AC38" s="1699">
        <f t="shared" si="5"/>
        <v>1</v>
      </c>
    </row>
    <row r="39" spans="1:29" ht="15">
      <c r="A39" s="1743"/>
      <c r="B39" s="1666" t="s">
        <v>2226</v>
      </c>
      <c r="C39" s="1726"/>
      <c r="D39" s="1682">
        <v>100</v>
      </c>
      <c r="E39" s="1724"/>
      <c r="F39" s="1725">
        <f>SUMIF(116:116,E39,117:117)-SUMIF(116:116,C39,117:117)+100</f>
        <v>100</v>
      </c>
      <c r="G39" s="1726"/>
      <c r="H39" s="1682">
        <f>SUMIF(116:116,G39,117:117)-SUMIF(116:116,C39,117:117)+100</f>
        <v>100</v>
      </c>
      <c r="I39" s="1724"/>
      <c r="J39" s="1682">
        <f>SUMIF(116:116,I39,117:117)-SUMIF(116:116,C39,117:117)+100</f>
        <v>100</v>
      </c>
      <c r="K39" s="1671"/>
      <c r="L39" s="2972"/>
      <c r="M39" s="2968"/>
      <c r="N39" s="2968"/>
      <c r="O39" s="2968"/>
      <c r="P39" s="3627"/>
      <c r="Q39" s="1586" t="str">
        <f t="shared" si="11"/>
        <v>市政基础设施</v>
      </c>
      <c r="R39" s="1696" t="s">
        <v>28</v>
      </c>
      <c r="S39" s="1697">
        <f t="shared" si="12"/>
        <v>100</v>
      </c>
      <c r="T39" s="1696" t="s">
        <v>28</v>
      </c>
      <c r="U39" s="1697">
        <f t="shared" si="13"/>
        <v>100</v>
      </c>
      <c r="V39" s="1696" t="s">
        <v>28</v>
      </c>
      <c r="W39" s="1697">
        <f t="shared" si="14"/>
        <v>100</v>
      </c>
      <c r="X39" s="1636"/>
      <c r="Y39" s="3556"/>
      <c r="Z39" s="1698" t="str">
        <f t="shared" si="15"/>
        <v>市政基础设施</v>
      </c>
      <c r="AA39" s="1699">
        <f t="shared" si="3"/>
        <v>1</v>
      </c>
      <c r="AB39" s="1699">
        <f t="shared" si="4"/>
        <v>1</v>
      </c>
      <c r="AC39" s="1699">
        <f t="shared" si="5"/>
        <v>1</v>
      </c>
    </row>
    <row r="40" spans="1:29" ht="15">
      <c r="A40" s="1743"/>
      <c r="B40" s="1666" t="s">
        <v>2227</v>
      </c>
      <c r="C40" s="1726"/>
      <c r="D40" s="1682">
        <v>100</v>
      </c>
      <c r="E40" s="1724"/>
      <c r="F40" s="1725">
        <f>SUMIF(118:118,E40,119:119)-SUMIF(118:118,C40,119:119)+100</f>
        <v>100</v>
      </c>
      <c r="G40" s="1726"/>
      <c r="H40" s="1682">
        <f>SUMIF(118:118,G40,119:119)-SUMIF(118:118,C40,119:119)+100</f>
        <v>100</v>
      </c>
      <c r="I40" s="1724"/>
      <c r="J40" s="1682">
        <f>SUMIF(118:118,I40,119:119)-SUMIF(118:118,C40,119:119)+100</f>
        <v>100</v>
      </c>
      <c r="K40" s="1671"/>
      <c r="L40" s="2972"/>
      <c r="M40" s="2968"/>
      <c r="N40" s="2968"/>
      <c r="O40" s="2968"/>
      <c r="P40" s="3627"/>
      <c r="Q40" s="1586" t="str">
        <f t="shared" si="11"/>
        <v>房型</v>
      </c>
      <c r="R40" s="1696" t="s">
        <v>28</v>
      </c>
      <c r="S40" s="1697">
        <f t="shared" si="12"/>
        <v>100</v>
      </c>
      <c r="T40" s="1696" t="s">
        <v>28</v>
      </c>
      <c r="U40" s="1697">
        <f t="shared" si="13"/>
        <v>100</v>
      </c>
      <c r="V40" s="1696" t="s">
        <v>28</v>
      </c>
      <c r="W40" s="1697">
        <f t="shared" si="14"/>
        <v>100</v>
      </c>
      <c r="X40" s="1636"/>
      <c r="Y40" s="3556"/>
      <c r="Z40" s="1698" t="str">
        <f t="shared" si="15"/>
        <v>房型</v>
      </c>
      <c r="AA40" s="1699">
        <f t="shared" si="3"/>
        <v>1</v>
      </c>
      <c r="AB40" s="1699">
        <f t="shared" si="4"/>
        <v>1</v>
      </c>
      <c r="AC40" s="1699">
        <f t="shared" si="5"/>
        <v>1</v>
      </c>
    </row>
    <row r="41" spans="1:29" s="1742" customFormat="1" ht="28.5">
      <c r="A41" s="1735"/>
      <c r="B41" s="1666" t="s">
        <v>2228</v>
      </c>
      <c r="C41" s="1736"/>
      <c r="D41" s="1668">
        <v>100</v>
      </c>
      <c r="E41" s="1675"/>
      <c r="F41" s="1670">
        <f>SUMIF(120:120,E41,121:121)-SUMIF(120:120,C41,121:121)+100</f>
        <v>100</v>
      </c>
      <c r="G41" s="1674"/>
      <c r="H41" s="1668">
        <f>SUMIF(120:120,G41,121:121)-SUMIF(120:120,C41,121:121)+100</f>
        <v>100</v>
      </c>
      <c r="I41" s="1750"/>
      <c r="J41" s="1682">
        <f>SUMIF(120:120,I41,121:121)-SUMIF(120:120,C41,121:121)+100</f>
        <v>100</v>
      </c>
      <c r="K41" s="1680"/>
      <c r="L41" s="2971"/>
      <c r="M41" s="2030"/>
      <c r="N41" s="2030"/>
      <c r="O41" s="2030"/>
      <c r="P41" s="3627"/>
      <c r="Q41" s="1737" t="str">
        <f t="shared" si="11"/>
        <v>单套/主力户型建筑面积</v>
      </c>
      <c r="R41" s="1738" t="s">
        <v>28</v>
      </c>
      <c r="S41" s="1739">
        <f t="shared" si="12"/>
        <v>100</v>
      </c>
      <c r="T41" s="1738" t="s">
        <v>28</v>
      </c>
      <c r="U41" s="1739">
        <f t="shared" si="13"/>
        <v>100</v>
      </c>
      <c r="V41" s="1738" t="s">
        <v>28</v>
      </c>
      <c r="W41" s="1739">
        <f t="shared" si="14"/>
        <v>100</v>
      </c>
      <c r="X41" s="1740"/>
      <c r="Y41" s="3556"/>
      <c r="Z41" s="1741" t="str">
        <f t="shared" si="15"/>
        <v>单套/主力户型建筑面积</v>
      </c>
      <c r="AA41" s="1699">
        <f t="shared" si="3"/>
        <v>1</v>
      </c>
      <c r="AB41" s="1699">
        <f t="shared" si="4"/>
        <v>1</v>
      </c>
      <c r="AC41" s="1699">
        <f t="shared" si="5"/>
        <v>1</v>
      </c>
    </row>
    <row r="42" spans="1:29" ht="15">
      <c r="A42" s="1743"/>
      <c r="B42" s="1666" t="s">
        <v>2229</v>
      </c>
      <c r="C42" s="1726"/>
      <c r="D42" s="1682">
        <v>100</v>
      </c>
      <c r="E42" s="1724"/>
      <c r="F42" s="1725">
        <f>SUMIF(122:122,E42,123:123)-SUMIF(122:122,C42,123:123)+100</f>
        <v>100</v>
      </c>
      <c r="G42" s="1726"/>
      <c r="H42" s="1682">
        <f>SUMIF(122:122,G42,123:123)-SUMIF(122:122,C42,123:123)+100</f>
        <v>100</v>
      </c>
      <c r="I42" s="1724"/>
      <c r="J42" s="1682">
        <f>SUMIF(122:122,I42,123:123)-SUMIF(122:122,C42,123:123)+100</f>
        <v>100</v>
      </c>
      <c r="K42" s="1671"/>
      <c r="L42" s="2972"/>
      <c r="M42" s="2968"/>
      <c r="N42" s="2968"/>
      <c r="O42" s="2968"/>
      <c r="P42" s="3627"/>
      <c r="Q42" s="1586" t="str">
        <f t="shared" si="11"/>
        <v>内部装修</v>
      </c>
      <c r="R42" s="1696" t="s">
        <v>28</v>
      </c>
      <c r="S42" s="1697">
        <f t="shared" si="12"/>
        <v>100</v>
      </c>
      <c r="T42" s="1696" t="s">
        <v>28</v>
      </c>
      <c r="U42" s="1697">
        <f t="shared" si="13"/>
        <v>100</v>
      </c>
      <c r="V42" s="1696" t="s">
        <v>28</v>
      </c>
      <c r="W42" s="1697">
        <f t="shared" si="14"/>
        <v>100</v>
      </c>
      <c r="X42" s="1636"/>
      <c r="Y42" s="3556"/>
      <c r="Z42" s="1698" t="str">
        <f t="shared" si="15"/>
        <v>内部装修</v>
      </c>
      <c r="AA42" s="1699">
        <f t="shared" si="3"/>
        <v>1</v>
      </c>
      <c r="AB42" s="1699">
        <f t="shared" si="4"/>
        <v>1</v>
      </c>
      <c r="AC42" s="1699">
        <f t="shared" si="5"/>
        <v>1</v>
      </c>
    </row>
    <row r="43" spans="1:29" ht="15">
      <c r="A43" s="1743"/>
      <c r="B43" s="1666" t="s">
        <v>2230</v>
      </c>
      <c r="C43" s="1726"/>
      <c r="D43" s="1682">
        <v>100</v>
      </c>
      <c r="E43" s="1724"/>
      <c r="F43" s="1725">
        <f>SUMIF(124:124,E43,125:125)-SUMIF(124:124,C43,125:125)+100</f>
        <v>100</v>
      </c>
      <c r="G43" s="1726"/>
      <c r="H43" s="1682">
        <f>SUMIF(124:124,G43,125:125)-SUMIF(124:124,C43,125:125)+100</f>
        <v>100</v>
      </c>
      <c r="I43" s="1724"/>
      <c r="J43" s="1682">
        <f>SUMIF(124:124,I43,125:125)-SUMIF(124:124,C43,125:125)+100</f>
        <v>100</v>
      </c>
      <c r="K43" s="1671"/>
      <c r="L43" s="2972"/>
      <c r="M43" s="2968"/>
      <c r="N43" s="2968"/>
      <c r="O43" s="2968"/>
      <c r="P43" s="3627"/>
      <c r="Q43" s="1586" t="str">
        <f t="shared" si="11"/>
        <v>内部装修维护情况</v>
      </c>
      <c r="R43" s="1696" t="s">
        <v>28</v>
      </c>
      <c r="S43" s="1697">
        <f t="shared" si="12"/>
        <v>100</v>
      </c>
      <c r="T43" s="1696" t="s">
        <v>28</v>
      </c>
      <c r="U43" s="1697">
        <f t="shared" si="13"/>
        <v>100</v>
      </c>
      <c r="V43" s="1696" t="s">
        <v>28</v>
      </c>
      <c r="W43" s="1697">
        <f t="shared" si="14"/>
        <v>100</v>
      </c>
      <c r="X43" s="1636"/>
      <c r="Y43" s="3556"/>
      <c r="Z43" s="1698" t="str">
        <f t="shared" si="15"/>
        <v>内部装修维护情况</v>
      </c>
      <c r="AA43" s="1699">
        <f t="shared" si="3"/>
        <v>1</v>
      </c>
      <c r="AB43" s="1699">
        <f t="shared" si="4"/>
        <v>1</v>
      </c>
      <c r="AC43" s="1699">
        <f t="shared" si="5"/>
        <v>1</v>
      </c>
    </row>
    <row r="44" spans="1:29" s="1655" customFormat="1" ht="15">
      <c r="A44" s="1746"/>
      <c r="B44" s="1731">
        <v>111</v>
      </c>
      <c r="C44" s="1736"/>
      <c r="D44" s="1668">
        <v>100</v>
      </c>
      <c r="E44" s="1736"/>
      <c r="F44" s="1670">
        <f>SUMIF(126:126,E44,127:127)-SUMIF(126:126,C44,127:127)+100</f>
        <v>100</v>
      </c>
      <c r="G44" s="1736"/>
      <c r="H44" s="1668">
        <f>SUMIF(126:126,G44,127:127)-SUMIF(126:126,C44,127:127)+100</f>
        <v>100</v>
      </c>
      <c r="I44" s="1736"/>
      <c r="J44" s="1668">
        <f>SUMIF(126:126,I44,127:127)-SUMIF(126:126,C44,127:127)+100</f>
        <v>100</v>
      </c>
      <c r="K44" s="1680"/>
      <c r="L44" s="2967"/>
      <c r="M44" s="2940"/>
      <c r="N44" s="2940"/>
      <c r="O44" s="2940"/>
      <c r="P44" s="3627"/>
      <c r="Q44" s="1605">
        <f t="shared" si="11"/>
        <v>111</v>
      </c>
      <c r="R44" s="1651" t="s">
        <v>28</v>
      </c>
      <c r="S44" s="1652">
        <f t="shared" si="12"/>
        <v>100</v>
      </c>
      <c r="T44" s="1651" t="s">
        <v>28</v>
      </c>
      <c r="U44" s="1652">
        <f t="shared" si="13"/>
        <v>100</v>
      </c>
      <c r="V44" s="1651" t="s">
        <v>28</v>
      </c>
      <c r="W44" s="1652">
        <f t="shared" si="14"/>
        <v>100</v>
      </c>
      <c r="X44" s="1653"/>
      <c r="Y44" s="3556"/>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72"/>
      <c r="M45" s="2968"/>
      <c r="N45" s="2968"/>
      <c r="O45" s="2968"/>
      <c r="P45" s="3627"/>
      <c r="Q45" s="1586">
        <f t="shared" si="11"/>
        <v>111</v>
      </c>
      <c r="R45" s="1696" t="s">
        <v>28</v>
      </c>
      <c r="S45" s="1697">
        <f t="shared" si="12"/>
        <v>100</v>
      </c>
      <c r="T45" s="1696" t="s">
        <v>28</v>
      </c>
      <c r="U45" s="1697">
        <f t="shared" si="13"/>
        <v>100</v>
      </c>
      <c r="V45" s="1696" t="s">
        <v>28</v>
      </c>
      <c r="W45" s="1697">
        <f t="shared" si="14"/>
        <v>100</v>
      </c>
      <c r="X45" s="1636"/>
      <c r="Y45" s="3556"/>
      <c r="Z45" s="1698">
        <f t="shared" si="15"/>
        <v>111</v>
      </c>
      <c r="AA45" s="1699">
        <f t="shared" si="3"/>
        <v>1</v>
      </c>
      <c r="AB45" s="1699">
        <f t="shared" si="4"/>
        <v>1</v>
      </c>
      <c r="AC45" s="1699">
        <f t="shared" si="5"/>
        <v>1</v>
      </c>
    </row>
    <row r="46" spans="1:29" ht="15.75" thickBot="1">
      <c r="A46" s="1751"/>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72"/>
      <c r="M46" s="2968"/>
      <c r="N46" s="2968"/>
      <c r="O46" s="2968"/>
      <c r="P46" s="3628"/>
      <c r="Q46" s="1586">
        <f t="shared" si="11"/>
        <v>111</v>
      </c>
      <c r="R46" s="1696" t="s">
        <v>27</v>
      </c>
      <c r="S46" s="1697">
        <f t="shared" si="12"/>
        <v>100</v>
      </c>
      <c r="T46" s="1696" t="s">
        <v>27</v>
      </c>
      <c r="U46" s="1697">
        <f t="shared" si="13"/>
        <v>100</v>
      </c>
      <c r="V46" s="1696" t="s">
        <v>27</v>
      </c>
      <c r="W46" s="1697">
        <f t="shared" si="14"/>
        <v>100</v>
      </c>
      <c r="X46" s="1636"/>
      <c r="Y46" s="3557"/>
      <c r="Z46" s="1698">
        <f t="shared" si="15"/>
        <v>111</v>
      </c>
      <c r="AA46" s="1699">
        <f t="shared" si="3"/>
        <v>1</v>
      </c>
      <c r="AB46" s="1699">
        <f t="shared" si="4"/>
        <v>1</v>
      </c>
      <c r="AC46" s="1699">
        <f t="shared" si="5"/>
        <v>1</v>
      </c>
    </row>
    <row r="47" spans="1:29" ht="15">
      <c r="A47" s="1752" t="s">
        <v>2231</v>
      </c>
      <c r="B47" s="1753"/>
      <c r="C47" s="1754" t="s">
        <v>26</v>
      </c>
      <c r="D47" s="1755"/>
      <c r="E47" s="1756"/>
      <c r="F47" s="1757"/>
      <c r="G47" s="1758"/>
      <c r="H47" s="1759"/>
      <c r="I47" s="1756"/>
      <c r="J47" s="1759"/>
      <c r="K47" s="1760"/>
      <c r="L47" s="2973"/>
      <c r="N47" s="2968"/>
      <c r="P47" s="3550" t="str">
        <f>A47</f>
        <v>成交单价（元/平方米）</v>
      </c>
      <c r="Q47" s="3550"/>
      <c r="R47" s="3551">
        <f>E47</f>
        <v>0</v>
      </c>
      <c r="S47" s="3551"/>
      <c r="T47" s="3551">
        <f>G47</f>
        <v>0</v>
      </c>
      <c r="U47" s="3551"/>
      <c r="V47" s="3551">
        <f>I47</f>
        <v>0</v>
      </c>
      <c r="W47" s="3551"/>
      <c r="X47" s="1762"/>
      <c r="Y47" s="1763"/>
      <c r="Z47" s="1762"/>
      <c r="AA47" s="1762"/>
      <c r="AB47" s="1762"/>
      <c r="AC47" s="1762"/>
    </row>
    <row r="48" spans="1:29" ht="15.75" thickBot="1">
      <c r="A48" s="1764" t="s">
        <v>2232</v>
      </c>
      <c r="B48" s="1765"/>
      <c r="C48" s="1766" t="e">
        <f>R49</f>
        <v>#DIV/0!</v>
      </c>
      <c r="D48" s="1767" t="s">
        <v>2687</v>
      </c>
      <c r="E48" s="1768" t="e">
        <f>R48</f>
        <v>#DIV/0!</v>
      </c>
      <c r="F48" s="1769"/>
      <c r="G48" s="1766" t="e">
        <f>T48</f>
        <v>#DIV/0!</v>
      </c>
      <c r="H48" s="1769"/>
      <c r="I48" s="1768" t="e">
        <f>V48</f>
        <v>#DIV/0!</v>
      </c>
      <c r="J48" s="1769"/>
      <c r="K48" s="2482">
        <f>F48+H48+J48</f>
        <v>0</v>
      </c>
      <c r="L48" s="2973"/>
      <c r="P48" s="3550" t="str">
        <f>A48</f>
        <v>比较价值（元/平方米）</v>
      </c>
      <c r="Q48" s="3550"/>
      <c r="R48" s="3551" t="e">
        <f>IF(E1="售价",ROUND(PRODUCT(R47,AA7:AA46),0),ROUND(PRODUCT(R47,AA7:AA46),1))</f>
        <v>#DIV/0!</v>
      </c>
      <c r="S48" s="3551"/>
      <c r="T48" s="3622" t="e">
        <f>IF(E1="售价",ROUND(PRODUCT(T47,AB7:AB46),0),ROUND(PRODUCT(T47,AB7:AB46),1))</f>
        <v>#DIV/0!</v>
      </c>
      <c r="U48" s="3623"/>
      <c r="V48" s="3551" t="e">
        <f>IF(E1="售价",ROUND(PRODUCT(V47,AC7:AC46),0),ROUND(PRODUCT(V47,AC7:AC46),1))</f>
        <v>#DIV/0!</v>
      </c>
      <c r="W48" s="3551"/>
      <c r="X48" s="1762"/>
      <c r="Y48" s="1762"/>
      <c r="Z48" s="1762"/>
      <c r="AA48" s="1762"/>
      <c r="AB48" s="1762"/>
      <c r="AC48" s="1762"/>
    </row>
    <row r="49" spans="1:29" ht="15.75" thickBot="1">
      <c r="A49" s="1770" t="s">
        <v>2233</v>
      </c>
      <c r="B49" s="1771"/>
      <c r="C49" s="1772" t="e">
        <f>R49</f>
        <v>#DIV/0!</v>
      </c>
      <c r="D49" s="1773"/>
      <c r="E49" s="1773"/>
      <c r="F49" s="1773"/>
      <c r="G49" s="1773"/>
      <c r="H49" s="1773"/>
      <c r="I49" s="1773"/>
      <c r="J49" s="1773"/>
      <c r="K49" s="1774"/>
      <c r="L49" s="2973"/>
      <c r="P49" s="3552" t="str">
        <f>A49</f>
        <v>估价对象XX用房的比较价值（楼面单价，元/平方米）</v>
      </c>
      <c r="Q49" s="3553"/>
      <c r="R49" s="3554" t="e">
        <f>IF(E1="售价",ROUND(IF(D48="简单平均",AVERAGE(R48:V48),R48*F48+T48*H48+V48*J48),0),ROUND(IF(D48="简单平均",AVERAGE(R48:V48),R48*F48+T48*H48+V48*J48),1))</f>
        <v>#DIV/0!</v>
      </c>
      <c r="S49" s="3554"/>
      <c r="T49" s="3554"/>
      <c r="U49" s="3554"/>
      <c r="V49" s="3554"/>
      <c r="W49" s="3554"/>
      <c r="X49" s="1762"/>
      <c r="Y49" s="1762"/>
      <c r="Z49" s="1762"/>
      <c r="AA49" s="1762"/>
      <c r="AB49" s="1762"/>
      <c r="AC49" s="1762"/>
    </row>
    <row r="50" spans="1:29">
      <c r="G50" s="2977"/>
    </row>
    <row r="52" spans="1:29" ht="13.5" customHeight="1">
      <c r="C52" s="383" t="s">
        <v>2234</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row>
    <row r="53" spans="1:29" ht="13.5" customHeight="1">
      <c r="C53" s="383" t="s">
        <v>2235</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row>
    <row r="54" spans="1:29" s="1784" customFormat="1" ht="13.5" customHeight="1">
      <c r="C54" s="383" t="s">
        <v>2236</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1783"/>
    </row>
    <row r="55" spans="1:29" s="1784" customFormat="1">
      <c r="B55" s="2978"/>
      <c r="C55" s="2979"/>
      <c r="K55" s="2980"/>
      <c r="L55" s="2974"/>
      <c r="P55" s="1783"/>
    </row>
    <row r="56" spans="1:29">
      <c r="B56" s="2978"/>
      <c r="C56" s="2979"/>
    </row>
    <row r="57" spans="1:29" ht="21.75" thickBot="1">
      <c r="A57" s="1787" t="s">
        <v>2237</v>
      </c>
      <c r="B57" s="1762"/>
      <c r="C57" s="1788"/>
      <c r="D57" s="1788"/>
      <c r="E57" s="1788"/>
      <c r="F57" s="1788"/>
      <c r="G57" s="1788"/>
      <c r="H57" s="1788"/>
      <c r="I57" s="1788"/>
      <c r="J57" s="1788"/>
      <c r="K57" s="1789"/>
      <c r="L57" s="2975"/>
      <c r="M57" s="2976"/>
      <c r="N57" s="2976"/>
      <c r="O57" s="2976"/>
      <c r="P57" s="1791"/>
      <c r="Q57" s="1792"/>
    </row>
    <row r="58" spans="1:29" s="1798" customFormat="1" ht="15">
      <c r="A58" s="1793" t="s">
        <v>2238</v>
      </c>
      <c r="B58" s="1794"/>
      <c r="C58" s="1795" t="str">
        <f>YEAR(C7)&amp;"-"&amp;MONTH(C7)</f>
        <v>2022-3</v>
      </c>
      <c r="D58" s="1796">
        <f>EDATE(C58,-1)</f>
        <v>44593</v>
      </c>
      <c r="E58" s="1796">
        <f t="shared" ref="E58:O58" si="16">EDATE(D58,-1)</f>
        <v>44562</v>
      </c>
      <c r="F58" s="1796">
        <f t="shared" si="16"/>
        <v>44531</v>
      </c>
      <c r="G58" s="1796">
        <f t="shared" si="16"/>
        <v>44501</v>
      </c>
      <c r="H58" s="1796">
        <f t="shared" si="16"/>
        <v>44470</v>
      </c>
      <c r="I58" s="1796">
        <f t="shared" si="16"/>
        <v>44440</v>
      </c>
      <c r="J58" s="1796">
        <f t="shared" si="16"/>
        <v>44409</v>
      </c>
      <c r="K58" s="1796">
        <f t="shared" si="16"/>
        <v>44378</v>
      </c>
      <c r="L58" s="1796">
        <f t="shared" si="16"/>
        <v>44348</v>
      </c>
      <c r="M58" s="1796">
        <f t="shared" si="16"/>
        <v>44317</v>
      </c>
      <c r="N58" s="1796">
        <f t="shared" si="16"/>
        <v>44287</v>
      </c>
      <c r="O58" s="1796">
        <f t="shared" si="16"/>
        <v>44256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2240</v>
      </c>
      <c r="B61" s="1800"/>
      <c r="C61" s="1811" t="s">
        <v>2241</v>
      </c>
      <c r="D61" s="409"/>
      <c r="E61" s="409"/>
      <c r="F61" s="409"/>
      <c r="G61" s="409"/>
      <c r="H61" s="409"/>
      <c r="I61" s="409"/>
      <c r="J61" s="409"/>
      <c r="K61" s="409"/>
      <c r="L61" s="409"/>
      <c r="M61" s="1812"/>
      <c r="N61" s="1813"/>
      <c r="O61" s="1813"/>
      <c r="P61" s="1814"/>
      <c r="Q61" s="1792"/>
    </row>
    <row r="62" spans="1:29" s="1655" customFormat="1" ht="15.75" thickBot="1">
      <c r="A62" s="1810"/>
      <c r="B62" s="1800"/>
      <c r="C62" s="1815">
        <v>100</v>
      </c>
      <c r="D62" s="1802"/>
      <c r="E62" s="1802"/>
      <c r="F62" s="1802"/>
      <c r="G62" s="1802"/>
      <c r="H62" s="1802"/>
      <c r="I62" s="1802"/>
      <c r="J62" s="1802"/>
      <c r="K62" s="1802"/>
      <c r="L62" s="1802"/>
      <c r="M62" s="1816"/>
      <c r="N62" s="1813"/>
      <c r="O62" s="1813"/>
      <c r="P62" s="1804"/>
      <c r="Q62" s="1792"/>
    </row>
    <row r="63" spans="1:29">
      <c r="A63" s="1817" t="s">
        <v>2242</v>
      </c>
      <c r="B63" s="1818" t="s">
        <v>2207</v>
      </c>
      <c r="C63" s="1819">
        <f>C9</f>
        <v>0</v>
      </c>
      <c r="D63" s="1820"/>
      <c r="E63" s="1820"/>
      <c r="F63" s="1820"/>
      <c r="G63" s="1820"/>
      <c r="H63" s="1820"/>
      <c r="I63" s="1820"/>
      <c r="J63" s="1820"/>
      <c r="K63" s="417"/>
      <c r="L63" s="417"/>
      <c r="M63" s="1821"/>
      <c r="N63" s="1822"/>
      <c r="O63" s="1822"/>
      <c r="P63" s="1823"/>
      <c r="Q63" s="1792"/>
    </row>
    <row r="64" spans="1:29" ht="15.75" thickBot="1">
      <c r="A64" s="1824"/>
      <c r="B64" s="1825"/>
      <c r="C64" s="1826">
        <v>100</v>
      </c>
      <c r="D64" s="1826"/>
      <c r="E64" s="1826"/>
      <c r="F64" s="1826"/>
      <c r="G64" s="1826"/>
      <c r="H64" s="1826"/>
      <c r="I64" s="1826"/>
      <c r="J64" s="1826"/>
      <c r="K64" s="1826"/>
      <c r="L64" s="1826"/>
      <c r="M64" s="1827"/>
      <c r="N64" s="1828"/>
      <c r="O64" s="1828"/>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1822"/>
      <c r="O65" s="1822"/>
      <c r="P65" s="1823"/>
      <c r="Q65" s="1792"/>
    </row>
    <row r="66" spans="1:17" ht="15.75" thickBot="1">
      <c r="A66" s="1824"/>
      <c r="B66" s="1832"/>
      <c r="C66" s="1833">
        <v>100</v>
      </c>
      <c r="D66" s="1833">
        <f t="shared" ref="D66:I66" si="17">C66-$K10</f>
        <v>100</v>
      </c>
      <c r="E66" s="1833">
        <f t="shared" si="17"/>
        <v>100</v>
      </c>
      <c r="F66" s="1833">
        <f t="shared" si="17"/>
        <v>100</v>
      </c>
      <c r="G66" s="1833">
        <f t="shared" si="17"/>
        <v>100</v>
      </c>
      <c r="H66" s="1833">
        <f t="shared" si="17"/>
        <v>100</v>
      </c>
      <c r="I66" s="1833">
        <f t="shared" si="17"/>
        <v>100</v>
      </c>
      <c r="J66" s="1833"/>
      <c r="K66" s="1833"/>
      <c r="L66" s="1833"/>
      <c r="M66" s="1834"/>
      <c r="N66" s="1828"/>
      <c r="O66" s="1828"/>
      <c r="P66" s="1823"/>
      <c r="Q66" s="1792"/>
    </row>
    <row r="67" spans="1:17" ht="15.75" thickTop="1">
      <c r="A67" s="1824"/>
      <c r="B67" s="1835" t="s">
        <v>2211</v>
      </c>
      <c r="C67" s="1836" t="str">
        <f>C68&amp;"（含）"&amp;"-"&amp;D68</f>
        <v>（含）-</v>
      </c>
      <c r="D67" s="1836" t="str">
        <f t="shared" ref="D67:L67" si="18">D68&amp;"（含）"&amp;"-"&amp;E68</f>
        <v>（含）-</v>
      </c>
      <c r="E67" s="1836" t="str">
        <f t="shared" si="18"/>
        <v>（含）-</v>
      </c>
      <c r="F67" s="1836" t="str">
        <f t="shared" si="18"/>
        <v>（含）-</v>
      </c>
      <c r="G67" s="1836" t="str">
        <f t="shared" si="18"/>
        <v>（含）-</v>
      </c>
      <c r="H67" s="1836" t="str">
        <f t="shared" si="18"/>
        <v>（含）-</v>
      </c>
      <c r="I67" s="1836" t="str">
        <f t="shared" si="18"/>
        <v>（含）-</v>
      </c>
      <c r="J67" s="1836" t="str">
        <f t="shared" si="18"/>
        <v>（含）-</v>
      </c>
      <c r="K67" s="1836" t="str">
        <f t="shared" si="18"/>
        <v>（含）-</v>
      </c>
      <c r="L67" s="1836" t="str">
        <f t="shared" si="18"/>
        <v>（含）-</v>
      </c>
      <c r="M67" s="1702" t="str">
        <f>M68&amp;"（含）"&amp;"-"&amp;P68</f>
        <v>（含）-</v>
      </c>
      <c r="N67" s="1828"/>
      <c r="O67" s="1828"/>
      <c r="P67" s="1823"/>
      <c r="Q67" s="1792"/>
    </row>
    <row r="68" spans="1:17" ht="15">
      <c r="A68" s="1824"/>
      <c r="B68" s="1837"/>
      <c r="C68" s="1838"/>
      <c r="D68" s="1838"/>
      <c r="E68" s="1838"/>
      <c r="F68" s="1838"/>
      <c r="G68" s="1838"/>
      <c r="H68" s="1838"/>
      <c r="I68" s="1838"/>
      <c r="J68" s="1838"/>
      <c r="K68" s="438"/>
      <c r="L68" s="438"/>
      <c r="M68" s="1839"/>
      <c r="N68" s="1822"/>
      <c r="O68" s="1822"/>
      <c r="P68" s="1823"/>
      <c r="Q68" s="1792"/>
    </row>
    <row r="69" spans="1:17" ht="15.75" thickBot="1">
      <c r="A69" s="1824"/>
      <c r="B69" s="1825"/>
      <c r="C69" s="1833">
        <v>100</v>
      </c>
      <c r="D69" s="1833">
        <f t="shared" ref="D69:M69" si="19">C69-$K11</f>
        <v>100</v>
      </c>
      <c r="E69" s="1833">
        <f t="shared" si="19"/>
        <v>100</v>
      </c>
      <c r="F69" s="1833">
        <f t="shared" si="19"/>
        <v>100</v>
      </c>
      <c r="G69" s="1833">
        <f t="shared" si="19"/>
        <v>100</v>
      </c>
      <c r="H69" s="1833">
        <f t="shared" si="19"/>
        <v>100</v>
      </c>
      <c r="I69" s="1833">
        <f t="shared" si="19"/>
        <v>100</v>
      </c>
      <c r="J69" s="1833">
        <f t="shared" si="19"/>
        <v>100</v>
      </c>
      <c r="K69" s="1833">
        <f t="shared" si="19"/>
        <v>100</v>
      </c>
      <c r="L69" s="1833">
        <f t="shared" si="19"/>
        <v>100</v>
      </c>
      <c r="M69" s="1834">
        <f t="shared" si="19"/>
        <v>100</v>
      </c>
      <c r="N69" s="1828"/>
      <c r="O69" s="1828"/>
      <c r="P69" s="1823"/>
      <c r="Q69" s="1792"/>
    </row>
    <row r="70" spans="1:17" s="1742" customFormat="1" ht="15.75" thickTop="1">
      <c r="A70" s="1840"/>
      <c r="B70" s="1829">
        <f>B12</f>
        <v>111</v>
      </c>
      <c r="C70" s="468"/>
      <c r="D70" s="468"/>
      <c r="E70" s="468"/>
      <c r="F70" s="468"/>
      <c r="G70" s="468"/>
      <c r="H70" s="443"/>
      <c r="I70" s="443"/>
      <c r="J70" s="443"/>
      <c r="K70" s="443"/>
      <c r="L70" s="443"/>
      <c r="M70" s="1841"/>
      <c r="N70" s="1842"/>
      <c r="O70" s="1842"/>
      <c r="P70" s="1843"/>
      <c r="Q70" s="1844"/>
    </row>
    <row r="71" spans="1:17" s="1742" customFormat="1" ht="15.75" thickBot="1">
      <c r="A71" s="1840"/>
      <c r="B71" s="1832"/>
      <c r="C71" s="1845"/>
      <c r="D71" s="1826"/>
      <c r="E71" s="1826"/>
      <c r="F71" s="1826"/>
      <c r="G71" s="1826"/>
      <c r="H71" s="1826"/>
      <c r="I71" s="1826"/>
      <c r="J71" s="1826"/>
      <c r="K71" s="1826"/>
      <c r="L71" s="1826"/>
      <c r="M71" s="1827"/>
      <c r="N71" s="1828"/>
      <c r="O71" s="1828"/>
      <c r="P71" s="1843"/>
      <c r="Q71" s="1844"/>
    </row>
    <row r="72" spans="1:17" s="1742" customFormat="1" ht="15.75" thickTop="1">
      <c r="A72" s="1840"/>
      <c r="B72" s="1829">
        <f>B13</f>
        <v>111</v>
      </c>
      <c r="C72" s="468"/>
      <c r="D72" s="468"/>
      <c r="E72" s="468"/>
      <c r="F72" s="468"/>
      <c r="G72" s="468"/>
      <c r="H72" s="443"/>
      <c r="I72" s="443"/>
      <c r="J72" s="443"/>
      <c r="K72" s="443"/>
      <c r="L72" s="443"/>
      <c r="M72" s="1841"/>
      <c r="N72" s="1842"/>
      <c r="O72" s="1842"/>
      <c r="P72" s="1846"/>
      <c r="Q72" s="1847"/>
    </row>
    <row r="73" spans="1:17" s="1742" customFormat="1" ht="15.75" thickBot="1">
      <c r="A73" s="1840"/>
      <c r="B73" s="1832"/>
      <c r="C73" s="1845"/>
      <c r="D73" s="1845"/>
      <c r="E73" s="1845"/>
      <c r="F73" s="1845"/>
      <c r="G73" s="1845"/>
      <c r="H73" s="1848"/>
      <c r="I73" s="1848"/>
      <c r="J73" s="1848"/>
      <c r="K73" s="1848"/>
      <c r="L73" s="1848"/>
      <c r="M73" s="1849"/>
      <c r="N73" s="1842"/>
      <c r="O73" s="1842"/>
      <c r="P73" s="1843"/>
      <c r="Q73" s="1844"/>
    </row>
    <row r="74" spans="1:17" s="1742" customFormat="1" ht="15.75" thickTop="1">
      <c r="A74" s="1840"/>
      <c r="B74" s="1835">
        <f>B14</f>
        <v>111</v>
      </c>
      <c r="C74" s="468"/>
      <c r="D74" s="468"/>
      <c r="E74" s="468"/>
      <c r="F74" s="468"/>
      <c r="G74" s="409"/>
      <c r="H74" s="453"/>
      <c r="I74" s="453"/>
      <c r="J74" s="453"/>
      <c r="K74" s="453"/>
      <c r="L74" s="453"/>
      <c r="M74" s="1850"/>
      <c r="N74" s="1842"/>
      <c r="O74" s="1842"/>
      <c r="P74" s="1843"/>
      <c r="Q74" s="1844"/>
    </row>
    <row r="75" spans="1:17" s="1742" customFormat="1" ht="15.75" thickBot="1">
      <c r="A75" s="1851"/>
      <c r="B75" s="1852"/>
      <c r="C75" s="1853"/>
      <c r="D75" s="1853"/>
      <c r="E75" s="1853"/>
      <c r="F75" s="1853"/>
      <c r="G75" s="1853"/>
      <c r="H75" s="1854"/>
      <c r="I75" s="1854"/>
      <c r="J75" s="1854"/>
      <c r="K75" s="1854"/>
      <c r="L75" s="1854"/>
      <c r="M75" s="1855"/>
      <c r="N75" s="1842"/>
      <c r="O75" s="1842"/>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1822"/>
      <c r="O76" s="1822"/>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1828"/>
      <c r="O77" s="1828"/>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1822"/>
      <c r="O78" s="1822"/>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1828"/>
      <c r="O79" s="1828"/>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1822"/>
      <c r="O80" s="1822"/>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1828"/>
      <c r="O81" s="1828"/>
      <c r="P81" s="1823"/>
      <c r="Q81" s="1792"/>
    </row>
    <row r="82" spans="1:17" ht="15.75" thickTop="1">
      <c r="A82" s="1824"/>
      <c r="B82" s="1835" t="s">
        <v>1649</v>
      </c>
      <c r="C82" s="1830" t="s">
        <v>2258</v>
      </c>
      <c r="D82" s="1830" t="s">
        <v>2259</v>
      </c>
      <c r="E82" s="1830" t="s">
        <v>2260</v>
      </c>
      <c r="F82" s="1830" t="s">
        <v>2261</v>
      </c>
      <c r="G82" s="1830" t="s">
        <v>2262</v>
      </c>
      <c r="H82" s="1830"/>
      <c r="I82" s="1830"/>
      <c r="J82" s="1830"/>
      <c r="K82" s="1830"/>
      <c r="L82" s="1830"/>
      <c r="M82" s="1858"/>
      <c r="N82" s="1828"/>
      <c r="O82" s="1828"/>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1828"/>
      <c r="O83" s="1828"/>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1822"/>
      <c r="O84" s="1822"/>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1828"/>
      <c r="O85" s="1828"/>
      <c r="P85" s="1823"/>
      <c r="Q85" s="1792"/>
    </row>
    <row r="86" spans="1:17" s="1655" customFormat="1" ht="15.75" thickTop="1">
      <c r="A86" s="1860"/>
      <c r="B86" s="1829" t="s">
        <v>2264</v>
      </c>
      <c r="C86" s="468"/>
      <c r="D86" s="468"/>
      <c r="E86" s="468"/>
      <c r="F86" s="468"/>
      <c r="G86" s="468"/>
      <c r="H86" s="468"/>
      <c r="I86" s="468"/>
      <c r="J86" s="468"/>
      <c r="K86" s="468"/>
      <c r="L86" s="468"/>
      <c r="M86" s="1861"/>
      <c r="N86" s="1813"/>
      <c r="O86" s="1813"/>
      <c r="P86" s="1823"/>
      <c r="Q86" s="1792"/>
    </row>
    <row r="87" spans="1:17" s="1655" customFormat="1" ht="15.75" thickBot="1">
      <c r="A87" s="1860"/>
      <c r="B87" s="1832"/>
      <c r="C87" s="1862">
        <v>100</v>
      </c>
      <c r="D87" s="1833">
        <f>$C$87-($C$86-D86)*$K$25</f>
        <v>100</v>
      </c>
      <c r="E87" s="1833">
        <f t="shared" ref="E87:M87" si="20">$C$87-($C$86-E86)*$K$25</f>
        <v>100</v>
      </c>
      <c r="F87" s="1833">
        <f t="shared" si="20"/>
        <v>100</v>
      </c>
      <c r="G87" s="1833">
        <f t="shared" si="20"/>
        <v>100</v>
      </c>
      <c r="H87" s="1833">
        <f t="shared" si="20"/>
        <v>100</v>
      </c>
      <c r="I87" s="1833">
        <f t="shared" si="20"/>
        <v>100</v>
      </c>
      <c r="J87" s="1833">
        <f t="shared" si="20"/>
        <v>100</v>
      </c>
      <c r="K87" s="1833">
        <f t="shared" si="20"/>
        <v>100</v>
      </c>
      <c r="L87" s="1833">
        <f t="shared" si="20"/>
        <v>100</v>
      </c>
      <c r="M87" s="1833">
        <f t="shared" si="20"/>
        <v>100</v>
      </c>
      <c r="N87" s="1828"/>
      <c r="O87" s="1828"/>
      <c r="P87" s="1823"/>
      <c r="Q87" s="1792"/>
    </row>
    <row r="88" spans="1:17" s="1655" customFormat="1" ht="15.75" thickTop="1">
      <c r="A88" s="1860"/>
      <c r="B88" s="1829" t="s">
        <v>2265</v>
      </c>
      <c r="C88" s="468"/>
      <c r="D88" s="468"/>
      <c r="E88" s="468"/>
      <c r="F88" s="1863"/>
      <c r="G88" s="468"/>
      <c r="H88" s="468"/>
      <c r="I88" s="468"/>
      <c r="J88" s="468"/>
      <c r="K88" s="468"/>
      <c r="L88" s="468"/>
      <c r="M88" s="1861"/>
      <c r="N88" s="1813"/>
      <c r="O88" s="1813"/>
      <c r="P88" s="1823"/>
      <c r="Q88" s="1792"/>
    </row>
    <row r="89" spans="1:17" s="1655" customFormat="1" ht="15.75" thickBot="1">
      <c r="A89" s="1860"/>
      <c r="B89" s="1832"/>
      <c r="C89" s="1862">
        <v>100</v>
      </c>
      <c r="D89" s="1833">
        <f t="shared" ref="D89:M89" si="21">C89-$K26</f>
        <v>100</v>
      </c>
      <c r="E89" s="1833">
        <f t="shared" si="21"/>
        <v>100</v>
      </c>
      <c r="F89" s="1833">
        <f t="shared" si="21"/>
        <v>100</v>
      </c>
      <c r="G89" s="1833">
        <f t="shared" si="21"/>
        <v>100</v>
      </c>
      <c r="H89" s="1833">
        <f t="shared" si="21"/>
        <v>100</v>
      </c>
      <c r="I89" s="1833">
        <f t="shared" si="21"/>
        <v>100</v>
      </c>
      <c r="J89" s="1833">
        <f t="shared" si="21"/>
        <v>100</v>
      </c>
      <c r="K89" s="1833">
        <f t="shared" si="21"/>
        <v>100</v>
      </c>
      <c r="L89" s="1833">
        <f t="shared" si="21"/>
        <v>100</v>
      </c>
      <c r="M89" s="1833">
        <f t="shared" si="21"/>
        <v>100</v>
      </c>
      <c r="N89" s="1828"/>
      <c r="O89" s="1828"/>
      <c r="P89" s="1823"/>
      <c r="Q89" s="1792"/>
    </row>
    <row r="90" spans="1:17" s="1742" customFormat="1" ht="15.75" thickTop="1">
      <c r="A90" s="1840"/>
      <c r="B90" s="1829" t="str">
        <f>B27</f>
        <v>道路级别</v>
      </c>
      <c r="C90" s="468"/>
      <c r="D90" s="468"/>
      <c r="E90" s="468"/>
      <c r="F90" s="468"/>
      <c r="G90" s="468"/>
      <c r="H90" s="443"/>
      <c r="I90" s="443"/>
      <c r="J90" s="443"/>
      <c r="K90" s="443"/>
      <c r="L90" s="443"/>
      <c r="M90" s="1841"/>
      <c r="N90" s="1842"/>
      <c r="O90" s="1842"/>
      <c r="P90" s="1843"/>
      <c r="Q90" s="1844"/>
    </row>
    <row r="91" spans="1:17" s="1742" customFormat="1" ht="15.75" thickBot="1">
      <c r="A91" s="1840"/>
      <c r="B91" s="1832"/>
      <c r="C91" s="1845"/>
      <c r="D91" s="1845"/>
      <c r="E91" s="1845"/>
      <c r="F91" s="1845"/>
      <c r="G91" s="1845"/>
      <c r="H91" s="1848"/>
      <c r="I91" s="1848"/>
      <c r="J91" s="1848"/>
      <c r="K91" s="1848"/>
      <c r="L91" s="1848"/>
      <c r="M91" s="1849"/>
      <c r="N91" s="1842"/>
      <c r="O91" s="1842"/>
      <c r="P91" s="1843"/>
      <c r="Q91" s="1844"/>
    </row>
    <row r="92" spans="1:17" ht="15.75" thickTop="1">
      <c r="A92" s="1824"/>
      <c r="B92" s="1829">
        <f>B28</f>
        <v>111</v>
      </c>
      <c r="C92" s="468"/>
      <c r="D92" s="468"/>
      <c r="E92" s="468"/>
      <c r="F92" s="468"/>
      <c r="G92" s="1548"/>
      <c r="H92" s="1548"/>
      <c r="I92" s="1548"/>
      <c r="J92" s="1548"/>
      <c r="K92" s="473"/>
      <c r="L92" s="473"/>
      <c r="M92" s="1864"/>
      <c r="N92" s="1822"/>
      <c r="O92" s="1822"/>
      <c r="P92" s="1823"/>
      <c r="Q92" s="1792"/>
    </row>
    <row r="93" spans="1:17" ht="15.75" thickBot="1">
      <c r="A93" s="1824"/>
      <c r="B93" s="1832"/>
      <c r="C93" s="1845"/>
      <c r="D93" s="1826"/>
      <c r="E93" s="1826"/>
      <c r="F93" s="1826"/>
      <c r="G93" s="1826"/>
      <c r="H93" s="1826"/>
      <c r="I93" s="1826"/>
      <c r="J93" s="1826"/>
      <c r="K93" s="1826"/>
      <c r="L93" s="1826"/>
      <c r="M93" s="1827"/>
      <c r="N93" s="1828"/>
      <c r="O93" s="1828"/>
      <c r="P93" s="1823"/>
      <c r="Q93" s="1792"/>
    </row>
    <row r="94" spans="1:17" ht="15.75" thickTop="1">
      <c r="A94" s="1824"/>
      <c r="B94" s="1829">
        <f>B29</f>
        <v>111</v>
      </c>
      <c r="C94" s="468"/>
      <c r="D94" s="468"/>
      <c r="E94" s="468"/>
      <c r="F94" s="468"/>
      <c r="G94" s="1548"/>
      <c r="H94" s="1548"/>
      <c r="I94" s="1548"/>
      <c r="J94" s="1548"/>
      <c r="K94" s="473"/>
      <c r="L94" s="473"/>
      <c r="M94" s="1864"/>
      <c r="N94" s="1822"/>
      <c r="O94" s="1822"/>
      <c r="P94" s="1823"/>
      <c r="Q94" s="1792"/>
    </row>
    <row r="95" spans="1:17" ht="15.75" thickBot="1">
      <c r="A95" s="1824"/>
      <c r="B95" s="1832"/>
      <c r="C95" s="1845"/>
      <c r="D95" s="1845"/>
      <c r="E95" s="1845"/>
      <c r="F95" s="1845"/>
      <c r="G95" s="1826"/>
      <c r="H95" s="1826"/>
      <c r="I95" s="1826"/>
      <c r="J95" s="1826"/>
      <c r="K95" s="1826"/>
      <c r="L95" s="1826"/>
      <c r="M95" s="1827"/>
      <c r="N95" s="1828"/>
      <c r="O95" s="1828"/>
      <c r="P95" s="1823"/>
      <c r="Q95" s="1792"/>
    </row>
    <row r="96" spans="1:17" ht="15.75" thickTop="1">
      <c r="A96" s="1824"/>
      <c r="B96" s="1829">
        <f>B30</f>
        <v>111</v>
      </c>
      <c r="C96" s="468"/>
      <c r="D96" s="468"/>
      <c r="E96" s="468"/>
      <c r="F96" s="468"/>
      <c r="G96" s="1548"/>
      <c r="H96" s="1548"/>
      <c r="I96" s="1548"/>
      <c r="J96" s="1548"/>
      <c r="K96" s="473"/>
      <c r="L96" s="473"/>
      <c r="M96" s="1864"/>
      <c r="N96" s="1822"/>
      <c r="O96" s="1822"/>
      <c r="P96" s="1823"/>
      <c r="Q96" s="1792"/>
    </row>
    <row r="97" spans="1:17" ht="15.75" thickBot="1">
      <c r="A97" s="1824"/>
      <c r="B97" s="1832"/>
      <c r="C97" s="1853"/>
      <c r="D97" s="1853"/>
      <c r="E97" s="1853"/>
      <c r="F97" s="1853"/>
      <c r="G97" s="1826"/>
      <c r="H97" s="1826"/>
      <c r="I97" s="1826"/>
      <c r="J97" s="1826"/>
      <c r="K97" s="1826"/>
      <c r="L97" s="1826"/>
      <c r="M97" s="1827"/>
      <c r="N97" s="1828"/>
      <c r="O97" s="1828"/>
      <c r="P97" s="1823"/>
      <c r="Q97" s="1792"/>
    </row>
    <row r="98" spans="1:17" ht="15.75" thickTop="1">
      <c r="A98" s="1824"/>
      <c r="B98" s="1835">
        <f>B31</f>
        <v>111</v>
      </c>
      <c r="C98" s="1865"/>
      <c r="D98" s="1865"/>
      <c r="E98" s="1865"/>
      <c r="F98" s="1865"/>
      <c r="G98" s="1865"/>
      <c r="H98" s="1865"/>
      <c r="I98" s="1865"/>
      <c r="J98" s="1865"/>
      <c r="K98" s="477"/>
      <c r="L98" s="477"/>
      <c r="M98" s="1866"/>
      <c r="N98" s="1822"/>
      <c r="O98" s="1822"/>
      <c r="P98" s="1823"/>
      <c r="Q98" s="1792"/>
    </row>
    <row r="99" spans="1:17" ht="15.75" thickBot="1">
      <c r="A99" s="1867"/>
      <c r="B99" s="1852"/>
      <c r="C99" s="1868"/>
      <c r="D99" s="1868"/>
      <c r="E99" s="1868"/>
      <c r="F99" s="1868"/>
      <c r="G99" s="1868"/>
      <c r="H99" s="1868"/>
      <c r="I99" s="1868"/>
      <c r="J99" s="1868"/>
      <c r="K99" s="1868"/>
      <c r="L99" s="1868"/>
      <c r="M99" s="1869"/>
      <c r="N99" s="1828"/>
      <c r="O99" s="1828"/>
      <c r="P99" s="1823"/>
      <c r="Q99" s="1792"/>
    </row>
    <row r="100" spans="1:17">
      <c r="A100" s="1817" t="s">
        <v>2217</v>
      </c>
      <c r="B100" s="1818" t="s">
        <v>2266</v>
      </c>
      <c r="C100" s="1820"/>
      <c r="D100" s="1820"/>
      <c r="E100" s="1820"/>
      <c r="F100" s="1820"/>
      <c r="G100" s="1820"/>
      <c r="H100" s="1820"/>
      <c r="I100" s="1820"/>
      <c r="J100" s="1820"/>
      <c r="K100" s="417"/>
      <c r="L100" s="417"/>
      <c r="M100" s="1821"/>
      <c r="N100" s="1822"/>
      <c r="O100" s="1822"/>
      <c r="P100" s="1823"/>
      <c r="Q100" s="1792"/>
    </row>
    <row r="101" spans="1:17" ht="15.75" thickBot="1">
      <c r="A101" s="1824"/>
      <c r="B101" s="1832"/>
      <c r="C101" s="1833">
        <v>100</v>
      </c>
      <c r="D101" s="1833">
        <f t="shared" ref="D101:M101" si="22">C101-$K32</f>
        <v>100</v>
      </c>
      <c r="E101" s="1833">
        <f t="shared" si="22"/>
        <v>100</v>
      </c>
      <c r="F101" s="1833">
        <f t="shared" si="22"/>
        <v>100</v>
      </c>
      <c r="G101" s="1833">
        <f t="shared" si="22"/>
        <v>100</v>
      </c>
      <c r="H101" s="1833">
        <f t="shared" si="22"/>
        <v>100</v>
      </c>
      <c r="I101" s="1833">
        <f t="shared" si="22"/>
        <v>100</v>
      </c>
      <c r="J101" s="1833">
        <f t="shared" si="22"/>
        <v>100</v>
      </c>
      <c r="K101" s="1833">
        <f t="shared" si="22"/>
        <v>100</v>
      </c>
      <c r="L101" s="1833">
        <f t="shared" si="22"/>
        <v>100</v>
      </c>
      <c r="M101" s="1833">
        <f t="shared" si="22"/>
        <v>100</v>
      </c>
      <c r="N101" s="1828"/>
      <c r="O101" s="1828"/>
      <c r="P101" s="1823"/>
      <c r="Q101" s="1792"/>
    </row>
    <row r="102" spans="1:17" ht="15.75" thickTop="1">
      <c r="A102" s="1824"/>
      <c r="B102" s="1829" t="s">
        <v>2267</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3"/>
      <c r="O102" s="1813"/>
      <c r="P102" s="1823"/>
      <c r="Q102" s="1792"/>
    </row>
    <row r="103" spans="1:17" s="1742" customFormat="1">
      <c r="A103" s="1870"/>
      <c r="B103" s="1871"/>
      <c r="C103" s="1872"/>
      <c r="D103" s="1872"/>
      <c r="E103" s="1872"/>
      <c r="F103" s="1872"/>
      <c r="G103" s="1872"/>
      <c r="H103" s="1872"/>
      <c r="I103" s="1872"/>
      <c r="J103" s="485"/>
      <c r="K103" s="485"/>
      <c r="L103" s="485"/>
      <c r="M103" s="1873"/>
      <c r="N103" s="1842"/>
      <c r="O103" s="1842"/>
      <c r="P103" s="1843"/>
      <c r="Q103" s="1844"/>
    </row>
    <row r="104" spans="1:17" s="1742" customFormat="1" ht="15.75" thickBot="1">
      <c r="A104" s="1840"/>
      <c r="B104" s="1832"/>
      <c r="C104" s="1845"/>
      <c r="D104" s="1826"/>
      <c r="E104" s="1826"/>
      <c r="F104" s="1826"/>
      <c r="G104" s="1826"/>
      <c r="H104" s="1826"/>
      <c r="I104" s="1826"/>
      <c r="J104" s="1826"/>
      <c r="K104" s="1826"/>
      <c r="L104" s="1826"/>
      <c r="M104" s="1826"/>
      <c r="N104" s="1828"/>
      <c r="O104" s="1828"/>
      <c r="P104" s="1843"/>
      <c r="Q104" s="1844"/>
    </row>
    <row r="105" spans="1:17" ht="15" thickTop="1">
      <c r="A105" s="1874"/>
      <c r="B105" s="1829" t="s">
        <v>2268</v>
      </c>
      <c r="C105" s="468"/>
      <c r="D105" s="468"/>
      <c r="E105" s="1548"/>
      <c r="F105" s="1548"/>
      <c r="G105" s="1548"/>
      <c r="H105" s="1548"/>
      <c r="I105" s="1548"/>
      <c r="J105" s="1548"/>
      <c r="K105" s="473"/>
      <c r="L105" s="473"/>
      <c r="M105" s="1864"/>
      <c r="N105" s="1822"/>
      <c r="O105" s="1822"/>
      <c r="P105" s="1823"/>
      <c r="Q105" s="1792"/>
    </row>
    <row r="106" spans="1:17" ht="15.75" thickBot="1">
      <c r="A106" s="1824"/>
      <c r="B106" s="1832"/>
      <c r="C106" s="1833">
        <v>100</v>
      </c>
      <c r="D106" s="1833">
        <f t="shared" ref="D106:M106" si="24">C106-$K34</f>
        <v>100</v>
      </c>
      <c r="E106" s="1833">
        <f t="shared" si="24"/>
        <v>100</v>
      </c>
      <c r="F106" s="1833">
        <f t="shared" si="24"/>
        <v>100</v>
      </c>
      <c r="G106" s="1833">
        <f t="shared" si="24"/>
        <v>100</v>
      </c>
      <c r="H106" s="1833">
        <f t="shared" si="24"/>
        <v>100</v>
      </c>
      <c r="I106" s="1833">
        <f t="shared" si="24"/>
        <v>100</v>
      </c>
      <c r="J106" s="1833">
        <f t="shared" si="24"/>
        <v>100</v>
      </c>
      <c r="K106" s="1833">
        <f t="shared" si="24"/>
        <v>100</v>
      </c>
      <c r="L106" s="1833">
        <f t="shared" si="24"/>
        <v>100</v>
      </c>
      <c r="M106" s="1833">
        <f t="shared" si="24"/>
        <v>100</v>
      </c>
      <c r="N106" s="1828"/>
      <c r="O106" s="1828"/>
      <c r="P106" s="1823"/>
      <c r="Q106" s="1792"/>
    </row>
    <row r="107" spans="1:17" ht="15" thickTop="1">
      <c r="A107" s="1874"/>
      <c r="B107" s="1829" t="s">
        <v>2269</v>
      </c>
      <c r="C107" s="1548"/>
      <c r="D107" s="1548"/>
      <c r="E107" s="1548"/>
      <c r="F107" s="1548"/>
      <c r="G107" s="1548"/>
      <c r="H107" s="1548"/>
      <c r="I107" s="1548"/>
      <c r="J107" s="1548"/>
      <c r="K107" s="473"/>
      <c r="L107" s="473"/>
      <c r="M107" s="1864"/>
      <c r="N107" s="1822"/>
      <c r="O107" s="1822"/>
      <c r="P107" s="1823"/>
      <c r="Q107" s="1792"/>
    </row>
    <row r="108" spans="1:17" ht="15.75" thickBot="1">
      <c r="A108" s="1824"/>
      <c r="B108" s="1832"/>
      <c r="C108" s="1833">
        <v>100</v>
      </c>
      <c r="D108" s="1833">
        <f t="shared" ref="D108:M108" si="25">C108-$K35</f>
        <v>100</v>
      </c>
      <c r="E108" s="1833">
        <f t="shared" si="25"/>
        <v>100</v>
      </c>
      <c r="F108" s="1833">
        <f t="shared" si="25"/>
        <v>100</v>
      </c>
      <c r="G108" s="1833">
        <f t="shared" si="25"/>
        <v>100</v>
      </c>
      <c r="H108" s="1833">
        <f t="shared" si="25"/>
        <v>100</v>
      </c>
      <c r="I108" s="1833">
        <f t="shared" si="25"/>
        <v>100</v>
      </c>
      <c r="J108" s="1833">
        <f t="shared" si="25"/>
        <v>100</v>
      </c>
      <c r="K108" s="1833">
        <f t="shared" si="25"/>
        <v>100</v>
      </c>
      <c r="L108" s="1833">
        <f t="shared" si="25"/>
        <v>100</v>
      </c>
      <c r="M108" s="1833">
        <f t="shared" si="25"/>
        <v>100</v>
      </c>
      <c r="N108" s="1828"/>
      <c r="O108" s="1828"/>
      <c r="P108" s="1823"/>
      <c r="Q108" s="1792"/>
    </row>
    <row r="109" spans="1:17" ht="15" thickTop="1">
      <c r="A109" s="1874"/>
      <c r="B109" s="1829" t="s">
        <v>2270</v>
      </c>
      <c r="C109" s="468"/>
      <c r="D109" s="468"/>
      <c r="E109" s="468"/>
      <c r="F109" s="1548"/>
      <c r="G109" s="1548"/>
      <c r="H109" s="1548"/>
      <c r="I109" s="1548"/>
      <c r="J109" s="1548"/>
      <c r="K109" s="473"/>
      <c r="L109" s="473"/>
      <c r="M109" s="1864"/>
      <c r="N109" s="1822"/>
      <c r="O109" s="1822"/>
      <c r="P109" s="1823"/>
      <c r="Q109" s="1792"/>
    </row>
    <row r="110" spans="1:17" ht="15.75" thickBot="1">
      <c r="A110" s="1824"/>
      <c r="B110" s="1832"/>
      <c r="C110" s="1833">
        <v>100</v>
      </c>
      <c r="D110" s="1833">
        <f t="shared" ref="D110:M110" si="26">C110-$K36</f>
        <v>100</v>
      </c>
      <c r="E110" s="1833">
        <f t="shared" si="26"/>
        <v>100</v>
      </c>
      <c r="F110" s="1833">
        <f t="shared" si="26"/>
        <v>100</v>
      </c>
      <c r="G110" s="1833">
        <f t="shared" si="26"/>
        <v>100</v>
      </c>
      <c r="H110" s="1833">
        <f t="shared" si="26"/>
        <v>100</v>
      </c>
      <c r="I110" s="1833">
        <f t="shared" si="26"/>
        <v>100</v>
      </c>
      <c r="J110" s="1833">
        <f t="shared" si="26"/>
        <v>100</v>
      </c>
      <c r="K110" s="1833">
        <f t="shared" si="26"/>
        <v>100</v>
      </c>
      <c r="L110" s="1833">
        <f t="shared" si="26"/>
        <v>100</v>
      </c>
      <c r="M110" s="1833">
        <f t="shared" si="26"/>
        <v>100</v>
      </c>
      <c r="N110" s="1828"/>
      <c r="O110" s="1828"/>
      <c r="P110" s="1823"/>
      <c r="Q110" s="1792"/>
    </row>
    <row r="111" spans="1:17" s="1742" customFormat="1" ht="15" thickTop="1">
      <c r="A111" s="1870"/>
      <c r="B111" s="1829" t="s">
        <v>2271</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5"/>
      <c r="N111" s="1842"/>
      <c r="O111" s="1842"/>
      <c r="P111" s="1843"/>
      <c r="Q111" s="1844"/>
    </row>
    <row r="112" spans="1:17" s="1742" customFormat="1">
      <c r="A112" s="1870"/>
      <c r="B112" s="1835"/>
      <c r="C112" s="1876">
        <v>0.5</v>
      </c>
      <c r="D112" s="1876">
        <v>0.6</v>
      </c>
      <c r="E112" s="1876">
        <v>0.7</v>
      </c>
      <c r="F112" s="1876">
        <v>0.8</v>
      </c>
      <c r="G112" s="1876">
        <v>0.9</v>
      </c>
      <c r="H112" s="1876">
        <v>1.0001</v>
      </c>
      <c r="I112" s="1876"/>
      <c r="J112" s="492"/>
      <c r="K112" s="492"/>
      <c r="L112" s="492"/>
      <c r="M112" s="1877"/>
      <c r="N112" s="1842"/>
      <c r="O112" s="1842"/>
      <c r="P112" s="1843"/>
      <c r="Q112" s="1844"/>
    </row>
    <row r="113" spans="1:17" s="1742" customFormat="1" ht="15.75" thickBot="1">
      <c r="A113" s="1840"/>
      <c r="B113" s="1832"/>
      <c r="C113" s="1862">
        <v>100</v>
      </c>
      <c r="D113" s="1833">
        <f>C113+$K37</f>
        <v>100</v>
      </c>
      <c r="E113" s="1833">
        <f>D113+$K37</f>
        <v>100</v>
      </c>
      <c r="F113" s="1833">
        <f>E113+$K37</f>
        <v>100</v>
      </c>
      <c r="G113" s="1833">
        <f>F113+$K37</f>
        <v>100</v>
      </c>
      <c r="H113" s="1833">
        <f>G113+$K37</f>
        <v>100</v>
      </c>
      <c r="I113" s="1862"/>
      <c r="J113" s="1878"/>
      <c r="K113" s="1878"/>
      <c r="L113" s="1878"/>
      <c r="M113" s="1879"/>
      <c r="N113" s="1842"/>
      <c r="O113" s="1842"/>
      <c r="P113" s="1843"/>
      <c r="Q113" s="1844"/>
    </row>
    <row r="114" spans="1:17" ht="15" thickTop="1">
      <c r="A114" s="1874"/>
      <c r="B114" s="1829" t="s">
        <v>2272</v>
      </c>
      <c r="C114" s="468"/>
      <c r="D114" s="468"/>
      <c r="E114" s="1548"/>
      <c r="F114" s="1548"/>
      <c r="G114" s="1548"/>
      <c r="H114" s="1548"/>
      <c r="I114" s="1548"/>
      <c r="J114" s="1548"/>
      <c r="K114" s="473"/>
      <c r="L114" s="473"/>
      <c r="M114" s="1864"/>
      <c r="N114" s="1822"/>
      <c r="O114" s="1822"/>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3">
        <f t="shared" si="27"/>
        <v>100</v>
      </c>
      <c r="N115" s="1828"/>
      <c r="O115" s="1828"/>
      <c r="P115" s="1823"/>
      <c r="Q115" s="1792"/>
    </row>
    <row r="116" spans="1:17" ht="15" thickTop="1">
      <c r="A116" s="1874"/>
      <c r="B116" s="1829" t="s">
        <v>2273</v>
      </c>
      <c r="C116" s="468"/>
      <c r="D116" s="468"/>
      <c r="E116" s="468"/>
      <c r="F116" s="468"/>
      <c r="G116" s="468"/>
      <c r="H116" s="1548"/>
      <c r="I116" s="1548"/>
      <c r="J116" s="1548"/>
      <c r="K116" s="473"/>
      <c r="L116" s="473"/>
      <c r="M116" s="1864"/>
      <c r="N116" s="1822"/>
      <c r="O116" s="1822"/>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1828"/>
      <c r="O117" s="1828"/>
      <c r="P117" s="1823"/>
      <c r="Q117" s="1792"/>
    </row>
    <row r="118" spans="1:17" ht="15" thickTop="1">
      <c r="A118" s="1874"/>
      <c r="B118" s="1829" t="s">
        <v>2274</v>
      </c>
      <c r="C118" s="1548"/>
      <c r="D118" s="1548"/>
      <c r="E118" s="1548"/>
      <c r="F118" s="1548"/>
      <c r="G118" s="1548"/>
      <c r="H118" s="1548"/>
      <c r="I118" s="1548"/>
      <c r="J118" s="1548"/>
      <c r="K118" s="473"/>
      <c r="L118" s="473"/>
      <c r="M118" s="1864"/>
      <c r="N118" s="1822"/>
      <c r="O118" s="1822"/>
      <c r="P118" s="1823"/>
      <c r="Q118" s="1792"/>
    </row>
    <row r="119" spans="1:17" ht="15.75" thickBot="1">
      <c r="A119" s="1824"/>
      <c r="B119" s="1832"/>
      <c r="C119" s="1833">
        <v>100</v>
      </c>
      <c r="D119" s="1833">
        <f t="shared" ref="D119:M119" si="28">C119-$K40</f>
        <v>100</v>
      </c>
      <c r="E119" s="1833">
        <f t="shared" si="28"/>
        <v>100</v>
      </c>
      <c r="F119" s="1833">
        <f t="shared" si="28"/>
        <v>100</v>
      </c>
      <c r="G119" s="1833">
        <f t="shared" si="28"/>
        <v>100</v>
      </c>
      <c r="H119" s="1833">
        <f t="shared" si="28"/>
        <v>100</v>
      </c>
      <c r="I119" s="1833">
        <f t="shared" si="28"/>
        <v>100</v>
      </c>
      <c r="J119" s="1833">
        <f t="shared" si="28"/>
        <v>100</v>
      </c>
      <c r="K119" s="1833">
        <f t="shared" si="28"/>
        <v>100</v>
      </c>
      <c r="L119" s="1833">
        <f t="shared" si="28"/>
        <v>100</v>
      </c>
      <c r="M119" s="1833">
        <f t="shared" si="28"/>
        <v>100</v>
      </c>
      <c r="N119" s="1828"/>
      <c r="O119" s="1828"/>
      <c r="P119" s="1823"/>
      <c r="Q119" s="1792"/>
    </row>
    <row r="120" spans="1:17" s="1742" customFormat="1" ht="28.5" thickTop="1">
      <c r="A120" s="1870"/>
      <c r="B120" s="1829" t="s">
        <v>2228</v>
      </c>
      <c r="C120" s="468"/>
      <c r="D120" s="468"/>
      <c r="E120" s="468"/>
      <c r="F120" s="468"/>
      <c r="G120" s="468"/>
      <c r="H120" s="468"/>
      <c r="I120" s="468"/>
      <c r="J120" s="468"/>
      <c r="K120" s="468"/>
      <c r="L120" s="468"/>
      <c r="M120" s="1861"/>
      <c r="N120" s="1842"/>
      <c r="O120" s="1842"/>
      <c r="P120" s="1843"/>
      <c r="Q120" s="1844"/>
    </row>
    <row r="121" spans="1:17" s="1742" customFormat="1" ht="15.75" thickBot="1">
      <c r="A121" s="1840"/>
      <c r="B121" s="1825"/>
      <c r="C121" s="1845"/>
      <c r="D121" s="1826"/>
      <c r="E121" s="1826"/>
      <c r="F121" s="1826"/>
      <c r="G121" s="1826"/>
      <c r="H121" s="1826"/>
      <c r="I121" s="1826"/>
      <c r="J121" s="1826"/>
      <c r="K121" s="1826"/>
      <c r="L121" s="1826"/>
      <c r="M121" s="1826"/>
      <c r="N121" s="1842"/>
      <c r="O121" s="1842"/>
      <c r="P121" s="1843"/>
      <c r="Q121" s="1844"/>
    </row>
    <row r="122" spans="1:17" ht="15" thickTop="1">
      <c r="A122" s="1874"/>
      <c r="B122" s="1829" t="s">
        <v>2275</v>
      </c>
      <c r="C122" s="468"/>
      <c r="D122" s="468"/>
      <c r="E122" s="468"/>
      <c r="F122" s="1548"/>
      <c r="G122" s="1548"/>
      <c r="H122" s="1548"/>
      <c r="I122" s="1548"/>
      <c r="J122" s="1548"/>
      <c r="K122" s="473"/>
      <c r="L122" s="473"/>
      <c r="M122" s="1864"/>
      <c r="N122" s="1822"/>
      <c r="O122" s="1822"/>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3">
        <f t="shared" si="29"/>
        <v>100</v>
      </c>
      <c r="N123" s="1828"/>
      <c r="O123" s="1828"/>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1822"/>
      <c r="O124" s="1822"/>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1828"/>
      <c r="O125" s="1828"/>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1842"/>
      <c r="O126" s="1842"/>
      <c r="P126" s="1843"/>
      <c r="Q126" s="1844"/>
    </row>
    <row r="127" spans="1:17" s="1742" customFormat="1" ht="15.75" thickBot="1">
      <c r="A127" s="1840"/>
      <c r="B127" s="1832"/>
      <c r="C127" s="1845"/>
      <c r="D127" s="1826"/>
      <c r="E127" s="1826"/>
      <c r="F127" s="1826"/>
      <c r="G127" s="1845"/>
      <c r="H127" s="1848"/>
      <c r="I127" s="1848"/>
      <c r="J127" s="1848"/>
      <c r="K127" s="1848"/>
      <c r="L127" s="1848"/>
      <c r="M127" s="1849"/>
      <c r="N127" s="1842"/>
      <c r="O127" s="1842"/>
      <c r="P127" s="1843"/>
      <c r="Q127" s="1844"/>
    </row>
    <row r="128" spans="1:17" ht="15" thickTop="1">
      <c r="A128" s="1874"/>
      <c r="B128" s="1829">
        <f>B45</f>
        <v>111</v>
      </c>
      <c r="C128" s="468"/>
      <c r="D128" s="468"/>
      <c r="E128" s="468"/>
      <c r="F128" s="468"/>
      <c r="G128" s="1548"/>
      <c r="H128" s="1548"/>
      <c r="I128" s="1548"/>
      <c r="J128" s="1548"/>
      <c r="K128" s="473"/>
      <c r="L128" s="473"/>
      <c r="M128" s="1864"/>
      <c r="N128" s="1822"/>
      <c r="O128" s="1822"/>
      <c r="P128" s="1823"/>
      <c r="Q128" s="1792"/>
    </row>
    <row r="129" spans="1:17" ht="15.75" thickBot="1">
      <c r="A129" s="1824"/>
      <c r="B129" s="1832"/>
      <c r="C129" s="1845"/>
      <c r="D129" s="1845"/>
      <c r="E129" s="1845"/>
      <c r="F129" s="1845"/>
      <c r="G129" s="1826"/>
      <c r="H129" s="1826"/>
      <c r="I129" s="1826"/>
      <c r="J129" s="1826"/>
      <c r="K129" s="1826"/>
      <c r="L129" s="1826"/>
      <c r="M129" s="1827"/>
      <c r="N129" s="1828"/>
      <c r="O129" s="1828"/>
      <c r="P129" s="1823"/>
      <c r="Q129" s="1792"/>
    </row>
    <row r="130" spans="1:17" ht="15" thickTop="1">
      <c r="A130" s="1874"/>
      <c r="B130" s="1835">
        <f>B46</f>
        <v>111</v>
      </c>
      <c r="C130" s="468"/>
      <c r="D130" s="468"/>
      <c r="E130" s="468"/>
      <c r="F130" s="468"/>
      <c r="G130" s="1865"/>
      <c r="H130" s="1865"/>
      <c r="I130" s="1865"/>
      <c r="J130" s="1865"/>
      <c r="K130" s="409"/>
      <c r="L130" s="409"/>
      <c r="M130" s="1866"/>
      <c r="N130" s="1822"/>
      <c r="O130" s="1822"/>
      <c r="P130" s="1823"/>
      <c r="Q130" s="1792"/>
    </row>
    <row r="131" spans="1:17" ht="15.75" thickBot="1">
      <c r="A131" s="1867"/>
      <c r="B131" s="1852"/>
      <c r="C131" s="1853"/>
      <c r="D131" s="1853"/>
      <c r="E131" s="1853"/>
      <c r="F131" s="1853"/>
      <c r="G131" s="1868"/>
      <c r="H131" s="1868"/>
      <c r="I131" s="1868"/>
      <c r="J131" s="1868"/>
      <c r="K131" s="1868"/>
      <c r="L131" s="1868"/>
      <c r="M131" s="1869"/>
      <c r="N131" s="1828"/>
      <c r="O131" s="1828"/>
      <c r="P131" s="1823"/>
      <c r="Q131" s="1792"/>
    </row>
    <row r="136" spans="1:17" ht="15" thickBot="1">
      <c r="B136" s="1543" t="s">
        <v>2277</v>
      </c>
    </row>
    <row r="137" spans="1:17" ht="15">
      <c r="B137" s="1882" t="s">
        <v>2278</v>
      </c>
      <c r="C137" s="1883"/>
      <c r="D137" s="1883"/>
      <c r="E137" s="1883"/>
      <c r="F137" s="1883"/>
      <c r="G137" s="1884"/>
      <c r="H137" s="1885"/>
      <c r="I137" s="1886" t="s">
        <v>2279</v>
      </c>
      <c r="J137" s="1883"/>
      <c r="K137" s="1887"/>
    </row>
    <row r="138" spans="1:17" ht="15">
      <c r="B138" s="1888"/>
      <c r="C138" s="1889" t="s">
        <v>2280</v>
      </c>
      <c r="D138" s="1889" t="s">
        <v>2281</v>
      </c>
      <c r="E138" s="1890" t="s">
        <v>2282</v>
      </c>
      <c r="F138" s="1891" t="s">
        <v>2283</v>
      </c>
      <c r="G138" s="1889" t="s">
        <v>2281</v>
      </c>
      <c r="H138" s="1892" t="s">
        <v>2282</v>
      </c>
      <c r="I138" s="1893"/>
      <c r="J138" s="1889" t="s">
        <v>2284</v>
      </c>
      <c r="K138" s="1892" t="s">
        <v>2285</v>
      </c>
    </row>
    <row r="139" spans="1:17" ht="15">
      <c r="B139" s="1894">
        <v>6</v>
      </c>
      <c r="C139" s="1895">
        <v>96</v>
      </c>
      <c r="D139" s="1896" t="s">
        <v>2286</v>
      </c>
      <c r="E139" s="1897">
        <v>100</v>
      </c>
      <c r="F139" s="1898">
        <v>102.5</v>
      </c>
      <c r="G139" s="1896" t="s">
        <v>2286</v>
      </c>
      <c r="H139" s="1899">
        <v>105</v>
      </c>
      <c r="I139" s="1900" t="s">
        <v>2287</v>
      </c>
      <c r="J139" s="1895">
        <v>20</v>
      </c>
      <c r="K139" s="1901">
        <f>C145/(J139-2)</f>
        <v>4.0555555555555553E-3</v>
      </c>
    </row>
    <row r="140" spans="1:17" ht="15">
      <c r="B140" s="1902">
        <v>5</v>
      </c>
      <c r="C140" s="1903">
        <v>100</v>
      </c>
      <c r="D140" s="1903"/>
      <c r="E140" s="1904"/>
      <c r="F140" s="1905">
        <v>102</v>
      </c>
      <c r="G140" s="1903"/>
      <c r="H140" s="1906"/>
      <c r="I140" s="1907" t="s">
        <v>2288</v>
      </c>
      <c r="J140" s="1908">
        <f>ROUNDUP((J139-1)/2,0)</f>
        <v>10</v>
      </c>
      <c r="K140" s="1909">
        <v>100</v>
      </c>
    </row>
    <row r="141" spans="1:17" ht="15">
      <c r="B141" s="1902">
        <v>4</v>
      </c>
      <c r="C141" s="1903">
        <v>102</v>
      </c>
      <c r="D141" s="1903"/>
      <c r="E141" s="1904"/>
      <c r="F141" s="1905">
        <v>101.5</v>
      </c>
      <c r="G141" s="1903"/>
      <c r="H141" s="1906"/>
      <c r="I141" s="1907" t="s">
        <v>2289</v>
      </c>
      <c r="J141" s="1908">
        <v>1</v>
      </c>
      <c r="K141" s="1910">
        <f>ROUND(100+(J141-J140)*K139*100,1)</f>
        <v>96.4</v>
      </c>
    </row>
    <row r="142" spans="1:17" ht="15">
      <c r="B142" s="1902">
        <v>3</v>
      </c>
      <c r="C142" s="1903">
        <v>103</v>
      </c>
      <c r="D142" s="1903"/>
      <c r="E142" s="1904"/>
      <c r="F142" s="1905">
        <v>101</v>
      </c>
      <c r="G142" s="1903"/>
      <c r="H142" s="1906"/>
      <c r="I142" s="1907" t="s">
        <v>2290</v>
      </c>
      <c r="J142" s="1908">
        <f>J139</f>
        <v>20</v>
      </c>
      <c r="K142" s="1911">
        <v>95</v>
      </c>
    </row>
    <row r="143" spans="1:17" ht="15">
      <c r="B143" s="1902">
        <v>2</v>
      </c>
      <c r="C143" s="1903">
        <v>100</v>
      </c>
      <c r="D143" s="1903"/>
      <c r="E143" s="1904"/>
      <c r="F143" s="1905">
        <v>100.5</v>
      </c>
      <c r="G143" s="1903"/>
      <c r="H143" s="1906"/>
      <c r="I143" s="1907" t="s">
        <v>2291</v>
      </c>
      <c r="J143" s="1903">
        <v>15</v>
      </c>
      <c r="K143" s="1910">
        <f>ROUND(100+(J143-J140)*K139*100,1)</f>
        <v>102</v>
      </c>
    </row>
    <row r="144" spans="1:17" ht="15">
      <c r="B144" s="1902">
        <v>1</v>
      </c>
      <c r="C144" s="1903">
        <v>98</v>
      </c>
      <c r="D144" s="1390" t="s">
        <v>2292</v>
      </c>
      <c r="E144" s="1904">
        <v>102</v>
      </c>
      <c r="F144" s="1912">
        <v>100</v>
      </c>
      <c r="G144" s="1390" t="s">
        <v>2292</v>
      </c>
      <c r="H144" s="1906">
        <v>105</v>
      </c>
      <c r="I144" s="1907" t="s">
        <v>2291</v>
      </c>
      <c r="J144" s="1903">
        <v>18</v>
      </c>
      <c r="K144" s="1910">
        <f>ROUND(100+(J144-J140)*K139*100,1)</f>
        <v>103.2</v>
      </c>
    </row>
    <row r="145" spans="2:11" ht="15.75" thickBot="1">
      <c r="B145" s="1913" t="s">
        <v>2293</v>
      </c>
      <c r="C145" s="1914">
        <f>ROUND(MAX(C139:C144)/MIN(C139:C144)-1,3)</f>
        <v>7.2999999999999995E-2</v>
      </c>
      <c r="D145" s="1915"/>
      <c r="E145" s="1915"/>
      <c r="F145" s="1544" t="s">
        <v>2294</v>
      </c>
      <c r="G145" s="1916"/>
      <c r="H145" s="1917"/>
      <c r="I145" s="1918" t="s">
        <v>2291</v>
      </c>
      <c r="J145" s="1919">
        <v>8</v>
      </c>
      <c r="K145" s="1920">
        <f>ROUND(100+(J145-J140)*K139*100,1)</f>
        <v>99.2</v>
      </c>
    </row>
    <row r="147" spans="2:11">
      <c r="B147" s="1543" t="s">
        <v>2295</v>
      </c>
    </row>
    <row r="148" spans="2:11">
      <c r="B148" s="1543" t="s">
        <v>2296</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zoomScale="60" zoomScaleNormal="70" workbookViewId="0">
      <selection activeCell="M31" sqref="M31"/>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2297</v>
      </c>
      <c r="C1" s="1609"/>
      <c r="D1" s="2440"/>
      <c r="E1" s="1611"/>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30" customFormat="1" ht="28.5" customHeight="1" thickTop="1">
      <c r="A2" s="1619" t="s">
        <v>1856</v>
      </c>
      <c r="B2" s="1620" t="e">
        <f ca="1">IF(D2="——",IF(C2="元",ROUND(C49*D3,0),ROUND(C49*D3/10000,0)),IF(C2="元",ROUND(C49*D3,0),ROUND(C49*D3/10000,0))-E2)</f>
        <v>#DIV/0!</v>
      </c>
      <c r="C2" s="1621" t="str">
        <f>'数据-取费表'!B3</f>
        <v>万元</v>
      </c>
      <c r="D2" s="1622"/>
      <c r="E2" s="2441" t="e">
        <f ca="1">SUMIF(INDIRECT("'"&amp;G2&amp;"'"&amp;"!A:A"),"承租人权益价值",INDIRECT("'"&amp;G2&amp;"'"&amp;"!c:c"))</f>
        <v>#REF!</v>
      </c>
      <c r="F2" s="1624" t="str">
        <f>C2</f>
        <v>万元</v>
      </c>
      <c r="G2" s="1625"/>
      <c r="H2" s="2982"/>
      <c r="I2" s="2982"/>
      <c r="J2" s="2982"/>
      <c r="K2" s="2982"/>
      <c r="L2" s="2984"/>
      <c r="M2" s="2982"/>
      <c r="N2" s="2982"/>
      <c r="O2" s="2982"/>
      <c r="P2" s="2442"/>
      <c r="Q2" s="1927"/>
      <c r="R2" s="1927"/>
      <c r="S2" s="1927"/>
      <c r="T2" s="1927"/>
      <c r="U2" s="1927"/>
      <c r="V2" s="1927"/>
      <c r="W2" s="1927"/>
      <c r="X2" s="1927"/>
      <c r="Y2" s="1927"/>
      <c r="Z2" s="1927"/>
      <c r="AA2" s="1927"/>
      <c r="AB2" s="1927"/>
      <c r="AC2" s="1928"/>
    </row>
    <row r="3" spans="1:29" s="1930" customFormat="1" ht="28.5" customHeight="1" thickBot="1">
      <c r="A3" s="1629" t="s">
        <v>1857</v>
      </c>
      <c r="B3" s="1933" t="e">
        <f ca="1">ROUND(IF(D2="——",C49,IF(C2="万元",B2*10000/D3,B2/D3)),0)</f>
        <v>#DIV/0!</v>
      </c>
      <c r="C3" s="1630" t="s">
        <v>2187</v>
      </c>
      <c r="D3" s="1630">
        <f>IF(C1="仅计算典型户型",'数据-取费表'!E5,'数据-取费表'!B5)</f>
        <v>240.88</v>
      </c>
      <c r="F3" s="2981"/>
      <c r="G3" s="2982"/>
      <c r="H3" s="2982"/>
      <c r="I3" s="2982"/>
      <c r="J3" s="2982"/>
      <c r="K3" s="2983"/>
      <c r="L3" s="2984"/>
      <c r="M3" s="2982"/>
      <c r="N3" s="2982"/>
      <c r="O3" s="2982"/>
      <c r="P3" s="2442"/>
      <c r="Q3" s="1927"/>
      <c r="R3" s="1927"/>
      <c r="S3" s="1927"/>
      <c r="T3" s="1927"/>
      <c r="U3" s="1927"/>
      <c r="V3" s="1927"/>
      <c r="W3" s="1927"/>
      <c r="X3" s="1927"/>
      <c r="Y3" s="1927"/>
      <c r="Z3" s="1927"/>
      <c r="AA3" s="1927"/>
      <c r="AB3" s="1927"/>
      <c r="AC3" s="1935"/>
    </row>
    <row r="4" spans="1:29" ht="15">
      <c r="A4" s="1633" t="s">
        <v>2188</v>
      </c>
      <c r="B4" s="1634"/>
      <c r="C4" s="3572" t="s">
        <v>2189</v>
      </c>
      <c r="D4" s="3573"/>
      <c r="E4" s="3574" t="s">
        <v>2190</v>
      </c>
      <c r="F4" s="3575"/>
      <c r="G4" s="3572" t="s">
        <v>2191</v>
      </c>
      <c r="H4" s="3573"/>
      <c r="I4" s="3572" t="s">
        <v>2192</v>
      </c>
      <c r="J4" s="3573"/>
      <c r="K4" s="1936" t="s">
        <v>2193</v>
      </c>
      <c r="L4" s="2967"/>
      <c r="M4" s="2968"/>
      <c r="N4" s="2968"/>
      <c r="O4" s="2968"/>
      <c r="P4" s="3576" t="s">
        <v>2194</v>
      </c>
      <c r="Q4" s="3577"/>
      <c r="R4" s="3560" t="s">
        <v>2190</v>
      </c>
      <c r="S4" s="3561"/>
      <c r="T4" s="3560" t="s">
        <v>2191</v>
      </c>
      <c r="U4" s="3561"/>
      <c r="V4" s="3582" t="s">
        <v>2192</v>
      </c>
      <c r="W4" s="3582"/>
      <c r="X4" s="2045"/>
      <c r="Y4" s="3560" t="s">
        <v>2194</v>
      </c>
      <c r="Z4" s="3561"/>
      <c r="AA4" s="3569" t="s">
        <v>2190</v>
      </c>
      <c r="AB4" s="3582" t="s">
        <v>2191</v>
      </c>
      <c r="AC4" s="3569" t="s">
        <v>2192</v>
      </c>
    </row>
    <row r="5" spans="1:29" ht="15">
      <c r="A5" s="1638"/>
      <c r="B5" s="1639"/>
      <c r="C5" s="3585" t="s">
        <v>2195</v>
      </c>
      <c r="D5" s="3586"/>
      <c r="E5" s="3630" t="s">
        <v>2196</v>
      </c>
      <c r="F5" s="3584"/>
      <c r="G5" s="3585" t="s">
        <v>2197</v>
      </c>
      <c r="H5" s="3586"/>
      <c r="I5" s="3585" t="s">
        <v>2198</v>
      </c>
      <c r="J5" s="3586"/>
      <c r="K5" s="1936"/>
      <c r="L5" s="2967"/>
      <c r="M5" s="2968"/>
      <c r="N5" s="2968"/>
      <c r="O5" s="2968"/>
      <c r="P5" s="3578"/>
      <c r="Q5" s="3579"/>
      <c r="R5" s="3562"/>
      <c r="S5" s="3563"/>
      <c r="T5" s="3562"/>
      <c r="U5" s="3563"/>
      <c r="V5" s="3582"/>
      <c r="W5" s="3582"/>
      <c r="X5" s="2045"/>
      <c r="Y5" s="3562"/>
      <c r="Z5" s="3563"/>
      <c r="AA5" s="3570"/>
      <c r="AB5" s="3582"/>
      <c r="AC5" s="3570"/>
    </row>
    <row r="6" spans="1:29" ht="15.75" thickBot="1">
      <c r="A6" s="1641"/>
      <c r="B6" s="1642"/>
      <c r="C6" s="3587" t="s">
        <v>2199</v>
      </c>
      <c r="D6" s="3588"/>
      <c r="E6" s="3590" t="s">
        <v>2199</v>
      </c>
      <c r="F6" s="3591"/>
      <c r="G6" s="3587" t="s">
        <v>2199</v>
      </c>
      <c r="H6" s="3588"/>
      <c r="I6" s="3587" t="s">
        <v>2199</v>
      </c>
      <c r="J6" s="3588"/>
      <c r="K6" s="1936" t="s">
        <v>2200</v>
      </c>
      <c r="L6" s="2967"/>
      <c r="M6" s="2968"/>
      <c r="N6" s="2968"/>
      <c r="O6" s="2968"/>
      <c r="P6" s="3580"/>
      <c r="Q6" s="3581"/>
      <c r="R6" s="3562"/>
      <c r="S6" s="3563"/>
      <c r="T6" s="3564"/>
      <c r="U6" s="3565"/>
      <c r="V6" s="3582"/>
      <c r="W6" s="3582"/>
      <c r="X6" s="2045"/>
      <c r="Y6" s="3564"/>
      <c r="Z6" s="3565"/>
      <c r="AA6" s="3571"/>
      <c r="AB6" s="3582"/>
      <c r="AC6" s="3571"/>
    </row>
    <row r="7" spans="1:29" s="1655" customFormat="1" ht="15.75" thickBot="1">
      <c r="A7" s="1643" t="s">
        <v>2201</v>
      </c>
      <c r="B7" s="1644"/>
      <c r="C7" s="1645">
        <f>'数据-取费表'!B2</f>
        <v>44645</v>
      </c>
      <c r="D7" s="1646">
        <v>100</v>
      </c>
      <c r="E7" s="1647"/>
      <c r="F7" s="1648">
        <f>SUMIF(58:58,YEAR(E7)&amp;"-"&amp;MONTH(E7),59:59)</f>
        <v>0</v>
      </c>
      <c r="G7" s="1647"/>
      <c r="H7" s="1646">
        <f>SUMIF(58:58,YEAR(G7)&amp;"-"&amp;MONTH(G7),59:59)</f>
        <v>0</v>
      </c>
      <c r="I7" s="1647"/>
      <c r="J7" s="1646">
        <f>SUMIF(58:58,YEAR(I7)&amp;"-"&amp;MONTH(I7),59:59)</f>
        <v>0</v>
      </c>
      <c r="K7" s="1938"/>
      <c r="L7" s="2967"/>
      <c r="M7" s="2940"/>
      <c r="N7" s="2940"/>
      <c r="O7" s="2940"/>
      <c r="P7" s="3558" t="s">
        <v>2202</v>
      </c>
      <c r="Q7" s="3566"/>
      <c r="R7" s="1651" t="s">
        <v>25</v>
      </c>
      <c r="S7" s="1652">
        <f t="shared" ref="S7:S15" si="0">F7</f>
        <v>0</v>
      </c>
      <c r="T7" s="1651" t="s">
        <v>25</v>
      </c>
      <c r="U7" s="1652">
        <f t="shared" ref="U7:U15" si="1">H7</f>
        <v>0</v>
      </c>
      <c r="V7" s="1651" t="s">
        <v>25</v>
      </c>
      <c r="W7" s="1652">
        <f t="shared" ref="W7:W15" si="2">J7</f>
        <v>0</v>
      </c>
      <c r="X7" s="1653"/>
      <c r="Y7" s="3558" t="s">
        <v>2202</v>
      </c>
      <c r="Z7" s="3559"/>
      <c r="AA7" s="1654" t="e">
        <f>D7/F7</f>
        <v>#DIV/0!</v>
      </c>
      <c r="AB7" s="1654" t="e">
        <f>D7/H7</f>
        <v>#DIV/0!</v>
      </c>
      <c r="AC7" s="1654" t="e">
        <f>D7/J7</f>
        <v>#DIV/0!</v>
      </c>
    </row>
    <row r="8" spans="1:29" s="1655" customFormat="1" ht="15.75" thickBot="1">
      <c r="A8" s="1643" t="s">
        <v>2203</v>
      </c>
      <c r="B8" s="1644"/>
      <c r="C8" s="1656" t="s">
        <v>2204</v>
      </c>
      <c r="D8" s="1646">
        <v>100</v>
      </c>
      <c r="E8" s="1656"/>
      <c r="F8" s="1648">
        <f>SUMIF(61:61,E8,62:62)-SUMIF(61:61,C8,62:62)+100</f>
        <v>0</v>
      </c>
      <c r="G8" s="1656"/>
      <c r="H8" s="1646">
        <f>SUMIF(61:61,G8,62:62)-SUMIF(61:61,C8,62:62)+100</f>
        <v>0</v>
      </c>
      <c r="I8" s="1656"/>
      <c r="J8" s="1646">
        <f>SUMIF(61:61,I8,62:62)-SUMIF(61:61,C8,62:62)+100</f>
        <v>0</v>
      </c>
      <c r="K8" s="1938"/>
      <c r="L8" s="2967"/>
      <c r="M8" s="2940"/>
      <c r="N8" s="2940"/>
      <c r="O8" s="2940"/>
      <c r="P8" s="3558" t="s">
        <v>2205</v>
      </c>
      <c r="Q8" s="3559"/>
      <c r="R8" s="1651" t="s">
        <v>25</v>
      </c>
      <c r="S8" s="1652">
        <f t="shared" si="0"/>
        <v>0</v>
      </c>
      <c r="T8" s="1651" t="s">
        <v>25</v>
      </c>
      <c r="U8" s="1652">
        <f t="shared" si="1"/>
        <v>0</v>
      </c>
      <c r="V8" s="1651" t="s">
        <v>25</v>
      </c>
      <c r="W8" s="1652">
        <f t="shared" si="2"/>
        <v>0</v>
      </c>
      <c r="X8" s="1653"/>
      <c r="Y8" s="3558" t="s">
        <v>2205</v>
      </c>
      <c r="Z8" s="3559"/>
      <c r="AA8" s="1654" t="e">
        <f t="shared" ref="AA8:AA46" si="3">D8/F8</f>
        <v>#DIV/0!</v>
      </c>
      <c r="AB8" s="1654" t="e">
        <f t="shared" ref="AB8:AB46" si="4">D8/H8</f>
        <v>#DIV/0!</v>
      </c>
      <c r="AC8" s="1654" t="e">
        <f t="shared" ref="AC8:AC46" si="5">D8/J8</f>
        <v>#DIV/0!</v>
      </c>
    </row>
    <row r="9" spans="1:29" s="1655" customFormat="1">
      <c r="A9" s="2037" t="s">
        <v>2206</v>
      </c>
      <c r="B9" s="1658" t="s">
        <v>2207</v>
      </c>
      <c r="C9" s="1659"/>
      <c r="D9" s="1660">
        <v>100</v>
      </c>
      <c r="E9" s="1661"/>
      <c r="F9" s="1662">
        <f>SUMIF(63:63,E9,64:64)-SUMIF(63:63,C9,64:64)+100</f>
        <v>100</v>
      </c>
      <c r="G9" s="1661"/>
      <c r="H9" s="1660">
        <f>SUMIF(63:63,G9,64:64)-SUMIF(63:63,C9,64:64)+100</f>
        <v>100</v>
      </c>
      <c r="I9" s="1661"/>
      <c r="J9" s="1660">
        <f>SUMIF(63:63,I9,64:64)-SUMIF(63:63,C9,64:64)+100</f>
        <v>100</v>
      </c>
      <c r="K9" s="1938"/>
      <c r="L9" s="2967"/>
      <c r="M9" s="2940"/>
      <c r="N9" s="2940"/>
      <c r="O9" s="2940"/>
      <c r="P9" s="3629" t="s">
        <v>2208</v>
      </c>
      <c r="Q9" s="2036" t="str">
        <f t="shared" ref="Q9:Q15" si="6">B9</f>
        <v>用途</v>
      </c>
      <c r="R9" s="1651" t="s">
        <v>25</v>
      </c>
      <c r="S9" s="1652">
        <f t="shared" si="0"/>
        <v>100</v>
      </c>
      <c r="T9" s="1651" t="s">
        <v>25</v>
      </c>
      <c r="U9" s="1652">
        <f t="shared" si="1"/>
        <v>100</v>
      </c>
      <c r="V9" s="1651" t="s">
        <v>25</v>
      </c>
      <c r="W9" s="1652">
        <f t="shared" si="2"/>
        <v>100</v>
      </c>
      <c r="X9" s="1653"/>
      <c r="Y9" s="3446"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963"/>
      <c r="L10" s="2969"/>
      <c r="M10" s="2970"/>
      <c r="N10" s="2970"/>
      <c r="O10" s="2970"/>
      <c r="P10" s="3629"/>
      <c r="Q10" s="2036" t="str">
        <f t="shared" si="6"/>
        <v>土地使用年限（年）</v>
      </c>
      <c r="R10" s="1651" t="s">
        <v>25</v>
      </c>
      <c r="S10" s="1652">
        <f t="shared" si="0"/>
        <v>100</v>
      </c>
      <c r="T10" s="1651" t="s">
        <v>25</v>
      </c>
      <c r="U10" s="1652">
        <f t="shared" si="1"/>
        <v>100</v>
      </c>
      <c r="V10" s="1651" t="s">
        <v>25</v>
      </c>
      <c r="W10" s="1652">
        <f t="shared" si="2"/>
        <v>100</v>
      </c>
      <c r="X10" s="1653"/>
      <c r="Y10" s="3446"/>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963"/>
      <c r="L11" s="2971"/>
      <c r="M11" s="2968"/>
      <c r="N11" s="2968"/>
      <c r="O11" s="2968"/>
      <c r="P11" s="3629"/>
      <c r="Q11" s="2036" t="str">
        <f t="shared" si="6"/>
        <v>容积率</v>
      </c>
      <c r="R11" s="1651" t="s">
        <v>25</v>
      </c>
      <c r="S11" s="1652" t="e">
        <f t="shared" si="0"/>
        <v>#N/A</v>
      </c>
      <c r="T11" s="1651" t="s">
        <v>25</v>
      </c>
      <c r="U11" s="1652" t="e">
        <f t="shared" si="1"/>
        <v>#N/A</v>
      </c>
      <c r="V11" s="1651" t="s">
        <v>25</v>
      </c>
      <c r="W11" s="1652" t="e">
        <f t="shared" si="2"/>
        <v>#N/A</v>
      </c>
      <c r="X11" s="1653"/>
      <c r="Y11" s="3446"/>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60"/>
      <c r="L12" s="2967"/>
      <c r="M12" s="2940"/>
      <c r="N12" s="2940"/>
      <c r="O12" s="2940"/>
      <c r="P12" s="3629"/>
      <c r="Q12" s="2036">
        <f t="shared" si="6"/>
        <v>111</v>
      </c>
      <c r="R12" s="1651" t="s">
        <v>25</v>
      </c>
      <c r="S12" s="1652">
        <f t="shared" si="0"/>
        <v>100</v>
      </c>
      <c r="T12" s="1651" t="s">
        <v>25</v>
      </c>
      <c r="U12" s="1652">
        <f t="shared" si="1"/>
        <v>100</v>
      </c>
      <c r="V12" s="1651" t="s">
        <v>25</v>
      </c>
      <c r="W12" s="1652">
        <f t="shared" si="2"/>
        <v>100</v>
      </c>
      <c r="X12" s="1653"/>
      <c r="Y12" s="3446"/>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60"/>
      <c r="L13" s="2972"/>
      <c r="M13" s="2968"/>
      <c r="N13" s="2968"/>
      <c r="O13" s="2968"/>
      <c r="P13" s="3629"/>
      <c r="Q13" s="2036">
        <f t="shared" si="6"/>
        <v>111</v>
      </c>
      <c r="R13" s="1651" t="s">
        <v>25</v>
      </c>
      <c r="S13" s="1652">
        <f t="shared" si="0"/>
        <v>100</v>
      </c>
      <c r="T13" s="1651" t="s">
        <v>25</v>
      </c>
      <c r="U13" s="1652">
        <f t="shared" si="1"/>
        <v>100</v>
      </c>
      <c r="V13" s="1651" t="s">
        <v>25</v>
      </c>
      <c r="W13" s="1652">
        <f t="shared" si="2"/>
        <v>100</v>
      </c>
      <c r="X13" s="1653"/>
      <c r="Y13" s="3446"/>
      <c r="Z13" s="1664">
        <f t="shared" si="7"/>
        <v>111</v>
      </c>
      <c r="AA13" s="1654">
        <f t="shared" si="3"/>
        <v>1</v>
      </c>
      <c r="AB13" s="1654">
        <f t="shared" si="4"/>
        <v>1</v>
      </c>
      <c r="AC13" s="1654">
        <f t="shared" si="5"/>
        <v>1</v>
      </c>
    </row>
    <row r="14" spans="1:29" ht="15.75"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60"/>
      <c r="L14" s="2972"/>
      <c r="M14" s="2968"/>
      <c r="N14" s="2968"/>
      <c r="O14" s="2968"/>
      <c r="P14" s="3629"/>
      <c r="Q14" s="2036">
        <f t="shared" si="6"/>
        <v>111</v>
      </c>
      <c r="R14" s="1651" t="s">
        <v>25</v>
      </c>
      <c r="S14" s="1652">
        <f t="shared" si="0"/>
        <v>100</v>
      </c>
      <c r="T14" s="1651" t="s">
        <v>25</v>
      </c>
      <c r="U14" s="1652">
        <f t="shared" si="1"/>
        <v>100</v>
      </c>
      <c r="V14" s="1651" t="s">
        <v>25</v>
      </c>
      <c r="W14" s="1652">
        <f t="shared" si="2"/>
        <v>100</v>
      </c>
      <c r="X14" s="1653"/>
      <c r="Y14" s="3446"/>
      <c r="Z14" s="1664">
        <f t="shared" si="7"/>
        <v>111</v>
      </c>
      <c r="AA14" s="1654">
        <f t="shared" si="3"/>
        <v>1</v>
      </c>
      <c r="AB14" s="1654">
        <f t="shared" si="4"/>
        <v>1</v>
      </c>
      <c r="AC14" s="1654">
        <f t="shared" si="5"/>
        <v>1</v>
      </c>
    </row>
    <row r="15" spans="1:29" ht="71.25">
      <c r="A15" s="1688" t="s">
        <v>2212</v>
      </c>
      <c r="B15" s="1689" t="s">
        <v>2298</v>
      </c>
      <c r="C15" s="1690">
        <f>估价对象房地状况!C4</f>
        <v>0</v>
      </c>
      <c r="D15" s="1691">
        <v>100</v>
      </c>
      <c r="E15" s="1692"/>
      <c r="F15" s="1693">
        <f>SUMIF(76:76,E16,77:77)-SUMIF(76:76,C16,77:77)+100</f>
        <v>100</v>
      </c>
      <c r="G15" s="1694"/>
      <c r="H15" s="1691">
        <f>SUMIF(76:76,G16,77:77)-SUMIF(76:76,C16,77:77)+100</f>
        <v>100</v>
      </c>
      <c r="I15" s="1692"/>
      <c r="J15" s="1691">
        <f>SUMIF(76:76,I16,77:77)-SUMIF(76:76,C16,77:77)+100</f>
        <v>100</v>
      </c>
      <c r="K15" s="2443"/>
      <c r="L15" s="2972"/>
      <c r="M15" s="2968"/>
      <c r="N15" s="2968"/>
      <c r="O15" s="2968"/>
      <c r="P15" s="3624" t="s">
        <v>2213</v>
      </c>
      <c r="Q15" s="2042" t="str">
        <f t="shared" si="6"/>
        <v>商业繁华度</v>
      </c>
      <c r="R15" s="1696" t="s">
        <v>25</v>
      </c>
      <c r="S15" s="1697">
        <f t="shared" si="0"/>
        <v>100</v>
      </c>
      <c r="T15" s="1696" t="s">
        <v>25</v>
      </c>
      <c r="U15" s="1697">
        <f t="shared" si="1"/>
        <v>100</v>
      </c>
      <c r="V15" s="1696" t="s">
        <v>25</v>
      </c>
      <c r="W15" s="1697">
        <f t="shared" si="2"/>
        <v>100</v>
      </c>
      <c r="X15" s="2045"/>
      <c r="Y15" s="3567" t="s">
        <v>2213</v>
      </c>
      <c r="Z15" s="2049" t="str">
        <f t="shared" si="7"/>
        <v>商业繁华度</v>
      </c>
      <c r="AA15" s="2040">
        <f t="shared" si="3"/>
        <v>1</v>
      </c>
      <c r="AB15" s="2040">
        <f t="shared" si="4"/>
        <v>1</v>
      </c>
      <c r="AC15" s="2040">
        <f t="shared" si="5"/>
        <v>1</v>
      </c>
    </row>
    <row r="16" spans="1:29" ht="15">
      <c r="A16" s="1673"/>
      <c r="B16" s="1700"/>
      <c r="C16" s="1701"/>
      <c r="D16" s="1702"/>
      <c r="E16" s="1701"/>
      <c r="F16" s="1704"/>
      <c r="G16" s="1701"/>
      <c r="H16" s="1706"/>
      <c r="I16" s="1701"/>
      <c r="J16" s="1702"/>
      <c r="K16" s="2444"/>
      <c r="L16" s="2972"/>
      <c r="M16" s="2968"/>
      <c r="N16" s="2968"/>
      <c r="O16" s="2968"/>
      <c r="P16" s="3625"/>
      <c r="Q16" s="2042"/>
      <c r="R16" s="1696"/>
      <c r="S16" s="1697"/>
      <c r="T16" s="1696"/>
      <c r="U16" s="1697"/>
      <c r="V16" s="1696"/>
      <c r="W16" s="1697"/>
      <c r="X16" s="2045"/>
      <c r="Y16" s="3568"/>
      <c r="Z16" s="2049"/>
      <c r="AA16" s="2040">
        <v>1</v>
      </c>
      <c r="AB16" s="2040">
        <v>1</v>
      </c>
      <c r="AC16" s="2040">
        <v>1</v>
      </c>
    </row>
    <row r="17" spans="1:29" ht="85.5">
      <c r="A17" s="1673"/>
      <c r="B17" s="1708" t="s">
        <v>1648</v>
      </c>
      <c r="C17" s="1709" t="str">
        <f>估价对象房地状况!C6</f>
        <v>较好</v>
      </c>
      <c r="D17" s="1706">
        <v>100</v>
      </c>
      <c r="E17" s="1710"/>
      <c r="F17" s="1711">
        <f>SUMIF(78:78,E18,79:79)-SUMIF(78:78,C18,79:79)+100</f>
        <v>100</v>
      </c>
      <c r="G17" s="1712"/>
      <c r="H17" s="1713">
        <f>SUMIF(78:78,G18,79:79)-SUMIF(78:78,C18,79:79)+100</f>
        <v>100</v>
      </c>
      <c r="I17" s="1710"/>
      <c r="J17" s="1713">
        <f>SUMIF(78:78,I18,79:79)-SUMIF(78:78,C18,79:79)+100</f>
        <v>100</v>
      </c>
      <c r="K17" s="2443"/>
      <c r="L17" s="2972"/>
      <c r="M17" s="2968"/>
      <c r="N17" s="2968"/>
      <c r="O17" s="2968"/>
      <c r="P17" s="3625"/>
      <c r="Q17" s="2042" t="str">
        <f>B17</f>
        <v>交通便捷度</v>
      </c>
      <c r="R17" s="1696" t="s">
        <v>25</v>
      </c>
      <c r="S17" s="1697">
        <f>F17</f>
        <v>100</v>
      </c>
      <c r="T17" s="1696" t="s">
        <v>25</v>
      </c>
      <c r="U17" s="1697">
        <f>H17</f>
        <v>100</v>
      </c>
      <c r="V17" s="1696" t="s">
        <v>25</v>
      </c>
      <c r="W17" s="1697">
        <f>J17</f>
        <v>100</v>
      </c>
      <c r="X17" s="2045"/>
      <c r="Y17" s="3568"/>
      <c r="Z17" s="2049" t="str">
        <f>Q17</f>
        <v>交通便捷度</v>
      </c>
      <c r="AA17" s="2040">
        <f t="shared" si="3"/>
        <v>1</v>
      </c>
      <c r="AB17" s="2040">
        <f t="shared" si="4"/>
        <v>1</v>
      </c>
      <c r="AC17" s="2040">
        <f t="shared" si="5"/>
        <v>1</v>
      </c>
    </row>
    <row r="18" spans="1:29" ht="15">
      <c r="A18" s="1673"/>
      <c r="B18" s="1714"/>
      <c r="C18" s="1715"/>
      <c r="D18" s="1706"/>
      <c r="E18" s="1716"/>
      <c r="F18" s="1711"/>
      <c r="G18" s="1717"/>
      <c r="H18" s="1702"/>
      <c r="I18" s="1716"/>
      <c r="J18" s="1702"/>
      <c r="K18" s="2444"/>
      <c r="L18" s="2972"/>
      <c r="M18" s="2968"/>
      <c r="N18" s="2968"/>
      <c r="O18" s="2968"/>
      <c r="P18" s="3625"/>
      <c r="Q18" s="2042"/>
      <c r="R18" s="1696"/>
      <c r="S18" s="1697"/>
      <c r="T18" s="1696"/>
      <c r="U18" s="1697"/>
      <c r="V18" s="1696"/>
      <c r="W18" s="1697"/>
      <c r="X18" s="2045"/>
      <c r="Y18" s="3568"/>
      <c r="Z18" s="2049"/>
      <c r="AA18" s="2040">
        <v>1</v>
      </c>
      <c r="AB18" s="2040">
        <v>1</v>
      </c>
      <c r="AC18" s="2040">
        <v>1</v>
      </c>
    </row>
    <row r="19" spans="1:29" ht="42.75">
      <c r="A19" s="1673"/>
      <c r="B19" s="1708" t="s">
        <v>2299</v>
      </c>
      <c r="C19" s="1709" t="str">
        <f>估价对象房地状况!C7</f>
        <v>较好</v>
      </c>
      <c r="D19" s="1713">
        <v>100</v>
      </c>
      <c r="E19" s="1718"/>
      <c r="F19" s="1719">
        <f>SUMIF(80:80,E20,81:81)-SUMIF(80:80,C20,81:81)+100</f>
        <v>100</v>
      </c>
      <c r="G19" s="1720"/>
      <c r="H19" s="1706">
        <f>SUMIF(80:80,G20,81:81)-SUMIF(80:80,C20,81:81)+100</f>
        <v>100</v>
      </c>
      <c r="I19" s="1718"/>
      <c r="J19" s="1706">
        <f>SUMIF(80:80,I20,81:81)-SUMIF(80:80,C20,81:81)+100</f>
        <v>100</v>
      </c>
      <c r="K19" s="2443"/>
      <c r="L19" s="2972"/>
      <c r="M19" s="2968"/>
      <c r="N19" s="2968"/>
      <c r="O19" s="2968"/>
      <c r="P19" s="3625"/>
      <c r="Q19" s="2042" t="str">
        <f>B19</f>
        <v>公共配套设施</v>
      </c>
      <c r="R19" s="1696" t="s">
        <v>25</v>
      </c>
      <c r="S19" s="1697">
        <f>F19</f>
        <v>100</v>
      </c>
      <c r="T19" s="1696" t="s">
        <v>25</v>
      </c>
      <c r="U19" s="1697">
        <f>H19</f>
        <v>100</v>
      </c>
      <c r="V19" s="1696" t="s">
        <v>25</v>
      </c>
      <c r="W19" s="1697">
        <f>J19</f>
        <v>100</v>
      </c>
      <c r="X19" s="2045"/>
      <c r="Y19" s="3568"/>
      <c r="Z19" s="2049" t="str">
        <f>Q19</f>
        <v>公共配套设施</v>
      </c>
      <c r="AA19" s="2040">
        <f t="shared" si="3"/>
        <v>1</v>
      </c>
      <c r="AB19" s="2040">
        <f t="shared" si="4"/>
        <v>1</v>
      </c>
      <c r="AC19" s="2040">
        <f t="shared" si="5"/>
        <v>1</v>
      </c>
    </row>
    <row r="20" spans="1:29" ht="15">
      <c r="A20" s="1673"/>
      <c r="B20" s="1714"/>
      <c r="C20" s="1701"/>
      <c r="D20" s="1702"/>
      <c r="E20" s="1703"/>
      <c r="F20" s="1704"/>
      <c r="G20" s="1705"/>
      <c r="H20" s="1702"/>
      <c r="I20" s="1703"/>
      <c r="J20" s="1702"/>
      <c r="K20" s="2444"/>
      <c r="L20" s="2972"/>
      <c r="M20" s="2968"/>
      <c r="N20" s="2968"/>
      <c r="O20" s="2968"/>
      <c r="P20" s="3625"/>
      <c r="Q20" s="2042"/>
      <c r="R20" s="1696"/>
      <c r="S20" s="1697"/>
      <c r="T20" s="1696"/>
      <c r="U20" s="1697"/>
      <c r="V20" s="1696"/>
      <c r="W20" s="1697"/>
      <c r="X20" s="2045"/>
      <c r="Y20" s="3568"/>
      <c r="Z20" s="2049"/>
      <c r="AA20" s="2040">
        <v>1</v>
      </c>
      <c r="AB20" s="2040">
        <v>1</v>
      </c>
      <c r="AC20" s="2040">
        <v>1</v>
      </c>
    </row>
    <row r="21" spans="1:29" ht="28.5">
      <c r="A21" s="1673"/>
      <c r="B21" s="1721" t="s">
        <v>2300</v>
      </c>
      <c r="C21" s="1709" t="str">
        <f>估价对象房地状况!C8</f>
        <v>七通</v>
      </c>
      <c r="D21" s="1713">
        <v>100</v>
      </c>
      <c r="E21" s="1718"/>
      <c r="F21" s="1719">
        <f>SUMIF(82:82,E22,83:83)-SUMIF(82:82,C22,83:83)+100</f>
        <v>100</v>
      </c>
      <c r="G21" s="1720"/>
      <c r="H21" s="1706">
        <f>SUMIF(82:82,G22,83:83)-SUMIF(82:82,C22,83:83)+100</f>
        <v>100</v>
      </c>
      <c r="I21" s="1718"/>
      <c r="J21" s="1706">
        <f>SUMIF(82:82,I22,83:83)-SUMIF(82:82,C22,83:83)+100</f>
        <v>100</v>
      </c>
      <c r="K21" s="2443"/>
      <c r="L21" s="2972"/>
      <c r="M21" s="2968"/>
      <c r="N21" s="2968"/>
      <c r="O21" s="2968"/>
      <c r="P21" s="3625"/>
      <c r="Q21" s="2042" t="str">
        <f>B21</f>
        <v>基础设施水平</v>
      </c>
      <c r="R21" s="1696" t="s">
        <v>25</v>
      </c>
      <c r="S21" s="1697">
        <f>F21</f>
        <v>100</v>
      </c>
      <c r="T21" s="1696" t="s">
        <v>25</v>
      </c>
      <c r="U21" s="1697">
        <f>H21</f>
        <v>100</v>
      </c>
      <c r="V21" s="1696" t="s">
        <v>25</v>
      </c>
      <c r="W21" s="1697">
        <f>J21</f>
        <v>100</v>
      </c>
      <c r="X21" s="2045"/>
      <c r="Y21" s="3568"/>
      <c r="Z21" s="2049" t="str">
        <f>Q21</f>
        <v>基础设施水平</v>
      </c>
      <c r="AA21" s="2040">
        <f t="shared" ref="AA21" si="8">D21/F21</f>
        <v>1</v>
      </c>
      <c r="AB21" s="2040">
        <f t="shared" ref="AB21" si="9">D21/H21</f>
        <v>1</v>
      </c>
      <c r="AC21" s="2040">
        <f t="shared" ref="AC21" si="10">D21/J21</f>
        <v>1</v>
      </c>
    </row>
    <row r="22" spans="1:29" ht="15">
      <c r="A22" s="1673"/>
      <c r="B22" s="1721"/>
      <c r="C22" s="1715"/>
      <c r="D22" s="1702"/>
      <c r="E22" s="1701"/>
      <c r="F22" s="1704"/>
      <c r="G22" s="1701"/>
      <c r="H22" s="1702"/>
      <c r="I22" s="1701"/>
      <c r="J22" s="1702"/>
      <c r="K22" s="2445"/>
      <c r="L22" s="2972"/>
      <c r="M22" s="2968"/>
      <c r="N22" s="2968"/>
      <c r="O22" s="2968"/>
      <c r="P22" s="3625"/>
      <c r="Q22" s="2042"/>
      <c r="R22" s="1696"/>
      <c r="S22" s="1697"/>
      <c r="T22" s="1696"/>
      <c r="U22" s="1697"/>
      <c r="V22" s="1696"/>
      <c r="W22" s="1697"/>
      <c r="X22" s="2045"/>
      <c r="Y22" s="3568"/>
      <c r="Z22" s="2049"/>
      <c r="AA22" s="2040">
        <v>1</v>
      </c>
      <c r="AB22" s="2040">
        <v>1</v>
      </c>
      <c r="AC22" s="2040">
        <v>1</v>
      </c>
    </row>
    <row r="23" spans="1:29" ht="57">
      <c r="A23" s="1673"/>
      <c r="B23" s="1708" t="s">
        <v>1650</v>
      </c>
      <c r="C23" s="2446" t="str">
        <f>估价对象房地状况!C9</f>
        <v>较好</v>
      </c>
      <c r="D23" s="1706">
        <v>100</v>
      </c>
      <c r="E23" s="1710"/>
      <c r="F23" s="1711">
        <f>SUMIF(84:84,E24,85:85)-SUMIF(84:84,C24,85:85)+100</f>
        <v>100</v>
      </c>
      <c r="G23" s="1712"/>
      <c r="H23" s="1706">
        <f>SUMIF(84:84,G24,85:85)-SUMIF(84:84,C24,85:85)+100</f>
        <v>100</v>
      </c>
      <c r="I23" s="1710"/>
      <c r="J23" s="1706">
        <f>SUMIF(84:84,I24,85:85)-SUMIF(84:84,C24,85:85)+100</f>
        <v>100</v>
      </c>
      <c r="K23" s="2443"/>
      <c r="L23" s="2972"/>
      <c r="M23" s="2968"/>
      <c r="N23" s="2968"/>
      <c r="O23" s="2968"/>
      <c r="P23" s="3625"/>
      <c r="Q23" s="2042" t="str">
        <f>B23</f>
        <v>自然及人文环境</v>
      </c>
      <c r="R23" s="1696" t="s">
        <v>25</v>
      </c>
      <c r="S23" s="1697">
        <f>F23</f>
        <v>100</v>
      </c>
      <c r="T23" s="1696" t="s">
        <v>25</v>
      </c>
      <c r="U23" s="1697">
        <f>H23</f>
        <v>100</v>
      </c>
      <c r="V23" s="1696" t="s">
        <v>25</v>
      </c>
      <c r="W23" s="1697">
        <f>J23</f>
        <v>100</v>
      </c>
      <c r="X23" s="2045"/>
      <c r="Y23" s="3568"/>
      <c r="Z23" s="2049" t="str">
        <f>Q23</f>
        <v>自然及人文环境</v>
      </c>
      <c r="AA23" s="2040">
        <f t="shared" si="3"/>
        <v>1</v>
      </c>
      <c r="AB23" s="2040">
        <f t="shared" si="4"/>
        <v>1</v>
      </c>
      <c r="AC23" s="2040">
        <f t="shared" si="5"/>
        <v>1</v>
      </c>
    </row>
    <row r="24" spans="1:29" ht="15">
      <c r="A24" s="1673"/>
      <c r="B24" s="1714"/>
      <c r="C24" s="1701"/>
      <c r="D24" s="1702"/>
      <c r="E24" s="1703"/>
      <c r="F24" s="1704"/>
      <c r="G24" s="1705"/>
      <c r="H24" s="1702"/>
      <c r="I24" s="1703"/>
      <c r="J24" s="1702"/>
      <c r="K24" s="2444"/>
      <c r="L24" s="2972"/>
      <c r="M24" s="2968"/>
      <c r="N24" s="2968"/>
      <c r="O24" s="2968"/>
      <c r="P24" s="3625"/>
      <c r="Q24" s="2042"/>
      <c r="R24" s="1696"/>
      <c r="S24" s="1697"/>
      <c r="T24" s="1696"/>
      <c r="U24" s="1697"/>
      <c r="V24" s="1696"/>
      <c r="W24" s="1697"/>
      <c r="X24" s="2045"/>
      <c r="Y24" s="3568"/>
      <c r="Z24" s="2049"/>
      <c r="AA24" s="2040">
        <v>1</v>
      </c>
      <c r="AB24" s="2040">
        <v>1</v>
      </c>
      <c r="AC24" s="2040">
        <v>1</v>
      </c>
    </row>
    <row r="25" spans="1:29" ht="15">
      <c r="A25" s="1673"/>
      <c r="B25" s="1666" t="s">
        <v>2301</v>
      </c>
      <c r="C25" s="1962"/>
      <c r="D25" s="1682">
        <v>100</v>
      </c>
      <c r="E25" s="1962"/>
      <c r="F25" s="1725">
        <f>SUMIF(86:86,E25,87:87)-SUMIF(86:86,C25,87:87)+100</f>
        <v>100</v>
      </c>
      <c r="G25" s="1962"/>
      <c r="H25" s="1682">
        <f>SUMIF(86:86,G25,87:87)-SUMIF(86:86,C25,87:87)+100</f>
        <v>100</v>
      </c>
      <c r="I25" s="1962"/>
      <c r="J25" s="1682">
        <f>SUMIF(86:86,I25,87:87)-SUMIF(86:86,C25,87:87)+100</f>
        <v>100</v>
      </c>
      <c r="K25" s="1963"/>
      <c r="L25" s="2972"/>
      <c r="M25" s="2968"/>
      <c r="N25" s="2968"/>
      <c r="O25" s="2968"/>
      <c r="P25" s="3625"/>
      <c r="Q25" s="2042" t="str">
        <f t="shared" ref="Q25:Q46" si="11">B25</f>
        <v>临街状况</v>
      </c>
      <c r="R25" s="1696" t="s">
        <v>25</v>
      </c>
      <c r="S25" s="1697">
        <f>F25</f>
        <v>100</v>
      </c>
      <c r="T25" s="1696" t="s">
        <v>25</v>
      </c>
      <c r="U25" s="1697">
        <f>H25</f>
        <v>100</v>
      </c>
      <c r="V25" s="1696" t="s">
        <v>25</v>
      </c>
      <c r="W25" s="1697">
        <f>J25</f>
        <v>100</v>
      </c>
      <c r="X25" s="2045"/>
      <c r="Y25" s="3568"/>
      <c r="Z25" s="2049" t="str">
        <f>Q25</f>
        <v>临街状况</v>
      </c>
      <c r="AA25" s="2040">
        <f t="shared" si="3"/>
        <v>1</v>
      </c>
      <c r="AB25" s="2040">
        <f t="shared" si="4"/>
        <v>1</v>
      </c>
      <c r="AC25" s="2040">
        <f t="shared" si="5"/>
        <v>1</v>
      </c>
    </row>
    <row r="26" spans="1:29" ht="15">
      <c r="A26" s="1673"/>
      <c r="B26" s="1731" t="s">
        <v>2302</v>
      </c>
      <c r="C26" s="1681"/>
      <c r="D26" s="1682">
        <v>100</v>
      </c>
      <c r="E26" s="1681"/>
      <c r="F26" s="1725">
        <f>SUMIF(88:88,E26,89:89)-SUMIF(88:88,C26,89:89)+100</f>
        <v>100</v>
      </c>
      <c r="G26" s="1681"/>
      <c r="H26" s="1682">
        <f>SUMIF(88:88,G26,89:89)-SUMIF(88:88,C26,89:89)+100</f>
        <v>100</v>
      </c>
      <c r="I26" s="1681"/>
      <c r="J26" s="1682">
        <f>SUMIF(88:88,I26,89:89)-SUMIF(88:88,C26,89:89)+100</f>
        <v>100</v>
      </c>
      <c r="K26" s="1960"/>
      <c r="L26" s="2972"/>
      <c r="M26" s="2968"/>
      <c r="N26" s="2968"/>
      <c r="O26" s="2968"/>
      <c r="P26" s="3625"/>
      <c r="Q26" s="2042" t="str">
        <f t="shared" si="11"/>
        <v>平面位置/可视性</v>
      </c>
      <c r="R26" s="1696" t="s">
        <v>25</v>
      </c>
      <c r="S26" s="1697">
        <f>F26</f>
        <v>100</v>
      </c>
      <c r="T26" s="1696" t="s">
        <v>25</v>
      </c>
      <c r="U26" s="1697">
        <f>H26</f>
        <v>100</v>
      </c>
      <c r="V26" s="1696" t="s">
        <v>25</v>
      </c>
      <c r="W26" s="1697">
        <f>J26</f>
        <v>100</v>
      </c>
      <c r="X26" s="2045"/>
      <c r="Y26" s="3568"/>
      <c r="Z26" s="2049" t="str">
        <f>Q26</f>
        <v>平面位置/可视性</v>
      </c>
      <c r="AA26" s="2040">
        <f t="shared" si="3"/>
        <v>1</v>
      </c>
      <c r="AB26" s="2040">
        <f t="shared" si="4"/>
        <v>1</v>
      </c>
      <c r="AC26" s="2040">
        <f t="shared" si="5"/>
        <v>1</v>
      </c>
    </row>
    <row r="27" spans="1:29" s="1655" customFormat="1" ht="15">
      <c r="A27" s="1676"/>
      <c r="B27" s="1708" t="s">
        <v>2303</v>
      </c>
      <c r="C27" s="2447"/>
      <c r="D27" s="1727">
        <v>100</v>
      </c>
      <c r="E27" s="2447"/>
      <c r="F27" s="1729">
        <f>SUMIF(90:90,E27,91:91)-SUMIF(90:90,C27,91:91)+100</f>
        <v>100</v>
      </c>
      <c r="G27" s="2447"/>
      <c r="H27" s="1727">
        <f>SUMIF(90:90,G27,91:91)-SUMIF(90:90,C27,91:91)+100</f>
        <v>100</v>
      </c>
      <c r="I27" s="2447"/>
      <c r="J27" s="1727">
        <f>SUMIF(90:90,I27,91:91)-SUMIF(90:90,C27,91:91)+100</f>
        <v>100</v>
      </c>
      <c r="K27" s="1963"/>
      <c r="L27" s="2967"/>
      <c r="M27" s="2940"/>
      <c r="N27" s="2940"/>
      <c r="O27" s="2940"/>
      <c r="P27" s="3625"/>
      <c r="Q27" s="2036" t="str">
        <f t="shared" si="11"/>
        <v>人流量</v>
      </c>
      <c r="R27" s="1651" t="s">
        <v>25</v>
      </c>
      <c r="S27" s="1652">
        <f>F27</f>
        <v>100</v>
      </c>
      <c r="T27" s="1651" t="s">
        <v>25</v>
      </c>
      <c r="U27" s="1652">
        <f>H27</f>
        <v>100</v>
      </c>
      <c r="V27" s="1651" t="s">
        <v>25</v>
      </c>
      <c r="W27" s="1652">
        <f>J27</f>
        <v>100</v>
      </c>
      <c r="X27" s="1653"/>
      <c r="Y27" s="3568"/>
      <c r="Z27" s="1664" t="str">
        <f>Q27</f>
        <v>人流量</v>
      </c>
      <c r="AA27" s="2040">
        <f>D27/F27</f>
        <v>1</v>
      </c>
      <c r="AB27" s="2040">
        <f>D27/H27</f>
        <v>1</v>
      </c>
      <c r="AC27" s="2040">
        <f>D27/J27</f>
        <v>1</v>
      </c>
    </row>
    <row r="28" spans="1:29" ht="15">
      <c r="A28" s="1673"/>
      <c r="B28" s="1666" t="s">
        <v>2304</v>
      </c>
      <c r="C28" s="1962"/>
      <c r="D28" s="1682">
        <v>100</v>
      </c>
      <c r="E28" s="1962"/>
      <c r="F28" s="1725">
        <f>SUMIF(92:92,E28,93:93)-SUMIF(92:92,C28,93:93)+100</f>
        <v>100</v>
      </c>
      <c r="G28" s="1962"/>
      <c r="H28" s="1682">
        <f>SUMIF(92:92,G28,93:93)-SUMIF(92:92,C28,93:93)+100</f>
        <v>100</v>
      </c>
      <c r="I28" s="1962"/>
      <c r="J28" s="1682">
        <f>SUMIF(92:92,I28,93:93)-SUMIF(92:92,C28,93:93)+100</f>
        <v>100</v>
      </c>
      <c r="K28" s="1960"/>
      <c r="L28" s="2972"/>
      <c r="M28" s="2968"/>
      <c r="N28" s="2968"/>
      <c r="O28" s="2968"/>
      <c r="P28" s="3625"/>
      <c r="Q28" s="2042" t="str">
        <f t="shared" si="11"/>
        <v>楼层</v>
      </c>
      <c r="R28" s="1696" t="s">
        <v>25</v>
      </c>
      <c r="S28" s="1697">
        <f t="shared" ref="S28:S46" si="12">F28</f>
        <v>100</v>
      </c>
      <c r="T28" s="1696" t="s">
        <v>25</v>
      </c>
      <c r="U28" s="1697">
        <f t="shared" ref="U28:U46" si="13">H28</f>
        <v>100</v>
      </c>
      <c r="V28" s="1696" t="s">
        <v>25</v>
      </c>
      <c r="W28" s="1697">
        <f t="shared" ref="W28:W46" si="14">J28</f>
        <v>100</v>
      </c>
      <c r="X28" s="2045"/>
      <c r="Y28" s="3568"/>
      <c r="Z28" s="2049" t="str">
        <f t="shared" ref="Z28:Z46" si="15">Q28</f>
        <v>楼层</v>
      </c>
      <c r="AA28" s="2040">
        <f t="shared" si="3"/>
        <v>1</v>
      </c>
      <c r="AB28" s="2040">
        <f t="shared" si="4"/>
        <v>1</v>
      </c>
      <c r="AC28" s="2040">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60"/>
      <c r="L29" s="2972"/>
      <c r="M29" s="2968"/>
      <c r="N29" s="2968"/>
      <c r="O29" s="2968"/>
      <c r="P29" s="3625"/>
      <c r="Q29" s="2042">
        <f t="shared" si="11"/>
        <v>111</v>
      </c>
      <c r="R29" s="1696" t="s">
        <v>25</v>
      </c>
      <c r="S29" s="1697">
        <f t="shared" si="12"/>
        <v>100</v>
      </c>
      <c r="T29" s="1696" t="s">
        <v>25</v>
      </c>
      <c r="U29" s="1697">
        <f t="shared" si="13"/>
        <v>100</v>
      </c>
      <c r="V29" s="1696" t="s">
        <v>25</v>
      </c>
      <c r="W29" s="1697">
        <f t="shared" si="14"/>
        <v>100</v>
      </c>
      <c r="X29" s="2045"/>
      <c r="Y29" s="3568"/>
      <c r="Z29" s="2049">
        <f t="shared" si="15"/>
        <v>111</v>
      </c>
      <c r="AA29" s="2040">
        <f t="shared" si="3"/>
        <v>1</v>
      </c>
      <c r="AB29" s="2040">
        <f t="shared" si="4"/>
        <v>1</v>
      </c>
      <c r="AC29" s="2040">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60"/>
      <c r="L30" s="2972"/>
      <c r="M30" s="2968"/>
      <c r="N30" s="2968"/>
      <c r="O30" s="2968"/>
      <c r="P30" s="3625"/>
      <c r="Q30" s="2042">
        <f t="shared" si="11"/>
        <v>111</v>
      </c>
      <c r="R30" s="1696" t="s">
        <v>25</v>
      </c>
      <c r="S30" s="1697">
        <f t="shared" si="12"/>
        <v>100</v>
      </c>
      <c r="T30" s="1696" t="s">
        <v>25</v>
      </c>
      <c r="U30" s="1697">
        <f t="shared" si="13"/>
        <v>100</v>
      </c>
      <c r="V30" s="1696" t="s">
        <v>25</v>
      </c>
      <c r="W30" s="1697">
        <f t="shared" si="14"/>
        <v>100</v>
      </c>
      <c r="X30" s="2045"/>
      <c r="Y30" s="3568"/>
      <c r="Z30" s="2049">
        <f t="shared" si="15"/>
        <v>111</v>
      </c>
      <c r="AA30" s="2040">
        <f t="shared" si="3"/>
        <v>1</v>
      </c>
      <c r="AB30" s="2040">
        <f t="shared" si="4"/>
        <v>1</v>
      </c>
      <c r="AC30" s="2040">
        <f t="shared" si="5"/>
        <v>1</v>
      </c>
    </row>
    <row r="31" spans="1:29" ht="15.75"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60"/>
      <c r="L31" s="2972"/>
      <c r="M31" s="2968"/>
      <c r="N31" s="2968"/>
      <c r="O31" s="2968"/>
      <c r="P31" s="3625"/>
      <c r="Q31" s="2042">
        <f t="shared" si="11"/>
        <v>111</v>
      </c>
      <c r="R31" s="1696" t="s">
        <v>25</v>
      </c>
      <c r="S31" s="1697">
        <f t="shared" si="12"/>
        <v>100</v>
      </c>
      <c r="T31" s="1696" t="s">
        <v>25</v>
      </c>
      <c r="U31" s="1697">
        <f t="shared" si="13"/>
        <v>100</v>
      </c>
      <c r="V31" s="1696" t="s">
        <v>25</v>
      </c>
      <c r="W31" s="1697">
        <f t="shared" si="14"/>
        <v>100</v>
      </c>
      <c r="X31" s="2045"/>
      <c r="Y31" s="3568"/>
      <c r="Z31" s="2049">
        <f t="shared" si="15"/>
        <v>111</v>
      </c>
      <c r="AA31" s="2040">
        <f t="shared" si="3"/>
        <v>1</v>
      </c>
      <c r="AB31" s="2040">
        <f t="shared" si="4"/>
        <v>1</v>
      </c>
      <c r="AC31" s="2040">
        <f t="shared" si="5"/>
        <v>1</v>
      </c>
    </row>
    <row r="32" spans="1:29" ht="15">
      <c r="A32" s="1688" t="s">
        <v>2217</v>
      </c>
      <c r="B32" s="1658" t="s">
        <v>2305</v>
      </c>
      <c r="C32" s="1732"/>
      <c r="D32" s="1733">
        <v>100</v>
      </c>
      <c r="E32" s="1732"/>
      <c r="F32" s="1725">
        <f>SUMIF(100:100,E32,101:101)-SUMIF(100:100,C32,101:101)+100</f>
        <v>100</v>
      </c>
      <c r="G32" s="1732"/>
      <c r="H32" s="1682">
        <f>SUMIF(100:100,G32,101:101)-SUMIF(100:100,C32,101:101)+100</f>
        <v>100</v>
      </c>
      <c r="I32" s="1732"/>
      <c r="J32" s="1733">
        <f>SUMIF(100:100,I32,101:101)-SUMIF(100:100,C32,101:101)+100</f>
        <v>100</v>
      </c>
      <c r="K32" s="1963"/>
      <c r="L32" s="2972"/>
      <c r="M32" s="2968"/>
      <c r="N32" s="2968"/>
      <c r="O32" s="2968"/>
      <c r="P32" s="3626" t="s">
        <v>2219</v>
      </c>
      <c r="Q32" s="2042" t="str">
        <f t="shared" si="11"/>
        <v>商业类型</v>
      </c>
      <c r="R32" s="1696" t="s">
        <v>25</v>
      </c>
      <c r="S32" s="1697">
        <f t="shared" si="12"/>
        <v>100</v>
      </c>
      <c r="T32" s="1696" t="s">
        <v>25</v>
      </c>
      <c r="U32" s="1697">
        <f t="shared" si="13"/>
        <v>100</v>
      </c>
      <c r="V32" s="1696" t="s">
        <v>25</v>
      </c>
      <c r="W32" s="1697">
        <f t="shared" si="14"/>
        <v>100</v>
      </c>
      <c r="X32" s="2045"/>
      <c r="Y32" s="3556" t="s">
        <v>2219</v>
      </c>
      <c r="Z32" s="2049" t="str">
        <f t="shared" si="15"/>
        <v>商业类型</v>
      </c>
      <c r="AA32" s="2040">
        <f t="shared" si="3"/>
        <v>1</v>
      </c>
      <c r="AB32" s="2040">
        <f t="shared" si="4"/>
        <v>1</v>
      </c>
      <c r="AC32" s="2040">
        <f t="shared" si="5"/>
        <v>1</v>
      </c>
    </row>
    <row r="33" spans="1:29" s="1742" customFormat="1" ht="15">
      <c r="A33" s="1735"/>
      <c r="B33" s="1666" t="s">
        <v>2220</v>
      </c>
      <c r="C33" s="1736"/>
      <c r="D33" s="1668">
        <v>100</v>
      </c>
      <c r="E33" s="1675"/>
      <c r="F33" s="1670" t="e">
        <f>LOOKUP(E33,103:103,104:104)-LOOKUP(C33,103:103,104:104)+100</f>
        <v>#N/A</v>
      </c>
      <c r="G33" s="1674"/>
      <c r="H33" s="1668" t="e">
        <f>LOOKUP(G33,103:103,104:104)-LOOKUP(C33,103:103,104:104)+100</f>
        <v>#N/A</v>
      </c>
      <c r="I33" s="1674"/>
      <c r="J33" s="1668" t="e">
        <f>LOOKUP(I33,103:103,104:104)-LOOKUP(C33,103:103,104:104)+100</f>
        <v>#N/A</v>
      </c>
      <c r="K33" s="1960"/>
      <c r="L33" s="2971"/>
      <c r="M33" s="2030"/>
      <c r="N33" s="2030"/>
      <c r="O33" s="2030"/>
      <c r="P33" s="3627"/>
      <c r="Q33" s="1737" t="str">
        <f t="shared" si="11"/>
        <v>项目建筑规模</v>
      </c>
      <c r="R33" s="1738" t="s">
        <v>25</v>
      </c>
      <c r="S33" s="1739" t="e">
        <f t="shared" si="12"/>
        <v>#N/A</v>
      </c>
      <c r="T33" s="1738" t="s">
        <v>25</v>
      </c>
      <c r="U33" s="1739" t="e">
        <f t="shared" si="13"/>
        <v>#N/A</v>
      </c>
      <c r="V33" s="1738" t="s">
        <v>25</v>
      </c>
      <c r="W33" s="1739" t="e">
        <f t="shared" si="14"/>
        <v>#N/A</v>
      </c>
      <c r="X33" s="1740"/>
      <c r="Y33" s="3556"/>
      <c r="Z33" s="1741" t="str">
        <f t="shared" si="15"/>
        <v>项目建筑规模</v>
      </c>
      <c r="AA33" s="2040" t="e">
        <f t="shared" si="3"/>
        <v>#N/A</v>
      </c>
      <c r="AB33" s="2040" t="e">
        <f t="shared" si="4"/>
        <v>#N/A</v>
      </c>
      <c r="AC33" s="2040" t="e">
        <f t="shared" si="5"/>
        <v>#N/A</v>
      </c>
    </row>
    <row r="34" spans="1:29" ht="15">
      <c r="A34" s="1743"/>
      <c r="B34" s="1666" t="s">
        <v>2221</v>
      </c>
      <c r="C34" s="1744"/>
      <c r="D34" s="1682">
        <v>100</v>
      </c>
      <c r="E34" s="1745"/>
      <c r="F34" s="1725">
        <f>SUMIF(105:105,E34,106:106)-SUMIF(105:105,C34,106:106)+100</f>
        <v>100</v>
      </c>
      <c r="G34" s="1744"/>
      <c r="H34" s="1682">
        <f>SUMIF(105:105,G34,106:106)-SUMIF(105:105,C34,106:106)+100</f>
        <v>100</v>
      </c>
      <c r="I34" s="1744"/>
      <c r="J34" s="1682">
        <f>SUMIF(105:105,I34,106:106)-SUMIF(105:105,C34,106:106)+100</f>
        <v>100</v>
      </c>
      <c r="K34" s="1963"/>
      <c r="L34" s="2972"/>
      <c r="M34" s="2968"/>
      <c r="N34" s="2968"/>
      <c r="O34" s="2968"/>
      <c r="P34" s="3627"/>
      <c r="Q34" s="2042" t="str">
        <f t="shared" si="11"/>
        <v>建筑结构</v>
      </c>
      <c r="R34" s="1696" t="s">
        <v>25</v>
      </c>
      <c r="S34" s="1697">
        <f t="shared" si="12"/>
        <v>100</v>
      </c>
      <c r="T34" s="1696" t="s">
        <v>25</v>
      </c>
      <c r="U34" s="1697">
        <f t="shared" si="13"/>
        <v>100</v>
      </c>
      <c r="V34" s="1696" t="s">
        <v>25</v>
      </c>
      <c r="W34" s="1697">
        <f t="shared" si="14"/>
        <v>100</v>
      </c>
      <c r="X34" s="2045"/>
      <c r="Y34" s="3556"/>
      <c r="Z34" s="2049" t="str">
        <f t="shared" si="15"/>
        <v>建筑结构</v>
      </c>
      <c r="AA34" s="2040">
        <f t="shared" si="3"/>
        <v>1</v>
      </c>
      <c r="AB34" s="2040">
        <f t="shared" si="4"/>
        <v>1</v>
      </c>
      <c r="AC34" s="2040">
        <f t="shared" si="5"/>
        <v>1</v>
      </c>
    </row>
    <row r="35" spans="1:29" ht="15">
      <c r="A35" s="1743"/>
      <c r="B35" s="1666" t="s">
        <v>2306</v>
      </c>
      <c r="C35" s="1726"/>
      <c r="D35" s="1682">
        <v>100</v>
      </c>
      <c r="E35" s="1726"/>
      <c r="F35" s="1725">
        <f>SUMIF(107:107,E35,108:108)-SUMIF(107:107,C35,108:108)+100</f>
        <v>100</v>
      </c>
      <c r="G35" s="1726"/>
      <c r="H35" s="1682">
        <f>SUMIF(107:107,G35,108:108)-SUMIF(107:107,C35,108:108)+100</f>
        <v>100</v>
      </c>
      <c r="I35" s="1726"/>
      <c r="J35" s="1682">
        <f>SUMIF(107:107,I35,108:108)-SUMIF(107:107,C35,108:108)+100</f>
        <v>100</v>
      </c>
      <c r="K35" s="1963"/>
      <c r="L35" s="2972"/>
      <c r="M35" s="2968"/>
      <c r="N35" s="2968"/>
      <c r="O35" s="2968"/>
      <c r="P35" s="3627"/>
      <c r="Q35" s="2042" t="str">
        <f t="shared" si="11"/>
        <v>公共部分装修</v>
      </c>
      <c r="R35" s="1696" t="s">
        <v>25</v>
      </c>
      <c r="S35" s="1697">
        <f t="shared" si="12"/>
        <v>100</v>
      </c>
      <c r="T35" s="1696" t="s">
        <v>25</v>
      </c>
      <c r="U35" s="1697">
        <f t="shared" si="13"/>
        <v>100</v>
      </c>
      <c r="V35" s="1696" t="s">
        <v>25</v>
      </c>
      <c r="W35" s="1697">
        <f t="shared" si="14"/>
        <v>100</v>
      </c>
      <c r="X35" s="2045"/>
      <c r="Y35" s="3556"/>
      <c r="Z35" s="2049" t="str">
        <f t="shared" si="15"/>
        <v>公共部分装修</v>
      </c>
      <c r="AA35" s="2040">
        <f t="shared" si="3"/>
        <v>1</v>
      </c>
      <c r="AB35" s="2040">
        <f t="shared" si="4"/>
        <v>1</v>
      </c>
      <c r="AC35" s="2040">
        <f t="shared" si="5"/>
        <v>1</v>
      </c>
    </row>
    <row r="36" spans="1:29" ht="15">
      <c r="A36" s="1743"/>
      <c r="B36" s="1666" t="s">
        <v>2307</v>
      </c>
      <c r="C36" s="1747"/>
      <c r="D36" s="1682">
        <v>100</v>
      </c>
      <c r="E36" s="1747"/>
      <c r="F36" s="1725" t="e">
        <f>LOOKUP(E36,110:110,111:111)-LOOKUP(C36,110:110,111:111)+100</f>
        <v>#N/A</v>
      </c>
      <c r="G36" s="1747"/>
      <c r="H36" s="1725" t="e">
        <f>LOOKUP(G36,110:110,111:111)-LOOKUP(C36,110:110,111:111)+100</f>
        <v>#N/A</v>
      </c>
      <c r="I36" s="1747"/>
      <c r="J36" s="1682" t="e">
        <f>LOOKUP(I36,110:110,111:111)-LOOKUP(C36,110:110,111:111)+100</f>
        <v>#N/A</v>
      </c>
      <c r="K36" s="1963"/>
      <c r="L36" s="2972"/>
      <c r="M36" s="2968"/>
      <c r="N36" s="2968"/>
      <c r="O36" s="2968"/>
      <c r="P36" s="3627"/>
      <c r="Q36" s="2042" t="str">
        <f t="shared" si="11"/>
        <v>成新度</v>
      </c>
      <c r="R36" s="1696" t="s">
        <v>25</v>
      </c>
      <c r="S36" s="1697" t="e">
        <f t="shared" si="12"/>
        <v>#N/A</v>
      </c>
      <c r="T36" s="1696" t="s">
        <v>25</v>
      </c>
      <c r="U36" s="1697" t="e">
        <f t="shared" si="13"/>
        <v>#N/A</v>
      </c>
      <c r="V36" s="1696" t="s">
        <v>25</v>
      </c>
      <c r="W36" s="1697" t="e">
        <f t="shared" si="14"/>
        <v>#N/A</v>
      </c>
      <c r="X36" s="2045"/>
      <c r="Y36" s="3556"/>
      <c r="Z36" s="2049" t="str">
        <f t="shared" si="15"/>
        <v>成新度</v>
      </c>
      <c r="AA36" s="2040" t="e">
        <f t="shared" si="3"/>
        <v>#N/A</v>
      </c>
      <c r="AB36" s="2040" t="e">
        <f t="shared" si="4"/>
        <v>#N/A</v>
      </c>
      <c r="AC36" s="2040" t="e">
        <f t="shared" si="5"/>
        <v>#N/A</v>
      </c>
    </row>
    <row r="37" spans="1:29" s="1655" customFormat="1" ht="15">
      <c r="A37" s="1746"/>
      <c r="B37" s="1666" t="s">
        <v>2308</v>
      </c>
      <c r="C37" s="1726"/>
      <c r="D37" s="1668">
        <v>100</v>
      </c>
      <c r="E37" s="1726"/>
      <c r="F37" s="1725">
        <f>SUMIF(112:112,E37,113:113)-SUMIF(112:112,C37,113:113)+100</f>
        <v>100</v>
      </c>
      <c r="G37" s="1726"/>
      <c r="H37" s="1682">
        <f>SUMIF(112:112,G37,113:113)-SUMIF(112:112,C37,113:113)+100</f>
        <v>100</v>
      </c>
      <c r="I37" s="1726"/>
      <c r="J37" s="1682">
        <f>SUMIF(112:112,I37,113:113)-SUMIF(112:112,C37,113:113)+100</f>
        <v>100</v>
      </c>
      <c r="K37" s="1963"/>
      <c r="L37" s="2967"/>
      <c r="M37" s="2940"/>
      <c r="N37" s="2940"/>
      <c r="O37" s="2940"/>
      <c r="P37" s="3627"/>
      <c r="Q37" s="2036" t="str">
        <f t="shared" si="11"/>
        <v>市政基础设施</v>
      </c>
      <c r="R37" s="1651" t="s">
        <v>25</v>
      </c>
      <c r="S37" s="1652">
        <f t="shared" si="12"/>
        <v>100</v>
      </c>
      <c r="T37" s="1651" t="s">
        <v>25</v>
      </c>
      <c r="U37" s="1652">
        <f t="shared" si="13"/>
        <v>100</v>
      </c>
      <c r="V37" s="1651" t="s">
        <v>25</v>
      </c>
      <c r="W37" s="1652">
        <f t="shared" si="14"/>
        <v>100</v>
      </c>
      <c r="X37" s="1653"/>
      <c r="Y37" s="3556"/>
      <c r="Z37" s="1664" t="str">
        <f t="shared" si="15"/>
        <v>市政基础设施</v>
      </c>
      <c r="AA37" s="1654">
        <f t="shared" si="3"/>
        <v>1</v>
      </c>
      <c r="AB37" s="1654">
        <f t="shared" si="4"/>
        <v>1</v>
      </c>
      <c r="AC37" s="1654">
        <f t="shared" si="5"/>
        <v>1</v>
      </c>
    </row>
    <row r="38" spans="1:29" ht="15">
      <c r="A38" s="1743"/>
      <c r="B38" s="1666" t="s">
        <v>2309</v>
      </c>
      <c r="C38" s="1726"/>
      <c r="D38" s="1682">
        <v>100</v>
      </c>
      <c r="E38" s="1726"/>
      <c r="F38" s="1725">
        <f>SUMIF(114:114,E38,115:115)-SUMIF(114:114,C38,115:115)+100</f>
        <v>100</v>
      </c>
      <c r="G38" s="1726"/>
      <c r="H38" s="1682">
        <f>SUMIF(114:114,G38,115:115)-SUMIF(114:114,C38,115:115)+100</f>
        <v>100</v>
      </c>
      <c r="I38" s="1726"/>
      <c r="J38" s="1682">
        <f>SUMIF(114:114,I38,115:115)-SUMIF(114:114,C38,115:115)+100</f>
        <v>100</v>
      </c>
      <c r="K38" s="1963"/>
      <c r="L38" s="2972"/>
      <c r="M38" s="2968"/>
      <c r="N38" s="2968"/>
      <c r="O38" s="2968"/>
      <c r="P38" s="3627" t="s">
        <v>2219</v>
      </c>
      <c r="Q38" s="2042" t="str">
        <f t="shared" si="11"/>
        <v>业态</v>
      </c>
      <c r="R38" s="1696" t="s">
        <v>25</v>
      </c>
      <c r="S38" s="1697">
        <f t="shared" si="12"/>
        <v>100</v>
      </c>
      <c r="T38" s="1696" t="s">
        <v>25</v>
      </c>
      <c r="U38" s="1697">
        <f t="shared" si="13"/>
        <v>100</v>
      </c>
      <c r="V38" s="1696" t="s">
        <v>25</v>
      </c>
      <c r="W38" s="1697">
        <f t="shared" si="14"/>
        <v>100</v>
      </c>
      <c r="X38" s="2045"/>
      <c r="Y38" s="3556" t="s">
        <v>2219</v>
      </c>
      <c r="Z38" s="2049" t="str">
        <f t="shared" si="15"/>
        <v>业态</v>
      </c>
      <c r="AA38" s="2040">
        <f t="shared" si="3"/>
        <v>1</v>
      </c>
      <c r="AB38" s="2040">
        <f t="shared" si="4"/>
        <v>1</v>
      </c>
      <c r="AC38" s="2040">
        <f t="shared" si="5"/>
        <v>1</v>
      </c>
    </row>
    <row r="39" spans="1:29" ht="15">
      <c r="A39" s="1743"/>
      <c r="B39" s="1666" t="s">
        <v>2310</v>
      </c>
      <c r="C39" s="1726"/>
      <c r="D39" s="1682">
        <v>100</v>
      </c>
      <c r="E39" s="1726"/>
      <c r="F39" s="1725">
        <f>SUMIF(116:116,E39,117:117)-SUMIF(116:116,C39,117:117)+100</f>
        <v>100</v>
      </c>
      <c r="G39" s="1726"/>
      <c r="H39" s="1682">
        <f>SUMIF(116:116,G39,117:117)-SUMIF(116:116,C39,117:117)+100</f>
        <v>100</v>
      </c>
      <c r="I39" s="1726"/>
      <c r="J39" s="1682">
        <f>SUMIF(116:116,I39,117:117)-SUMIF(116:116,C39,117:117)+100</f>
        <v>100</v>
      </c>
      <c r="K39" s="1963"/>
      <c r="L39" s="2972"/>
      <c r="M39" s="2968"/>
      <c r="N39" s="2968"/>
      <c r="O39" s="2968"/>
      <c r="P39" s="3627"/>
      <c r="Q39" s="2042" t="str">
        <f t="shared" si="11"/>
        <v>层高</v>
      </c>
      <c r="R39" s="1696" t="s">
        <v>25</v>
      </c>
      <c r="S39" s="1697">
        <f t="shared" si="12"/>
        <v>100</v>
      </c>
      <c r="T39" s="1696" t="s">
        <v>25</v>
      </c>
      <c r="U39" s="1697">
        <f t="shared" si="13"/>
        <v>100</v>
      </c>
      <c r="V39" s="1696" t="s">
        <v>25</v>
      </c>
      <c r="W39" s="1697">
        <f t="shared" si="14"/>
        <v>100</v>
      </c>
      <c r="X39" s="2045"/>
      <c r="Y39" s="3556"/>
      <c r="Z39" s="2049" t="str">
        <f t="shared" si="15"/>
        <v>层高</v>
      </c>
      <c r="AA39" s="2040">
        <f t="shared" si="3"/>
        <v>1</v>
      </c>
      <c r="AB39" s="2040">
        <f t="shared" si="4"/>
        <v>1</v>
      </c>
      <c r="AC39" s="2040">
        <f t="shared" si="5"/>
        <v>1</v>
      </c>
    </row>
    <row r="40" spans="1:29" ht="15">
      <c r="A40" s="1743"/>
      <c r="B40" s="1666" t="s">
        <v>2311</v>
      </c>
      <c r="C40" s="2448"/>
      <c r="D40" s="1682">
        <v>100</v>
      </c>
      <c r="E40" s="2449"/>
      <c r="F40" s="1725">
        <f>SUMIF(118:118,E40,119:119)-SUMIF(118:118,C40,119:119)+100</f>
        <v>100</v>
      </c>
      <c r="G40" s="2449"/>
      <c r="H40" s="1682">
        <f>SUMIF(118:118,G40,119:119)-SUMIF(118:118,C40,119:119)+100</f>
        <v>100</v>
      </c>
      <c r="I40" s="2449"/>
      <c r="J40" s="1682">
        <f>SUMIF(118:118,I40,119:119)-SUMIF(118:118,C40,119:119)+100</f>
        <v>100</v>
      </c>
      <c r="K40" s="1960"/>
      <c r="L40" s="2972"/>
      <c r="M40" s="2968"/>
      <c r="N40" s="2968"/>
      <c r="O40" s="2968"/>
      <c r="P40" s="3627"/>
      <c r="Q40" s="2042" t="str">
        <f t="shared" si="11"/>
        <v>单套建筑面积</v>
      </c>
      <c r="R40" s="1696" t="s">
        <v>25</v>
      </c>
      <c r="S40" s="1697">
        <f t="shared" si="12"/>
        <v>100</v>
      </c>
      <c r="T40" s="1696" t="s">
        <v>25</v>
      </c>
      <c r="U40" s="1697">
        <f t="shared" si="13"/>
        <v>100</v>
      </c>
      <c r="V40" s="1696" t="s">
        <v>25</v>
      </c>
      <c r="W40" s="1697">
        <f t="shared" si="14"/>
        <v>100</v>
      </c>
      <c r="X40" s="2045"/>
      <c r="Y40" s="3556"/>
      <c r="Z40" s="2049" t="str">
        <f t="shared" si="15"/>
        <v>单套建筑面积</v>
      </c>
      <c r="AA40" s="2040">
        <f t="shared" si="3"/>
        <v>1</v>
      </c>
      <c r="AB40" s="2040">
        <f t="shared" si="4"/>
        <v>1</v>
      </c>
      <c r="AC40" s="2040">
        <f t="shared" si="5"/>
        <v>1</v>
      </c>
    </row>
    <row r="41" spans="1:29" s="1742" customFormat="1" ht="15">
      <c r="A41" s="1735"/>
      <c r="B41" s="2041" t="s">
        <v>2312</v>
      </c>
      <c r="C41" s="1962"/>
      <c r="D41" s="1682">
        <v>100</v>
      </c>
      <c r="E41" s="1962"/>
      <c r="F41" s="1725">
        <f>SUMIF(120:120,E41,121:121)-SUMIF(120:120,C41,121:121)+100</f>
        <v>100</v>
      </c>
      <c r="G41" s="1962"/>
      <c r="H41" s="1682">
        <f>SUMIF(120:120,G41,121:121)-SUMIF(120:120,C41,121:121)+100</f>
        <v>100</v>
      </c>
      <c r="I41" s="1962"/>
      <c r="J41" s="1682">
        <f>SUMIF(120:120,I41,121:121)-SUMIF(120:120,C41,121:121)+100</f>
        <v>100</v>
      </c>
      <c r="K41" s="1963"/>
      <c r="L41" s="2971"/>
      <c r="M41" s="2030"/>
      <c r="N41" s="2030"/>
      <c r="O41" s="2030"/>
      <c r="P41" s="3627"/>
      <c r="Q41" s="1737" t="str">
        <f t="shared" si="11"/>
        <v>进深比</v>
      </c>
      <c r="R41" s="1738" t="s">
        <v>25</v>
      </c>
      <c r="S41" s="1739">
        <f t="shared" si="12"/>
        <v>100</v>
      </c>
      <c r="T41" s="1738" t="s">
        <v>25</v>
      </c>
      <c r="U41" s="1739">
        <f t="shared" si="13"/>
        <v>100</v>
      </c>
      <c r="V41" s="1738" t="s">
        <v>25</v>
      </c>
      <c r="W41" s="1739">
        <f t="shared" si="14"/>
        <v>100</v>
      </c>
      <c r="X41" s="1740"/>
      <c r="Y41" s="3556"/>
      <c r="Z41" s="1741" t="str">
        <f t="shared" si="15"/>
        <v>进深比</v>
      </c>
      <c r="AA41" s="2040">
        <f t="shared" si="3"/>
        <v>1</v>
      </c>
      <c r="AB41" s="2040">
        <f t="shared" si="4"/>
        <v>1</v>
      </c>
      <c r="AC41" s="2040">
        <f t="shared" si="5"/>
        <v>1</v>
      </c>
    </row>
    <row r="42" spans="1:29" ht="15">
      <c r="A42" s="1743"/>
      <c r="B42" s="1666" t="s">
        <v>2313</v>
      </c>
      <c r="C42" s="1726"/>
      <c r="D42" s="1682">
        <v>100</v>
      </c>
      <c r="E42" s="1726"/>
      <c r="F42" s="1725">
        <f>SUMIF(122:122,E42,123:123)-SUMIF(122:122,C42,123:123)+100</f>
        <v>100</v>
      </c>
      <c r="G42" s="1726"/>
      <c r="H42" s="1682">
        <f>SUMIF(122:122,G42,123:123)-SUMIF(122:122,C42,123:123)+100</f>
        <v>100</v>
      </c>
      <c r="I42" s="1726"/>
      <c r="J42" s="1682">
        <f>SUMIF(122:122,I42,123:123)-SUMIF(122:122,C42,123:123)+100</f>
        <v>100</v>
      </c>
      <c r="K42" s="1963"/>
      <c r="L42" s="2972"/>
      <c r="M42" s="2968"/>
      <c r="N42" s="2968"/>
      <c r="O42" s="2968"/>
      <c r="P42" s="3627"/>
      <c r="Q42" s="2042" t="str">
        <f t="shared" si="11"/>
        <v>内部装修</v>
      </c>
      <c r="R42" s="1696" t="s">
        <v>25</v>
      </c>
      <c r="S42" s="1697">
        <f t="shared" si="12"/>
        <v>100</v>
      </c>
      <c r="T42" s="1696" t="s">
        <v>25</v>
      </c>
      <c r="U42" s="1697">
        <f t="shared" si="13"/>
        <v>100</v>
      </c>
      <c r="V42" s="1696" t="s">
        <v>25</v>
      </c>
      <c r="W42" s="1697">
        <f t="shared" si="14"/>
        <v>100</v>
      </c>
      <c r="X42" s="2045"/>
      <c r="Y42" s="3556"/>
      <c r="Z42" s="2049" t="str">
        <f t="shared" si="15"/>
        <v>内部装修</v>
      </c>
      <c r="AA42" s="2040">
        <f t="shared" si="3"/>
        <v>1</v>
      </c>
      <c r="AB42" s="2040">
        <f t="shared" si="4"/>
        <v>1</v>
      </c>
      <c r="AC42" s="2040">
        <f t="shared" si="5"/>
        <v>1</v>
      </c>
    </row>
    <row r="43" spans="1:29" ht="15">
      <c r="A43" s="1743"/>
      <c r="B43" s="1666" t="s">
        <v>2230</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3"/>
      <c r="L43" s="2972"/>
      <c r="M43" s="2968"/>
      <c r="N43" s="2968"/>
      <c r="O43" s="2968"/>
      <c r="P43" s="3627"/>
      <c r="Q43" s="2042" t="str">
        <f t="shared" si="11"/>
        <v>内部装修维护情况</v>
      </c>
      <c r="R43" s="1696" t="s">
        <v>25</v>
      </c>
      <c r="S43" s="1697">
        <f t="shared" si="12"/>
        <v>100</v>
      </c>
      <c r="T43" s="1696" t="s">
        <v>25</v>
      </c>
      <c r="U43" s="1697">
        <f t="shared" si="13"/>
        <v>100</v>
      </c>
      <c r="V43" s="1696" t="s">
        <v>25</v>
      </c>
      <c r="W43" s="1697">
        <f t="shared" si="14"/>
        <v>100</v>
      </c>
      <c r="X43" s="2045"/>
      <c r="Y43" s="3556"/>
      <c r="Z43" s="2049" t="str">
        <f t="shared" si="15"/>
        <v>内部装修维护情况</v>
      </c>
      <c r="AA43" s="2040">
        <f t="shared" si="3"/>
        <v>1</v>
      </c>
      <c r="AB43" s="2040">
        <f t="shared" si="4"/>
        <v>1</v>
      </c>
      <c r="AC43" s="2040">
        <f t="shared" si="5"/>
        <v>1</v>
      </c>
    </row>
    <row r="44" spans="1:29" s="1655" customFormat="1" ht="15">
      <c r="A44" s="1746"/>
      <c r="B44" s="1731">
        <v>111</v>
      </c>
      <c r="C44" s="1736"/>
      <c r="D44" s="1668">
        <v>100</v>
      </c>
      <c r="E44" s="1681"/>
      <c r="F44" s="1670">
        <f>SUMIF(126:126,E44,127:127)-SUMIF(126:126,C44,127:127)+100</f>
        <v>100</v>
      </c>
      <c r="G44" s="1681"/>
      <c r="H44" s="1668">
        <f>SUMIF(126:126,G44,127:127)-SUMIF(126:126,C44,127:127)+100</f>
        <v>100</v>
      </c>
      <c r="I44" s="1681"/>
      <c r="J44" s="1668">
        <f>SUMIF(126:126,I44,127:127)-SUMIF(126:126,C44,127:127)+100</f>
        <v>100</v>
      </c>
      <c r="K44" s="1960"/>
      <c r="L44" s="2967"/>
      <c r="M44" s="2940"/>
      <c r="N44" s="2940"/>
      <c r="O44" s="2940"/>
      <c r="P44" s="3627"/>
      <c r="Q44" s="2036">
        <f t="shared" si="11"/>
        <v>111</v>
      </c>
      <c r="R44" s="1651" t="s">
        <v>25</v>
      </c>
      <c r="S44" s="1652">
        <f t="shared" si="12"/>
        <v>100</v>
      </c>
      <c r="T44" s="1651" t="s">
        <v>25</v>
      </c>
      <c r="U44" s="1652">
        <f t="shared" si="13"/>
        <v>100</v>
      </c>
      <c r="V44" s="1651" t="s">
        <v>25</v>
      </c>
      <c r="W44" s="1652">
        <f t="shared" si="14"/>
        <v>100</v>
      </c>
      <c r="X44" s="1653"/>
      <c r="Y44" s="3556"/>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60"/>
      <c r="L45" s="2972"/>
      <c r="M45" s="2968"/>
      <c r="N45" s="2968"/>
      <c r="O45" s="2968"/>
      <c r="P45" s="3627"/>
      <c r="Q45" s="2042">
        <f t="shared" si="11"/>
        <v>111</v>
      </c>
      <c r="R45" s="1696" t="s">
        <v>25</v>
      </c>
      <c r="S45" s="1697">
        <f t="shared" si="12"/>
        <v>100</v>
      </c>
      <c r="T45" s="1696" t="s">
        <v>25</v>
      </c>
      <c r="U45" s="1697">
        <f t="shared" si="13"/>
        <v>100</v>
      </c>
      <c r="V45" s="1696" t="s">
        <v>25</v>
      </c>
      <c r="W45" s="1697">
        <f t="shared" si="14"/>
        <v>100</v>
      </c>
      <c r="X45" s="2045"/>
      <c r="Y45" s="3556"/>
      <c r="Z45" s="2049">
        <f t="shared" si="15"/>
        <v>111</v>
      </c>
      <c r="AA45" s="2040">
        <f t="shared" si="3"/>
        <v>1</v>
      </c>
      <c r="AB45" s="2040">
        <f t="shared" si="4"/>
        <v>1</v>
      </c>
      <c r="AC45" s="2040">
        <f t="shared" si="5"/>
        <v>1</v>
      </c>
    </row>
    <row r="46" spans="1:29" ht="15.75" thickBot="1">
      <c r="A46" s="1751"/>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60"/>
      <c r="L46" s="2972"/>
      <c r="M46" s="2968"/>
      <c r="N46" s="2968"/>
      <c r="O46" s="2968"/>
      <c r="P46" s="3628"/>
      <c r="Q46" s="2042">
        <f t="shared" si="11"/>
        <v>111</v>
      </c>
      <c r="R46" s="1696" t="s">
        <v>25</v>
      </c>
      <c r="S46" s="1697">
        <f t="shared" si="12"/>
        <v>100</v>
      </c>
      <c r="T46" s="1696" t="s">
        <v>25</v>
      </c>
      <c r="U46" s="1697">
        <f t="shared" si="13"/>
        <v>100</v>
      </c>
      <c r="V46" s="1696" t="s">
        <v>25</v>
      </c>
      <c r="W46" s="1697">
        <f t="shared" si="14"/>
        <v>100</v>
      </c>
      <c r="X46" s="2045"/>
      <c r="Y46" s="3557"/>
      <c r="Z46" s="2049">
        <f t="shared" si="15"/>
        <v>111</v>
      </c>
      <c r="AA46" s="2040">
        <f t="shared" si="3"/>
        <v>1</v>
      </c>
      <c r="AB46" s="2040">
        <f t="shared" si="4"/>
        <v>1</v>
      </c>
      <c r="AC46" s="2040">
        <f t="shared" si="5"/>
        <v>1</v>
      </c>
    </row>
    <row r="47" spans="1:29" ht="15">
      <c r="A47" s="1752" t="s">
        <v>2231</v>
      </c>
      <c r="B47" s="1753"/>
      <c r="C47" s="1754" t="s">
        <v>1</v>
      </c>
      <c r="D47" s="1755"/>
      <c r="E47" s="1756"/>
      <c r="F47" s="1757"/>
      <c r="G47" s="1758"/>
      <c r="H47" s="1759"/>
      <c r="I47" s="1756"/>
      <c r="J47" s="1759"/>
      <c r="K47" s="1984"/>
      <c r="L47" s="2973"/>
      <c r="N47" s="2968"/>
      <c r="P47" s="3550" t="str">
        <f>A47</f>
        <v>成交单价（元/平方米）</v>
      </c>
      <c r="Q47" s="3550"/>
      <c r="R47" s="3551">
        <f>E47</f>
        <v>0</v>
      </c>
      <c r="S47" s="3551"/>
      <c r="T47" s="3551">
        <f>G47</f>
        <v>0</v>
      </c>
      <c r="U47" s="3551"/>
      <c r="V47" s="3551">
        <f>I47</f>
        <v>0</v>
      </c>
      <c r="W47" s="3551"/>
      <c r="X47" s="1762"/>
      <c r="Y47" s="2044"/>
      <c r="Z47" s="1762"/>
      <c r="AA47" s="1762"/>
      <c r="AB47" s="1762"/>
      <c r="AC47" s="1762"/>
    </row>
    <row r="48" spans="1:29" ht="15.75" thickBot="1">
      <c r="A48" s="1764" t="s">
        <v>2314</v>
      </c>
      <c r="B48" s="1765"/>
      <c r="C48" s="1766" t="e">
        <f>R49</f>
        <v>#DIV/0!</v>
      </c>
      <c r="D48" s="1767" t="s">
        <v>2687</v>
      </c>
      <c r="E48" s="1768" t="e">
        <f>R48</f>
        <v>#DIV/0!</v>
      </c>
      <c r="F48" s="1769"/>
      <c r="G48" s="1766" t="e">
        <f>T48</f>
        <v>#DIV/0!</v>
      </c>
      <c r="H48" s="1769"/>
      <c r="I48" s="1768" t="e">
        <f>V48</f>
        <v>#DIV/0!</v>
      </c>
      <c r="J48" s="1769"/>
      <c r="K48" s="2481">
        <f>F48+H48+J48</f>
        <v>0</v>
      </c>
      <c r="L48" s="2973"/>
      <c r="N48" s="2968"/>
      <c r="P48" s="3550" t="str">
        <f>A48</f>
        <v>比较价值（元/平方米）</v>
      </c>
      <c r="Q48" s="3550"/>
      <c r="R48" s="3551" t="e">
        <f>IF(E1="售价",ROUND(PRODUCT(R47,AA7:AA46),0),ROUND(PRODUCT(R47,AA7:AA46),1))</f>
        <v>#DIV/0!</v>
      </c>
      <c r="S48" s="3551"/>
      <c r="T48" s="3551" t="e">
        <f>IF(E1="售价",ROUND(PRODUCT(T47,AB7:AB46),0),ROUND(PRODUCT(T47,AB7:AB46),1))</f>
        <v>#DIV/0!</v>
      </c>
      <c r="U48" s="3551"/>
      <c r="V48" s="3551" t="e">
        <f>IF(E1="售价",ROUND(PRODUCT(V47,AC7:AC46),0),ROUND(PRODUCT(V47,AC7:AC46),1))</f>
        <v>#DIV/0!</v>
      </c>
      <c r="W48" s="3551"/>
      <c r="X48" s="1762"/>
      <c r="Y48" s="1762"/>
      <c r="Z48" s="1762"/>
      <c r="AA48" s="1762"/>
      <c r="AB48" s="1762"/>
      <c r="AC48" s="1762"/>
    </row>
    <row r="49" spans="1:29" ht="15.75" thickBot="1">
      <c r="A49" s="1770" t="s">
        <v>2315</v>
      </c>
      <c r="B49" s="1771"/>
      <c r="C49" s="1773" t="e">
        <f>R49</f>
        <v>#DIV/0!</v>
      </c>
      <c r="D49" s="1773"/>
      <c r="E49" s="1773"/>
      <c r="F49" s="1773"/>
      <c r="G49" s="1773"/>
      <c r="H49" s="1773"/>
      <c r="I49" s="1773"/>
      <c r="J49" s="1773"/>
      <c r="K49" s="1989"/>
      <c r="L49" s="2973"/>
      <c r="N49" s="2968"/>
      <c r="P49" s="3552" t="str">
        <f>A49</f>
        <v>估价对象XX用房的比较价值（楼面单价，元/平方米）</v>
      </c>
      <c r="Q49" s="3553"/>
      <c r="R49" s="3554" t="e">
        <f>IF(E1="售价",ROUND(IF(D48="简单平均",AVERAGE(R48:V48),R48*F48+T48*H48+V48*J48),0),ROUND(IF(D48="简单平均",AVERAGE(R48:V48),R48*F48+T48*H48+V48*J48),1))</f>
        <v>#DIV/0!</v>
      </c>
      <c r="S49" s="3554"/>
      <c r="T49" s="3554"/>
      <c r="U49" s="3554"/>
      <c r="V49" s="3554"/>
      <c r="W49" s="3554"/>
      <c r="X49" s="1762"/>
      <c r="Y49" s="1762"/>
      <c r="Z49" s="1762"/>
      <c r="AA49" s="1762"/>
      <c r="AB49" s="1762"/>
      <c r="AC49" s="1762"/>
    </row>
    <row r="50" spans="1:29">
      <c r="G50" s="2977"/>
      <c r="P50" s="2450"/>
      <c r="Q50" s="1761"/>
      <c r="R50" s="1761"/>
      <c r="S50" s="1761"/>
      <c r="T50" s="1761"/>
      <c r="U50" s="1761"/>
      <c r="V50" s="1761"/>
      <c r="W50" s="1761"/>
      <c r="X50" s="1761"/>
      <c r="Y50" s="1761"/>
      <c r="Z50" s="1761"/>
      <c r="AA50" s="1761"/>
      <c r="AB50" s="1761"/>
      <c r="AC50" s="1761"/>
    </row>
    <row r="51" spans="1:29">
      <c r="P51" s="2450"/>
      <c r="Q51" s="1761"/>
      <c r="R51" s="1761"/>
      <c r="S51" s="1761"/>
      <c r="T51" s="1761"/>
      <c r="U51" s="1761"/>
      <c r="V51" s="1761"/>
      <c r="W51" s="1761"/>
      <c r="X51" s="1761"/>
      <c r="Y51" s="1761"/>
      <c r="Z51" s="1761"/>
      <c r="AA51" s="1761"/>
      <c r="AB51" s="1761"/>
      <c r="AC51" s="1761"/>
    </row>
    <row r="52" spans="1:29" ht="13.5" customHeight="1">
      <c r="C52" s="383" t="s">
        <v>2316</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c r="P52" s="2450"/>
      <c r="Q52" s="1761"/>
      <c r="R52" s="1761"/>
      <c r="S52" s="1761"/>
      <c r="T52" s="1761"/>
      <c r="U52" s="1761"/>
      <c r="V52" s="1761"/>
      <c r="W52" s="1761"/>
      <c r="X52" s="1761"/>
      <c r="Y52" s="1761"/>
      <c r="Z52" s="1761"/>
      <c r="AA52" s="1761"/>
      <c r="AB52" s="1761"/>
      <c r="AC52" s="1761"/>
    </row>
    <row r="53" spans="1:29" ht="13.5" customHeight="1">
      <c r="C53" s="383" t="s">
        <v>2317</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c r="P53" s="2450"/>
      <c r="Q53" s="1761"/>
      <c r="R53" s="1761"/>
      <c r="S53" s="1761"/>
      <c r="T53" s="1761"/>
      <c r="U53" s="1761"/>
      <c r="V53" s="1761"/>
      <c r="W53" s="1761"/>
      <c r="X53" s="1761"/>
      <c r="Y53" s="1761"/>
      <c r="Z53" s="1761"/>
      <c r="AA53" s="1761"/>
      <c r="AB53" s="1761"/>
      <c r="AC53" s="1761"/>
    </row>
    <row r="54" spans="1:29" s="1784" customFormat="1" ht="13.5" customHeight="1">
      <c r="C54" s="383" t="s">
        <v>2318</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2451"/>
      <c r="Q54" s="1782"/>
      <c r="R54" s="1782"/>
      <c r="S54" s="1782"/>
      <c r="T54" s="1782"/>
      <c r="U54" s="1782"/>
      <c r="V54" s="1782"/>
      <c r="W54" s="1782"/>
      <c r="X54" s="1782"/>
      <c r="Y54" s="1782"/>
      <c r="Z54" s="1782"/>
      <c r="AA54" s="1782"/>
      <c r="AB54" s="1782"/>
      <c r="AC54" s="1782"/>
    </row>
    <row r="55" spans="1:29" s="1784" customFormat="1">
      <c r="B55" s="2978"/>
      <c r="C55" s="2979"/>
      <c r="K55" s="2980"/>
      <c r="L55" s="2974"/>
      <c r="P55" s="2451"/>
      <c r="Q55" s="1782"/>
      <c r="R55" s="1782"/>
      <c r="S55" s="1782"/>
      <c r="T55" s="1782"/>
      <c r="U55" s="1782"/>
      <c r="V55" s="1782"/>
      <c r="W55" s="1782"/>
      <c r="X55" s="1782"/>
      <c r="Y55" s="1782"/>
      <c r="Z55" s="1782"/>
      <c r="AA55" s="1782"/>
      <c r="AB55" s="1782"/>
      <c r="AC55" s="1782"/>
    </row>
    <row r="56" spans="1:29">
      <c r="B56" s="2978"/>
      <c r="C56" s="2979"/>
      <c r="P56" s="2450"/>
      <c r="Q56" s="1761"/>
      <c r="R56" s="1761"/>
      <c r="S56" s="1761"/>
      <c r="T56" s="1761"/>
      <c r="U56" s="1761"/>
      <c r="V56" s="1761"/>
      <c r="W56" s="1761"/>
      <c r="X56" s="1761"/>
      <c r="Y56" s="1761"/>
      <c r="Z56" s="1761"/>
      <c r="AA56" s="1761"/>
      <c r="AB56" s="1761"/>
      <c r="AC56" s="1761"/>
    </row>
    <row r="57" spans="1:29" ht="21.75" thickBot="1">
      <c r="A57" s="1787" t="s">
        <v>2319</v>
      </c>
      <c r="B57" s="1762"/>
      <c r="C57" s="1788"/>
      <c r="D57" s="1788"/>
      <c r="E57" s="1788"/>
      <c r="F57" s="1788"/>
      <c r="G57" s="1788"/>
      <c r="H57" s="1788"/>
      <c r="I57" s="1788"/>
      <c r="J57" s="1788"/>
      <c r="K57" s="1789"/>
      <c r="L57" s="2015"/>
      <c r="M57" s="2013"/>
      <c r="N57" s="2976"/>
      <c r="O57" s="2976"/>
      <c r="P57" s="2452"/>
      <c r="Q57" s="2453"/>
      <c r="R57" s="1761"/>
      <c r="S57" s="1761"/>
      <c r="T57" s="1761"/>
      <c r="U57" s="1761"/>
      <c r="V57" s="1761"/>
      <c r="W57" s="1761"/>
      <c r="X57" s="1761"/>
      <c r="Y57" s="1761"/>
      <c r="Z57" s="1761"/>
      <c r="AA57" s="1761"/>
      <c r="AB57" s="1761"/>
      <c r="AC57" s="1761"/>
    </row>
    <row r="58" spans="1:29" s="1798" customFormat="1" ht="15">
      <c r="A58" s="1793" t="s">
        <v>2201</v>
      </c>
      <c r="B58" s="1794"/>
      <c r="C58" s="1795" t="str">
        <f>YEAR(C7)&amp;"-"&amp;MONTH(C7)</f>
        <v>2022-3</v>
      </c>
      <c r="D58" s="1796">
        <f>EDATE(C58,-1)</f>
        <v>44593</v>
      </c>
      <c r="E58" s="1796">
        <f t="shared" ref="E58:O58" si="16">EDATE(D58,-1)</f>
        <v>44562</v>
      </c>
      <c r="F58" s="1796">
        <f t="shared" si="16"/>
        <v>44531</v>
      </c>
      <c r="G58" s="1796">
        <f t="shared" si="16"/>
        <v>44501</v>
      </c>
      <c r="H58" s="1796">
        <f t="shared" si="16"/>
        <v>44470</v>
      </c>
      <c r="I58" s="1796">
        <f t="shared" si="16"/>
        <v>44440</v>
      </c>
      <c r="J58" s="1796">
        <f t="shared" si="16"/>
        <v>44409</v>
      </c>
      <c r="K58" s="1796">
        <f t="shared" si="16"/>
        <v>44378</v>
      </c>
      <c r="L58" s="1796">
        <f t="shared" si="16"/>
        <v>44348</v>
      </c>
      <c r="M58" s="1796">
        <f t="shared" si="16"/>
        <v>44317</v>
      </c>
      <c r="N58" s="1796">
        <f t="shared" si="16"/>
        <v>44287</v>
      </c>
      <c r="O58" s="1796">
        <f t="shared" si="16"/>
        <v>44256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2203</v>
      </c>
      <c r="B61" s="1800"/>
      <c r="C61" s="1811" t="s">
        <v>2204</v>
      </c>
      <c r="D61" s="409"/>
      <c r="E61" s="409"/>
      <c r="F61" s="409"/>
      <c r="G61" s="409"/>
      <c r="H61" s="409"/>
      <c r="I61" s="409"/>
      <c r="J61" s="409"/>
      <c r="K61" s="409"/>
      <c r="L61" s="409"/>
      <c r="M61" s="1812"/>
      <c r="N61" s="2985"/>
      <c r="O61" s="2985"/>
      <c r="P61" s="1814"/>
      <c r="Q61" s="1792"/>
    </row>
    <row r="62" spans="1:29" s="1655" customFormat="1" ht="15.75" thickBot="1">
      <c r="A62" s="1810"/>
      <c r="B62" s="1800"/>
      <c r="C62" s="1815">
        <v>100</v>
      </c>
      <c r="D62" s="1802"/>
      <c r="E62" s="1802"/>
      <c r="F62" s="1802"/>
      <c r="G62" s="1802"/>
      <c r="H62" s="1802"/>
      <c r="I62" s="1802"/>
      <c r="J62" s="1802"/>
      <c r="K62" s="1802"/>
      <c r="L62" s="1802"/>
      <c r="M62" s="1816"/>
      <c r="N62" s="2985"/>
      <c r="O62" s="2985"/>
      <c r="P62" s="1804"/>
      <c r="Q62" s="1792"/>
    </row>
    <row r="63" spans="1:29">
      <c r="A63" s="1817" t="s">
        <v>2242</v>
      </c>
      <c r="B63" s="1818" t="s">
        <v>2207</v>
      </c>
      <c r="C63" s="1819">
        <f>C9</f>
        <v>0</v>
      </c>
      <c r="D63" s="1820"/>
      <c r="E63" s="1820"/>
      <c r="F63" s="1820"/>
      <c r="G63" s="1820"/>
      <c r="H63" s="1820"/>
      <c r="I63" s="1820"/>
      <c r="J63" s="1820"/>
      <c r="K63" s="417"/>
      <c r="L63" s="417"/>
      <c r="M63" s="1821"/>
      <c r="N63" s="2986"/>
      <c r="O63" s="2986"/>
      <c r="P63" s="1823"/>
      <c r="Q63" s="1792"/>
    </row>
    <row r="64" spans="1:29" ht="15.75" thickBot="1">
      <c r="A64" s="1824"/>
      <c r="B64" s="1825"/>
      <c r="C64" s="1826">
        <v>100</v>
      </c>
      <c r="D64" s="1826"/>
      <c r="E64" s="1826"/>
      <c r="F64" s="1826"/>
      <c r="G64" s="1826"/>
      <c r="H64" s="1826"/>
      <c r="I64" s="1826"/>
      <c r="J64" s="1826"/>
      <c r="K64" s="1826"/>
      <c r="L64" s="1826"/>
      <c r="M64" s="1827"/>
      <c r="N64" s="2987"/>
      <c r="O64" s="2987"/>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2986"/>
      <c r="O65" s="2986"/>
      <c r="P65" s="1823"/>
      <c r="Q65" s="1792"/>
    </row>
    <row r="66" spans="1:17" ht="15.75" thickBot="1">
      <c r="A66" s="1824"/>
      <c r="B66" s="1832"/>
      <c r="C66" s="1833" t="s">
        <v>36</v>
      </c>
      <c r="D66" s="1833" t="s">
        <v>37</v>
      </c>
      <c r="E66" s="1833" t="s">
        <v>38</v>
      </c>
      <c r="F66" s="1833">
        <v>100</v>
      </c>
      <c r="G66" s="1833">
        <f>F66-$K10</f>
        <v>100</v>
      </c>
      <c r="H66" s="1833">
        <f>G66-$K10</f>
        <v>100</v>
      </c>
      <c r="I66" s="1833">
        <f>H66-$K10</f>
        <v>100</v>
      </c>
      <c r="J66" s="1833"/>
      <c r="K66" s="1833"/>
      <c r="L66" s="1833"/>
      <c r="M66" s="1834"/>
      <c r="N66" s="2987"/>
      <c r="O66" s="2987"/>
      <c r="P66" s="1823"/>
      <c r="Q66" s="1792"/>
    </row>
    <row r="67" spans="1:17" ht="15.75" thickTop="1">
      <c r="A67" s="1824"/>
      <c r="B67" s="1835" t="s">
        <v>2211</v>
      </c>
      <c r="C67" s="1836" t="str">
        <f>C68&amp;"（含）"&amp;"-"&amp;D68</f>
        <v>（含）-</v>
      </c>
      <c r="D67" s="1836" t="str">
        <f t="shared" ref="D67:L67" si="17">D68&amp;"（含）"&amp;"-"&amp;E68</f>
        <v>（含）-</v>
      </c>
      <c r="E67" s="1836" t="str">
        <f t="shared" si="17"/>
        <v>（含）-</v>
      </c>
      <c r="F67" s="1836" t="str">
        <f t="shared" si="17"/>
        <v>（含）-</v>
      </c>
      <c r="G67" s="1836" t="str">
        <f t="shared" si="17"/>
        <v>（含）-</v>
      </c>
      <c r="H67" s="1836" t="str">
        <f t="shared" si="17"/>
        <v>（含）-</v>
      </c>
      <c r="I67" s="1836" t="str">
        <f t="shared" si="17"/>
        <v>（含）-</v>
      </c>
      <c r="J67" s="1836" t="str">
        <f t="shared" si="17"/>
        <v>（含）-</v>
      </c>
      <c r="K67" s="1836" t="str">
        <f t="shared" si="17"/>
        <v>（含）-</v>
      </c>
      <c r="L67" s="1836" t="str">
        <f t="shared" si="17"/>
        <v>（含）-</v>
      </c>
      <c r="M67" s="1702" t="str">
        <f>M68&amp;"（含）"&amp;"-"&amp;P68</f>
        <v>（含）-</v>
      </c>
      <c r="N67" s="2987"/>
      <c r="O67" s="2987"/>
      <c r="P67" s="1823"/>
      <c r="Q67" s="1792"/>
    </row>
    <row r="68" spans="1:17" ht="15">
      <c r="A68" s="1824"/>
      <c r="B68" s="1837"/>
      <c r="C68" s="1838"/>
      <c r="D68" s="1838"/>
      <c r="E68" s="1838"/>
      <c r="F68" s="1838"/>
      <c r="G68" s="1838"/>
      <c r="H68" s="1838"/>
      <c r="I68" s="1838"/>
      <c r="J68" s="1838"/>
      <c r="K68" s="438"/>
      <c r="L68" s="438"/>
      <c r="M68" s="1839"/>
      <c r="N68" s="2986"/>
      <c r="O68" s="2986"/>
      <c r="P68" s="1823"/>
      <c r="Q68" s="1792"/>
    </row>
    <row r="69" spans="1:17" ht="15.75" thickBot="1">
      <c r="A69" s="1824"/>
      <c r="B69" s="1825"/>
      <c r="C69" s="1833">
        <v>100</v>
      </c>
      <c r="D69" s="1833">
        <f t="shared" ref="D69:M69" si="18">C69-$K11</f>
        <v>100</v>
      </c>
      <c r="E69" s="1833">
        <f t="shared" si="18"/>
        <v>100</v>
      </c>
      <c r="F69" s="1833">
        <f t="shared" si="18"/>
        <v>100</v>
      </c>
      <c r="G69" s="1833">
        <f t="shared" si="18"/>
        <v>100</v>
      </c>
      <c r="H69" s="1833">
        <f t="shared" si="18"/>
        <v>100</v>
      </c>
      <c r="I69" s="1833">
        <f t="shared" si="18"/>
        <v>100</v>
      </c>
      <c r="J69" s="1833">
        <f t="shared" si="18"/>
        <v>100</v>
      </c>
      <c r="K69" s="1833">
        <f t="shared" si="18"/>
        <v>100</v>
      </c>
      <c r="L69" s="1833">
        <f t="shared" si="18"/>
        <v>100</v>
      </c>
      <c r="M69" s="1834">
        <f t="shared" si="18"/>
        <v>100</v>
      </c>
      <c r="N69" s="2987"/>
      <c r="O69" s="2987"/>
      <c r="P69" s="1823"/>
      <c r="Q69" s="1792"/>
    </row>
    <row r="70" spans="1:17" s="1742" customFormat="1" ht="15.75" thickTop="1">
      <c r="A70" s="1840"/>
      <c r="B70" s="1829">
        <f>B12</f>
        <v>111</v>
      </c>
      <c r="C70" s="468"/>
      <c r="D70" s="468"/>
      <c r="E70" s="468"/>
      <c r="F70" s="468"/>
      <c r="G70" s="468"/>
      <c r="H70" s="443"/>
      <c r="I70" s="443"/>
      <c r="J70" s="443"/>
      <c r="K70" s="443"/>
      <c r="L70" s="443"/>
      <c r="M70" s="1841"/>
      <c r="N70" s="2988"/>
      <c r="O70" s="2988"/>
      <c r="P70" s="1843"/>
      <c r="Q70" s="1844"/>
    </row>
    <row r="71" spans="1:17" s="1742" customFormat="1" ht="15.75" thickBot="1">
      <c r="A71" s="1840"/>
      <c r="B71" s="1832"/>
      <c r="C71" s="1845"/>
      <c r="D71" s="1826"/>
      <c r="E71" s="1826"/>
      <c r="F71" s="1826"/>
      <c r="G71" s="1826"/>
      <c r="H71" s="1826"/>
      <c r="I71" s="1826"/>
      <c r="J71" s="1826"/>
      <c r="K71" s="1826"/>
      <c r="L71" s="1826"/>
      <c r="M71" s="1827"/>
      <c r="N71" s="2987"/>
      <c r="O71" s="2987"/>
      <c r="P71" s="1843"/>
      <c r="Q71" s="1844"/>
    </row>
    <row r="72" spans="1:17" s="1742" customFormat="1" ht="15.75" thickTop="1">
      <c r="A72" s="1840"/>
      <c r="B72" s="1829">
        <f>B13</f>
        <v>111</v>
      </c>
      <c r="C72" s="468"/>
      <c r="D72" s="468"/>
      <c r="E72" s="468"/>
      <c r="F72" s="468"/>
      <c r="G72" s="468"/>
      <c r="H72" s="443"/>
      <c r="I72" s="443"/>
      <c r="J72" s="443"/>
      <c r="K72" s="443"/>
      <c r="L72" s="443"/>
      <c r="M72" s="1841"/>
      <c r="N72" s="2988"/>
      <c r="O72" s="2988"/>
      <c r="P72" s="1846"/>
      <c r="Q72" s="1847"/>
    </row>
    <row r="73" spans="1:17" s="1742" customFormat="1" ht="15.75" thickBot="1">
      <c r="A73" s="1840"/>
      <c r="B73" s="1832"/>
      <c r="C73" s="1845"/>
      <c r="D73" s="1826"/>
      <c r="E73" s="1826"/>
      <c r="F73" s="1826"/>
      <c r="G73" s="1845"/>
      <c r="H73" s="1848"/>
      <c r="I73" s="1848"/>
      <c r="J73" s="1848"/>
      <c r="K73" s="1848"/>
      <c r="L73" s="1848"/>
      <c r="M73" s="1849"/>
      <c r="N73" s="2988"/>
      <c r="O73" s="2988"/>
      <c r="P73" s="1843"/>
      <c r="Q73" s="1844"/>
    </row>
    <row r="74" spans="1:17" s="1742" customFormat="1" ht="15.75" thickTop="1">
      <c r="A74" s="1840"/>
      <c r="B74" s="1835">
        <f>B14</f>
        <v>111</v>
      </c>
      <c r="C74" s="468"/>
      <c r="D74" s="468"/>
      <c r="E74" s="468"/>
      <c r="F74" s="468"/>
      <c r="G74" s="409"/>
      <c r="H74" s="453"/>
      <c r="I74" s="453"/>
      <c r="J74" s="453"/>
      <c r="K74" s="453"/>
      <c r="L74" s="453"/>
      <c r="M74" s="1850"/>
      <c r="N74" s="2988"/>
      <c r="O74" s="2988"/>
      <c r="P74" s="1843"/>
      <c r="Q74" s="1844"/>
    </row>
    <row r="75" spans="1:17" s="1742" customFormat="1" ht="15.75" thickBot="1">
      <c r="A75" s="1851"/>
      <c r="B75" s="1852"/>
      <c r="C75" s="1853"/>
      <c r="D75" s="1853"/>
      <c r="E75" s="1853"/>
      <c r="F75" s="1853"/>
      <c r="G75" s="1853"/>
      <c r="H75" s="1854"/>
      <c r="I75" s="1854"/>
      <c r="J75" s="1854"/>
      <c r="K75" s="1854"/>
      <c r="L75" s="1854"/>
      <c r="M75" s="1855"/>
      <c r="N75" s="2988"/>
      <c r="O75" s="2988"/>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2986"/>
      <c r="O76" s="2986"/>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2987"/>
      <c r="O77" s="2987"/>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2986"/>
      <c r="O78" s="2986"/>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2987"/>
      <c r="O79" s="2987"/>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2986"/>
      <c r="O80" s="2986"/>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2987"/>
      <c r="O81" s="2987"/>
      <c r="P81" s="1823"/>
      <c r="Q81" s="1792"/>
    </row>
    <row r="82" spans="1:17" ht="15.75" thickTop="1">
      <c r="A82" s="1824"/>
      <c r="B82" s="1835" t="s">
        <v>2300</v>
      </c>
      <c r="C82" s="1830" t="s">
        <v>2258</v>
      </c>
      <c r="D82" s="1830" t="s">
        <v>2259</v>
      </c>
      <c r="E82" s="1830" t="s">
        <v>2260</v>
      </c>
      <c r="F82" s="1830" t="s">
        <v>2261</v>
      </c>
      <c r="G82" s="1830" t="s">
        <v>2262</v>
      </c>
      <c r="H82" s="1830"/>
      <c r="I82" s="1830"/>
      <c r="J82" s="1830"/>
      <c r="K82" s="1830"/>
      <c r="L82" s="1830"/>
      <c r="M82" s="1858"/>
      <c r="N82" s="2987"/>
      <c r="O82" s="2987"/>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2987"/>
      <c r="O83" s="2987"/>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2986"/>
      <c r="O84" s="2986"/>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2987"/>
      <c r="O85" s="2987"/>
      <c r="P85" s="1823"/>
      <c r="Q85" s="1792"/>
    </row>
    <row r="86" spans="1:17" s="1655" customFormat="1" ht="15.75" thickTop="1">
      <c r="A86" s="1860"/>
      <c r="B86" s="1829" t="s">
        <v>2320</v>
      </c>
      <c r="C86" s="468"/>
      <c r="D86" s="468"/>
      <c r="E86" s="468"/>
      <c r="F86" s="468"/>
      <c r="G86" s="468"/>
      <c r="H86" s="468"/>
      <c r="I86" s="468"/>
      <c r="J86" s="468"/>
      <c r="K86" s="468"/>
      <c r="L86" s="468"/>
      <c r="M86" s="1861"/>
      <c r="N86" s="2985"/>
      <c r="O86" s="2985"/>
      <c r="P86" s="1823"/>
      <c r="Q86" s="1792"/>
    </row>
    <row r="87" spans="1:17" s="1655" customFormat="1" ht="15.75" thickBot="1">
      <c r="A87" s="1860"/>
      <c r="B87" s="1832"/>
      <c r="C87" s="1862">
        <v>100</v>
      </c>
      <c r="D87" s="1833">
        <f t="shared" ref="D87:M87" si="19">C87-$K25</f>
        <v>100</v>
      </c>
      <c r="E87" s="1833">
        <f t="shared" si="19"/>
        <v>100</v>
      </c>
      <c r="F87" s="1833">
        <f t="shared" si="19"/>
        <v>100</v>
      </c>
      <c r="G87" s="1833">
        <f t="shared" si="19"/>
        <v>100</v>
      </c>
      <c r="H87" s="1833">
        <f t="shared" si="19"/>
        <v>100</v>
      </c>
      <c r="I87" s="1833">
        <f t="shared" si="19"/>
        <v>100</v>
      </c>
      <c r="J87" s="1833">
        <f t="shared" si="19"/>
        <v>100</v>
      </c>
      <c r="K87" s="1833">
        <f t="shared" si="19"/>
        <v>100</v>
      </c>
      <c r="L87" s="1833">
        <f t="shared" si="19"/>
        <v>100</v>
      </c>
      <c r="M87" s="1833">
        <f t="shared" si="19"/>
        <v>100</v>
      </c>
      <c r="N87" s="2987"/>
      <c r="O87" s="2987"/>
      <c r="P87" s="1823"/>
      <c r="Q87" s="1792"/>
    </row>
    <row r="88" spans="1:17" s="1655" customFormat="1" ht="15.75" thickTop="1">
      <c r="A88" s="1860"/>
      <c r="B88" s="1829" t="str">
        <f>B26</f>
        <v>平面位置/可视性</v>
      </c>
      <c r="C88" s="468"/>
      <c r="D88" s="468"/>
      <c r="E88" s="468"/>
      <c r="F88" s="1863"/>
      <c r="G88" s="468"/>
      <c r="H88" s="468"/>
      <c r="I88" s="468"/>
      <c r="J88" s="468"/>
      <c r="K88" s="468"/>
      <c r="L88" s="468"/>
      <c r="M88" s="1861"/>
      <c r="N88" s="2985"/>
      <c r="O88" s="2985"/>
      <c r="P88" s="1823"/>
      <c r="Q88" s="1792"/>
    </row>
    <row r="89" spans="1:17" s="1655" customFormat="1" ht="15.75" thickBot="1">
      <c r="A89" s="1860"/>
      <c r="B89" s="1832"/>
      <c r="C89" s="1845"/>
      <c r="D89" s="1826"/>
      <c r="E89" s="1826"/>
      <c r="F89" s="1826"/>
      <c r="G89" s="1826"/>
      <c r="H89" s="1826"/>
      <c r="I89" s="1826"/>
      <c r="J89" s="1826"/>
      <c r="K89" s="1826"/>
      <c r="L89" s="1826"/>
      <c r="M89" s="1826"/>
      <c r="N89" s="2987"/>
      <c r="O89" s="2987"/>
      <c r="P89" s="1823"/>
      <c r="Q89" s="1792"/>
    </row>
    <row r="90" spans="1:17" s="1742" customFormat="1" ht="15.75" thickTop="1">
      <c r="A90" s="1840"/>
      <c r="B90" s="1829" t="str">
        <f>B27</f>
        <v>人流量</v>
      </c>
      <c r="C90" s="468"/>
      <c r="D90" s="468"/>
      <c r="E90" s="468"/>
      <c r="F90" s="468"/>
      <c r="G90" s="468"/>
      <c r="H90" s="443"/>
      <c r="I90" s="443"/>
      <c r="J90" s="443"/>
      <c r="K90" s="443"/>
      <c r="L90" s="443"/>
      <c r="M90" s="1841"/>
      <c r="N90" s="2988"/>
      <c r="O90" s="2988"/>
      <c r="P90" s="1843"/>
      <c r="Q90" s="1844"/>
    </row>
    <row r="91" spans="1:17" s="1742" customFormat="1" ht="15.75" thickBot="1">
      <c r="A91" s="1840"/>
      <c r="B91" s="1832"/>
      <c r="C91" s="1862">
        <v>100</v>
      </c>
      <c r="D91" s="1833">
        <f>C91-$K27</f>
        <v>100</v>
      </c>
      <c r="E91" s="1833">
        <f t="shared" ref="E91:M91" si="20">D91-$K27</f>
        <v>100</v>
      </c>
      <c r="F91" s="1833">
        <f t="shared" si="20"/>
        <v>100</v>
      </c>
      <c r="G91" s="1833">
        <f t="shared" si="20"/>
        <v>100</v>
      </c>
      <c r="H91" s="1833">
        <f t="shared" si="20"/>
        <v>100</v>
      </c>
      <c r="I91" s="1833">
        <f t="shared" si="20"/>
        <v>100</v>
      </c>
      <c r="J91" s="1833">
        <f t="shared" si="20"/>
        <v>100</v>
      </c>
      <c r="K91" s="1833">
        <f t="shared" si="20"/>
        <v>100</v>
      </c>
      <c r="L91" s="1833">
        <f t="shared" si="20"/>
        <v>100</v>
      </c>
      <c r="M91" s="1833">
        <f t="shared" si="20"/>
        <v>100</v>
      </c>
      <c r="N91" s="2988"/>
      <c r="O91" s="2988"/>
      <c r="P91" s="1843"/>
      <c r="Q91" s="1844"/>
    </row>
    <row r="92" spans="1:17" ht="15.75" thickTop="1">
      <c r="A92" s="1824"/>
      <c r="B92" s="1829" t="str">
        <f>B28</f>
        <v>楼层</v>
      </c>
      <c r="C92" s="468"/>
      <c r="D92" s="468"/>
      <c r="E92" s="468"/>
      <c r="F92" s="468"/>
      <c r="G92" s="468"/>
      <c r="H92" s="468"/>
      <c r="I92" s="468"/>
      <c r="J92" s="468"/>
      <c r="K92" s="468"/>
      <c r="L92" s="468"/>
      <c r="M92" s="1861"/>
      <c r="N92" s="2986"/>
      <c r="O92" s="2986"/>
      <c r="P92" s="1823"/>
      <c r="Q92" s="1792"/>
    </row>
    <row r="93" spans="1:17" ht="15.75" thickBot="1">
      <c r="A93" s="1824"/>
      <c r="B93" s="1832"/>
      <c r="C93" s="1826"/>
      <c r="D93" s="1826"/>
      <c r="E93" s="1826"/>
      <c r="F93" s="1826"/>
      <c r="G93" s="1826"/>
      <c r="H93" s="1826"/>
      <c r="I93" s="1826"/>
      <c r="J93" s="1826"/>
      <c r="K93" s="1826"/>
      <c r="L93" s="1826"/>
      <c r="M93" s="1827"/>
      <c r="N93" s="2987"/>
      <c r="O93" s="2987"/>
      <c r="P93" s="1823"/>
      <c r="Q93" s="1792"/>
    </row>
    <row r="94" spans="1:17" ht="15.75" thickTop="1">
      <c r="A94" s="1824"/>
      <c r="B94" s="1829">
        <f>B29</f>
        <v>111</v>
      </c>
      <c r="C94" s="468"/>
      <c r="D94" s="468"/>
      <c r="E94" s="468"/>
      <c r="F94" s="468"/>
      <c r="G94" s="1548"/>
      <c r="H94" s="1548"/>
      <c r="I94" s="1548"/>
      <c r="J94" s="1548"/>
      <c r="K94" s="473"/>
      <c r="L94" s="473"/>
      <c r="M94" s="1864"/>
      <c r="N94" s="2986"/>
      <c r="O94" s="2986"/>
      <c r="P94" s="1823"/>
      <c r="Q94" s="1792"/>
    </row>
    <row r="95" spans="1:17" ht="15.75" thickBot="1">
      <c r="A95" s="1824"/>
      <c r="B95" s="1832"/>
      <c r="C95" s="1845"/>
      <c r="D95" s="1826"/>
      <c r="E95" s="1826"/>
      <c r="F95" s="1826"/>
      <c r="G95" s="1826"/>
      <c r="H95" s="1826"/>
      <c r="I95" s="1826"/>
      <c r="J95" s="1826"/>
      <c r="K95" s="1826"/>
      <c r="L95" s="1826"/>
      <c r="M95" s="1827"/>
      <c r="N95" s="2987"/>
      <c r="O95" s="2987"/>
      <c r="P95" s="1823"/>
      <c r="Q95" s="1792"/>
    </row>
    <row r="96" spans="1:17" ht="15.75" thickTop="1">
      <c r="A96" s="1824"/>
      <c r="B96" s="1829">
        <f>B30</f>
        <v>111</v>
      </c>
      <c r="C96" s="468"/>
      <c r="D96" s="468"/>
      <c r="E96" s="468"/>
      <c r="F96" s="468"/>
      <c r="G96" s="1548"/>
      <c r="H96" s="1548"/>
      <c r="I96" s="1548"/>
      <c r="J96" s="1548"/>
      <c r="K96" s="473"/>
      <c r="L96" s="473"/>
      <c r="M96" s="1864"/>
      <c r="N96" s="2986"/>
      <c r="O96" s="2986"/>
      <c r="P96" s="1823"/>
      <c r="Q96" s="1792"/>
    </row>
    <row r="97" spans="1:17" ht="15.75" thickBot="1">
      <c r="A97" s="1824"/>
      <c r="B97" s="1832"/>
      <c r="C97" s="1845"/>
      <c r="D97" s="1826"/>
      <c r="E97" s="1826"/>
      <c r="F97" s="1826"/>
      <c r="G97" s="1826"/>
      <c r="H97" s="1826"/>
      <c r="I97" s="1826"/>
      <c r="J97" s="1826"/>
      <c r="K97" s="1826"/>
      <c r="L97" s="1826"/>
      <c r="M97" s="1827"/>
      <c r="N97" s="2987"/>
      <c r="O97" s="2987"/>
      <c r="P97" s="1823"/>
      <c r="Q97" s="1792"/>
    </row>
    <row r="98" spans="1:17" ht="15.75" thickTop="1">
      <c r="A98" s="1824"/>
      <c r="B98" s="1835">
        <f>B31</f>
        <v>111</v>
      </c>
      <c r="C98" s="468"/>
      <c r="D98" s="468"/>
      <c r="E98" s="468"/>
      <c r="F98" s="468"/>
      <c r="G98" s="1865"/>
      <c r="H98" s="1865"/>
      <c r="I98" s="1865"/>
      <c r="J98" s="1865"/>
      <c r="K98" s="477"/>
      <c r="L98" s="477"/>
      <c r="M98" s="1866"/>
      <c r="N98" s="2986"/>
      <c r="O98" s="2986"/>
      <c r="P98" s="1823"/>
      <c r="Q98" s="1792"/>
    </row>
    <row r="99" spans="1:17" ht="15.75" thickBot="1">
      <c r="A99" s="1867"/>
      <c r="B99" s="1852"/>
      <c r="C99" s="1853"/>
      <c r="D99" s="1853"/>
      <c r="E99" s="1853"/>
      <c r="F99" s="1853"/>
      <c r="G99" s="1868"/>
      <c r="H99" s="1868"/>
      <c r="I99" s="1868"/>
      <c r="J99" s="1868"/>
      <c r="K99" s="1868"/>
      <c r="L99" s="1868"/>
      <c r="M99" s="1869"/>
      <c r="N99" s="2987"/>
      <c r="O99" s="2987"/>
      <c r="P99" s="1823"/>
      <c r="Q99" s="1792"/>
    </row>
    <row r="100" spans="1:17">
      <c r="A100" s="1817" t="s">
        <v>2217</v>
      </c>
      <c r="B100" s="1818" t="s">
        <v>2321</v>
      </c>
      <c r="C100" s="1820"/>
      <c r="D100" s="1820"/>
      <c r="E100" s="1820"/>
      <c r="F100" s="1820"/>
      <c r="G100" s="1820"/>
      <c r="H100" s="1820"/>
      <c r="I100" s="1820"/>
      <c r="J100" s="1820"/>
      <c r="K100" s="417"/>
      <c r="L100" s="417"/>
      <c r="M100" s="1821"/>
      <c r="N100" s="2986"/>
      <c r="O100" s="2986"/>
      <c r="P100" s="1823"/>
      <c r="Q100" s="1792"/>
    </row>
    <row r="101" spans="1:17" ht="15.75" thickBot="1">
      <c r="A101" s="1824"/>
      <c r="B101" s="1832"/>
      <c r="C101" s="1833">
        <v>100</v>
      </c>
      <c r="D101" s="1833">
        <f t="shared" ref="D101:M101" si="21">C101-$K32</f>
        <v>100</v>
      </c>
      <c r="E101" s="1833">
        <f t="shared" si="21"/>
        <v>100</v>
      </c>
      <c r="F101" s="1833">
        <f t="shared" si="21"/>
        <v>100</v>
      </c>
      <c r="G101" s="1833">
        <f t="shared" si="21"/>
        <v>100</v>
      </c>
      <c r="H101" s="1833">
        <f t="shared" si="21"/>
        <v>100</v>
      </c>
      <c r="I101" s="1833">
        <f t="shared" si="21"/>
        <v>100</v>
      </c>
      <c r="J101" s="1833">
        <f t="shared" si="21"/>
        <v>100</v>
      </c>
      <c r="K101" s="1833">
        <f t="shared" si="21"/>
        <v>100</v>
      </c>
      <c r="L101" s="1833">
        <f t="shared" si="21"/>
        <v>100</v>
      </c>
      <c r="M101" s="1834">
        <f t="shared" si="21"/>
        <v>100</v>
      </c>
      <c r="N101" s="2987"/>
      <c r="O101" s="2987"/>
      <c r="P101" s="1823"/>
      <c r="Q101" s="1792"/>
    </row>
    <row r="102" spans="1:17" ht="15.75" thickTop="1">
      <c r="A102" s="1824"/>
      <c r="B102" s="1829" t="s">
        <v>2267</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1" t="str">
        <f>M103&amp;"(含)"&amp;"-"&amp;P103</f>
        <v>(含)-</v>
      </c>
      <c r="N102" s="2985"/>
      <c r="O102" s="2985"/>
      <c r="P102" s="1823"/>
      <c r="Q102" s="1792"/>
    </row>
    <row r="103" spans="1:17" s="1742" customFormat="1">
      <c r="A103" s="1870"/>
      <c r="B103" s="1871"/>
      <c r="C103" s="1872"/>
      <c r="D103" s="1872"/>
      <c r="E103" s="1872"/>
      <c r="F103" s="1872"/>
      <c r="G103" s="1872"/>
      <c r="H103" s="1872"/>
      <c r="I103" s="1872"/>
      <c r="J103" s="485"/>
      <c r="K103" s="485"/>
      <c r="L103" s="485"/>
      <c r="M103" s="1873"/>
      <c r="N103" s="2988"/>
      <c r="O103" s="2988"/>
      <c r="P103" s="1843"/>
      <c r="Q103" s="1844"/>
    </row>
    <row r="104" spans="1:17" s="1742" customFormat="1" ht="15.75" thickBot="1">
      <c r="A104" s="1840"/>
      <c r="B104" s="1832"/>
      <c r="C104" s="1845"/>
      <c r="D104" s="1826"/>
      <c r="E104" s="1826"/>
      <c r="F104" s="1826"/>
      <c r="G104" s="1826"/>
      <c r="H104" s="1826"/>
      <c r="I104" s="1826"/>
      <c r="J104" s="1826"/>
      <c r="K104" s="1826"/>
      <c r="L104" s="1826"/>
      <c r="M104" s="1827"/>
      <c r="N104" s="2987"/>
      <c r="O104" s="2987"/>
      <c r="P104" s="1843"/>
      <c r="Q104" s="1844"/>
    </row>
    <row r="105" spans="1:17" ht="15" thickTop="1">
      <c r="A105" s="1874"/>
      <c r="B105" s="1829" t="s">
        <v>2268</v>
      </c>
      <c r="C105" s="468"/>
      <c r="D105" s="468"/>
      <c r="E105" s="1548"/>
      <c r="F105" s="1548"/>
      <c r="G105" s="1548"/>
      <c r="H105" s="1548"/>
      <c r="I105" s="1548"/>
      <c r="J105" s="1548"/>
      <c r="K105" s="473"/>
      <c r="L105" s="473"/>
      <c r="M105" s="1864"/>
      <c r="N105" s="2986"/>
      <c r="O105" s="2986"/>
      <c r="P105" s="1823"/>
      <c r="Q105" s="1792"/>
    </row>
    <row r="106" spans="1:17" ht="15.75" thickBot="1">
      <c r="A106" s="1824"/>
      <c r="B106" s="1832"/>
      <c r="C106" s="1833">
        <v>100</v>
      </c>
      <c r="D106" s="1833">
        <f t="shared" ref="D106:M106" si="23">C106-$K34</f>
        <v>100</v>
      </c>
      <c r="E106" s="1833">
        <f t="shared" si="23"/>
        <v>100</v>
      </c>
      <c r="F106" s="1833">
        <f t="shared" si="23"/>
        <v>100</v>
      </c>
      <c r="G106" s="1833">
        <f t="shared" si="23"/>
        <v>100</v>
      </c>
      <c r="H106" s="1833">
        <f t="shared" si="23"/>
        <v>100</v>
      </c>
      <c r="I106" s="1833">
        <f t="shared" si="23"/>
        <v>100</v>
      </c>
      <c r="J106" s="1833">
        <f t="shared" si="23"/>
        <v>100</v>
      </c>
      <c r="K106" s="1833">
        <f t="shared" si="23"/>
        <v>100</v>
      </c>
      <c r="L106" s="1833">
        <f t="shared" si="23"/>
        <v>100</v>
      </c>
      <c r="M106" s="1834">
        <f t="shared" si="23"/>
        <v>100</v>
      </c>
      <c r="N106" s="2987"/>
      <c r="O106" s="2987"/>
      <c r="P106" s="1823"/>
      <c r="Q106" s="1792"/>
    </row>
    <row r="107" spans="1:17" ht="15" thickTop="1">
      <c r="A107" s="1874"/>
      <c r="B107" s="1829" t="s">
        <v>2270</v>
      </c>
      <c r="C107" s="468"/>
      <c r="D107" s="468"/>
      <c r="E107" s="468"/>
      <c r="F107" s="1548"/>
      <c r="G107" s="1548"/>
      <c r="H107" s="1548"/>
      <c r="I107" s="1548"/>
      <c r="J107" s="1548"/>
      <c r="K107" s="473"/>
      <c r="L107" s="473"/>
      <c r="M107" s="1864"/>
      <c r="N107" s="2986"/>
      <c r="O107" s="2986"/>
      <c r="P107" s="1823"/>
      <c r="Q107" s="1792"/>
    </row>
    <row r="108" spans="1:17" ht="15.75" thickBot="1">
      <c r="A108" s="1824"/>
      <c r="B108" s="1832"/>
      <c r="C108" s="1833">
        <v>100</v>
      </c>
      <c r="D108" s="1833">
        <f t="shared" ref="D108:M108" si="24">C108-$K35</f>
        <v>100</v>
      </c>
      <c r="E108" s="1833">
        <f t="shared" si="24"/>
        <v>100</v>
      </c>
      <c r="F108" s="1833">
        <f t="shared" si="24"/>
        <v>100</v>
      </c>
      <c r="G108" s="1833">
        <f t="shared" si="24"/>
        <v>100</v>
      </c>
      <c r="H108" s="1833">
        <f t="shared" si="24"/>
        <v>100</v>
      </c>
      <c r="I108" s="1833">
        <f t="shared" si="24"/>
        <v>100</v>
      </c>
      <c r="J108" s="1833">
        <f t="shared" si="24"/>
        <v>100</v>
      </c>
      <c r="K108" s="1833">
        <f t="shared" si="24"/>
        <v>100</v>
      </c>
      <c r="L108" s="1833">
        <f t="shared" si="24"/>
        <v>100</v>
      </c>
      <c r="M108" s="1834">
        <f t="shared" si="24"/>
        <v>100</v>
      </c>
      <c r="N108" s="2987"/>
      <c r="O108" s="2987"/>
      <c r="P108" s="1823"/>
      <c r="Q108" s="1792"/>
    </row>
    <row r="109" spans="1:17" ht="15" thickTop="1">
      <c r="A109" s="1874"/>
      <c r="B109" s="1829" t="s">
        <v>2271</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4"/>
      <c r="N109" s="2986"/>
      <c r="O109" s="2986"/>
      <c r="P109" s="1823"/>
      <c r="Q109" s="1792"/>
    </row>
    <row r="110" spans="1:17">
      <c r="A110" s="1874"/>
      <c r="B110" s="1835"/>
      <c r="C110" s="1876">
        <v>0.5</v>
      </c>
      <c r="D110" s="1876">
        <v>0.6</v>
      </c>
      <c r="E110" s="1876">
        <v>0.7</v>
      </c>
      <c r="F110" s="1876">
        <v>0.8</v>
      </c>
      <c r="G110" s="1876">
        <v>0.9</v>
      </c>
      <c r="H110" s="1876">
        <v>1</v>
      </c>
      <c r="I110" s="2454"/>
      <c r="J110" s="2454"/>
      <c r="K110" s="508"/>
      <c r="L110" s="508"/>
      <c r="M110" s="2455"/>
      <c r="N110" s="2986"/>
      <c r="O110" s="2986"/>
      <c r="P110" s="1823"/>
      <c r="Q110" s="1792"/>
    </row>
    <row r="111" spans="1:17" ht="15.75" thickBot="1">
      <c r="A111" s="1824"/>
      <c r="B111" s="1832"/>
      <c r="C111" s="1862">
        <v>100</v>
      </c>
      <c r="D111" s="1833">
        <f>C111+$K36</f>
        <v>100</v>
      </c>
      <c r="E111" s="1833">
        <f t="shared" ref="E111:M111" si="25">D111+$K36</f>
        <v>100</v>
      </c>
      <c r="F111" s="1833">
        <f t="shared" si="25"/>
        <v>100</v>
      </c>
      <c r="G111" s="1833">
        <f t="shared" si="25"/>
        <v>100</v>
      </c>
      <c r="H111" s="1833">
        <f t="shared" si="25"/>
        <v>100</v>
      </c>
      <c r="I111" s="1833">
        <f t="shared" si="25"/>
        <v>100</v>
      </c>
      <c r="J111" s="1833">
        <f t="shared" si="25"/>
        <v>100</v>
      </c>
      <c r="K111" s="1833">
        <f t="shared" si="25"/>
        <v>100</v>
      </c>
      <c r="L111" s="1833">
        <f t="shared" si="25"/>
        <v>100</v>
      </c>
      <c r="M111" s="1833">
        <f t="shared" si="25"/>
        <v>100</v>
      </c>
      <c r="N111" s="2987"/>
      <c r="O111" s="2987"/>
      <c r="P111" s="1823"/>
      <c r="Q111" s="1792"/>
    </row>
    <row r="112" spans="1:17" s="1742" customFormat="1" ht="15" thickTop="1">
      <c r="A112" s="1870"/>
      <c r="B112" s="1829" t="s">
        <v>2273</v>
      </c>
      <c r="C112" s="468"/>
      <c r="D112" s="468"/>
      <c r="E112" s="468"/>
      <c r="F112" s="468"/>
      <c r="G112" s="468"/>
      <c r="H112" s="1548"/>
      <c r="I112" s="1548"/>
      <c r="J112" s="1548"/>
      <c r="K112" s="473"/>
      <c r="L112" s="473"/>
      <c r="M112" s="1864"/>
      <c r="N112" s="2988"/>
      <c r="O112" s="2988"/>
      <c r="P112" s="1843"/>
      <c r="Q112" s="1844"/>
    </row>
    <row r="113" spans="1:17" s="1742" customFormat="1" ht="15.75" thickBot="1">
      <c r="A113" s="1840"/>
      <c r="B113" s="1832"/>
      <c r="C113" s="1833">
        <v>100</v>
      </c>
      <c r="D113" s="1833">
        <f>C113-$K37</f>
        <v>100</v>
      </c>
      <c r="E113" s="1833">
        <f t="shared" ref="E113:M113" si="26">D113-$K37</f>
        <v>100</v>
      </c>
      <c r="F113" s="1833">
        <f t="shared" si="26"/>
        <v>100</v>
      </c>
      <c r="G113" s="1833">
        <f t="shared" si="26"/>
        <v>100</v>
      </c>
      <c r="H113" s="1833">
        <f t="shared" si="26"/>
        <v>100</v>
      </c>
      <c r="I113" s="1833">
        <f t="shared" si="26"/>
        <v>100</v>
      </c>
      <c r="J113" s="1833">
        <f t="shared" si="26"/>
        <v>100</v>
      </c>
      <c r="K113" s="1833">
        <f t="shared" si="26"/>
        <v>100</v>
      </c>
      <c r="L113" s="1833">
        <f t="shared" si="26"/>
        <v>100</v>
      </c>
      <c r="M113" s="1833">
        <f t="shared" si="26"/>
        <v>100</v>
      </c>
      <c r="N113" s="2988"/>
      <c r="O113" s="2988"/>
      <c r="P113" s="1843"/>
      <c r="Q113" s="1844"/>
    </row>
    <row r="114" spans="1:17" ht="15" thickTop="1">
      <c r="A114" s="1874"/>
      <c r="B114" s="1829" t="s">
        <v>2322</v>
      </c>
      <c r="C114" s="468"/>
      <c r="D114" s="468"/>
      <c r="E114" s="1548"/>
      <c r="F114" s="1548"/>
      <c r="G114" s="1548"/>
      <c r="H114" s="1548"/>
      <c r="I114" s="1548"/>
      <c r="J114" s="1548"/>
      <c r="K114" s="473"/>
      <c r="L114" s="473"/>
      <c r="M114" s="1864"/>
      <c r="N114" s="2986"/>
      <c r="O114" s="2986"/>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4">
        <f t="shared" si="27"/>
        <v>100</v>
      </c>
      <c r="N115" s="2987"/>
      <c r="O115" s="2987"/>
      <c r="P115" s="1823"/>
      <c r="Q115" s="1792"/>
    </row>
    <row r="116" spans="1:17" ht="15" thickTop="1">
      <c r="A116" s="1874"/>
      <c r="B116" s="1829" t="s">
        <v>2323</v>
      </c>
      <c r="C116" s="468"/>
      <c r="D116" s="468"/>
      <c r="E116" s="468"/>
      <c r="F116" s="468"/>
      <c r="G116" s="468"/>
      <c r="H116" s="1548"/>
      <c r="I116" s="1548"/>
      <c r="J116" s="1548"/>
      <c r="K116" s="473"/>
      <c r="L116" s="473"/>
      <c r="M116" s="1864"/>
      <c r="N116" s="2986"/>
      <c r="O116" s="2986"/>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2987"/>
      <c r="O117" s="2987"/>
      <c r="P117" s="1823"/>
      <c r="Q117" s="1792"/>
    </row>
    <row r="118" spans="1:17" ht="15" thickTop="1">
      <c r="A118" s="1874"/>
      <c r="B118" s="1829" t="s">
        <v>2324</v>
      </c>
      <c r="C118" s="2456"/>
      <c r="D118" s="2456"/>
      <c r="E118" s="2456"/>
      <c r="F118" s="2456"/>
      <c r="G118" s="2456"/>
      <c r="H118" s="443"/>
      <c r="I118" s="443"/>
      <c r="J118" s="443"/>
      <c r="K118" s="443"/>
      <c r="L118" s="443"/>
      <c r="M118" s="1841"/>
      <c r="N118" s="2986"/>
      <c r="O118" s="2986"/>
      <c r="P118" s="1823"/>
      <c r="Q118" s="1792"/>
    </row>
    <row r="119" spans="1:17" ht="15.75" thickBot="1">
      <c r="A119" s="1824"/>
      <c r="B119" s="1832"/>
      <c r="C119" s="1845"/>
      <c r="D119" s="1826"/>
      <c r="E119" s="1826"/>
      <c r="F119" s="1826"/>
      <c r="G119" s="1826"/>
      <c r="H119" s="1826"/>
      <c r="I119" s="1826"/>
      <c r="J119" s="1826"/>
      <c r="K119" s="1826"/>
      <c r="L119" s="1826"/>
      <c r="M119" s="1827"/>
      <c r="N119" s="2987"/>
      <c r="O119" s="2987"/>
      <c r="P119" s="1823"/>
      <c r="Q119" s="1792"/>
    </row>
    <row r="120" spans="1:17" s="1742" customFormat="1" ht="15" thickTop="1">
      <c r="A120" s="1870"/>
      <c r="B120" s="1829" t="s">
        <v>2325</v>
      </c>
      <c r="C120" s="1548"/>
      <c r="D120" s="1548"/>
      <c r="E120" s="1548"/>
      <c r="F120" s="1548"/>
      <c r="G120" s="443"/>
      <c r="H120" s="443"/>
      <c r="I120" s="443"/>
      <c r="J120" s="443"/>
      <c r="K120" s="443"/>
      <c r="L120" s="443"/>
      <c r="M120" s="1841"/>
      <c r="N120" s="2988"/>
      <c r="O120" s="2988"/>
      <c r="P120" s="1843"/>
      <c r="Q120" s="1844"/>
    </row>
    <row r="121" spans="1:17" s="1742" customFormat="1" ht="15.75" thickBot="1">
      <c r="A121" s="1840"/>
      <c r="B121" s="1825"/>
      <c r="C121" s="1862">
        <v>100</v>
      </c>
      <c r="D121" s="1833">
        <f>C121-$K41</f>
        <v>100</v>
      </c>
      <c r="E121" s="1833">
        <f t="shared" ref="E121:M121" si="28">D121-$K41</f>
        <v>100</v>
      </c>
      <c r="F121" s="1833">
        <f t="shared" si="28"/>
        <v>100</v>
      </c>
      <c r="G121" s="1833">
        <f t="shared" si="28"/>
        <v>100</v>
      </c>
      <c r="H121" s="1833">
        <f t="shared" si="28"/>
        <v>100</v>
      </c>
      <c r="I121" s="1833">
        <f t="shared" si="28"/>
        <v>100</v>
      </c>
      <c r="J121" s="1833">
        <f t="shared" si="28"/>
        <v>100</v>
      </c>
      <c r="K121" s="1833">
        <f t="shared" si="28"/>
        <v>100</v>
      </c>
      <c r="L121" s="1833">
        <f t="shared" si="28"/>
        <v>100</v>
      </c>
      <c r="M121" s="1834">
        <f t="shared" si="28"/>
        <v>100</v>
      </c>
      <c r="N121" s="2988"/>
      <c r="O121" s="2988"/>
      <c r="P121" s="1843"/>
      <c r="Q121" s="1844"/>
    </row>
    <row r="122" spans="1:17" ht="15" thickTop="1">
      <c r="A122" s="1874"/>
      <c r="B122" s="1829" t="s">
        <v>2275</v>
      </c>
      <c r="C122" s="468"/>
      <c r="D122" s="468"/>
      <c r="E122" s="468"/>
      <c r="F122" s="1548"/>
      <c r="G122" s="1548"/>
      <c r="H122" s="1548"/>
      <c r="I122" s="1548"/>
      <c r="J122" s="1548"/>
      <c r="K122" s="473"/>
      <c r="L122" s="473"/>
      <c r="M122" s="1864"/>
      <c r="N122" s="2986"/>
      <c r="O122" s="2986"/>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4">
        <f t="shared" si="29"/>
        <v>100</v>
      </c>
      <c r="N123" s="2987"/>
      <c r="O123" s="2987"/>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2986"/>
      <c r="O124" s="2986"/>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2987"/>
      <c r="O125" s="2987"/>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2988"/>
      <c r="O126" s="2988"/>
      <c r="P126" s="1843"/>
      <c r="Q126" s="1844"/>
    </row>
    <row r="127" spans="1:17" s="1742" customFormat="1" ht="15.75" thickBot="1">
      <c r="A127" s="1840"/>
      <c r="B127" s="1832"/>
      <c r="C127" s="1845"/>
      <c r="D127" s="1826"/>
      <c r="E127" s="1826"/>
      <c r="F127" s="1826"/>
      <c r="G127" s="1845"/>
      <c r="H127" s="1848"/>
      <c r="I127" s="1848"/>
      <c r="J127" s="1848"/>
      <c r="K127" s="1848"/>
      <c r="L127" s="1848"/>
      <c r="M127" s="1849"/>
      <c r="N127" s="2988"/>
      <c r="O127" s="2988"/>
      <c r="P127" s="1843"/>
      <c r="Q127" s="1844"/>
    </row>
    <row r="128" spans="1:17" ht="15" thickTop="1">
      <c r="A128" s="1874"/>
      <c r="B128" s="1829">
        <f>B45</f>
        <v>111</v>
      </c>
      <c r="C128" s="468"/>
      <c r="D128" s="468"/>
      <c r="E128" s="468"/>
      <c r="F128" s="468"/>
      <c r="G128" s="1548"/>
      <c r="H128" s="1548"/>
      <c r="I128" s="1548"/>
      <c r="J128" s="1548"/>
      <c r="K128" s="473"/>
      <c r="L128" s="473"/>
      <c r="M128" s="1864"/>
      <c r="N128" s="2986"/>
      <c r="O128" s="2986"/>
      <c r="P128" s="1823"/>
      <c r="Q128" s="1792"/>
    </row>
    <row r="129" spans="1:17" ht="15.75" thickBot="1">
      <c r="A129" s="1824"/>
      <c r="B129" s="1832"/>
      <c r="C129" s="1845"/>
      <c r="D129" s="1826"/>
      <c r="E129" s="1826"/>
      <c r="F129" s="1826"/>
      <c r="G129" s="1826"/>
      <c r="H129" s="1826"/>
      <c r="I129" s="1826"/>
      <c r="J129" s="1826"/>
      <c r="K129" s="1826"/>
      <c r="L129" s="1826"/>
      <c r="M129" s="1827"/>
      <c r="N129" s="2987"/>
      <c r="O129" s="2987"/>
      <c r="P129" s="1823"/>
      <c r="Q129" s="1792"/>
    </row>
    <row r="130" spans="1:17" ht="15" thickTop="1">
      <c r="A130" s="1874"/>
      <c r="B130" s="1835">
        <f>B46</f>
        <v>111</v>
      </c>
      <c r="C130" s="468"/>
      <c r="D130" s="468"/>
      <c r="E130" s="468"/>
      <c r="F130" s="468"/>
      <c r="G130" s="1865"/>
      <c r="H130" s="1865"/>
      <c r="I130" s="1865"/>
      <c r="J130" s="1865"/>
      <c r="K130" s="409"/>
      <c r="L130" s="409"/>
      <c r="M130" s="1866"/>
      <c r="N130" s="2986"/>
      <c r="O130" s="2986"/>
      <c r="P130" s="1823"/>
      <c r="Q130" s="1792"/>
    </row>
    <row r="131" spans="1:17" ht="15.75" thickBot="1">
      <c r="A131" s="1867"/>
      <c r="B131" s="1852"/>
      <c r="C131" s="1853"/>
      <c r="D131" s="1853"/>
      <c r="E131" s="1853"/>
      <c r="F131" s="1853"/>
      <c r="G131" s="1868"/>
      <c r="H131" s="1868"/>
      <c r="I131" s="1868"/>
      <c r="J131" s="1868"/>
      <c r="K131" s="1868"/>
      <c r="L131" s="1868"/>
      <c r="M131" s="1869"/>
      <c r="N131" s="2987"/>
      <c r="O131" s="2987"/>
      <c r="P131" s="1823"/>
      <c r="Q131" s="179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6">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C000000}">
      <formula1>商业公共部分装修</formula1>
    </dataValidation>
    <dataValidation type="list" allowBlank="1" showInputMessage="1" showErrorMessage="1" sqref="C37 E37 G37 I37" xr:uid="{00000000-0002-0000-1600-00000D000000}">
      <formula1>商业基础设施水平</formula1>
    </dataValidation>
    <dataValidation type="list" allowBlank="1" showInputMessage="1" showErrorMessage="1" sqref="C41 E41 G41 I41" xr:uid="{00000000-0002-0000-1600-00000E000000}">
      <formula1>商业进深比</formula1>
    </dataValidation>
    <dataValidation type="list" allowBlank="1" showInputMessage="1" showErrorMessage="1" sqref="C42 E42 G42 I42" xr:uid="{00000000-0002-0000-1600-00000F000000}">
      <formula1>商业内部装修</formula1>
    </dataValidation>
    <dataValidation type="list" allowBlank="1" showInputMessage="1" showErrorMessage="1" sqref="E9 G9 I9" xr:uid="{00000000-0002-0000-1600-000010000000}">
      <formula1>商业用途</formula1>
    </dataValidation>
    <dataValidation type="list" allowBlank="1" showInputMessage="1" showErrorMessage="1" sqref="C38 E38 G38 I38" xr:uid="{00000000-0002-0000-1600-000011000000}">
      <formula1>商业业态</formula1>
    </dataValidation>
    <dataValidation type="list" allowBlank="1" showInputMessage="1" showErrorMessage="1" sqref="C39 E39 G39 I39" xr:uid="{00000000-0002-0000-1600-000012000000}">
      <formula1>商业层高</formula1>
    </dataValidation>
    <dataValidation type="list" allowBlank="1" showInputMessage="1" showErrorMessage="1" sqref="C8 E8 G8 I8" xr:uid="{00000000-0002-0000-1600-000013000000}">
      <formula1>商业交易情况</formula1>
    </dataValidation>
    <dataValidation type="list" allowBlank="1" showInputMessage="1" showErrorMessage="1" sqref="C16 E16 G16 I16" xr:uid="{00000000-0002-0000-1600-000014000000}">
      <formula1>商业繁华度</formula1>
    </dataValidation>
    <dataValidation type="list" allowBlank="1" showInputMessage="1" showErrorMessage="1" sqref="C1" xr:uid="{00000000-0002-0000-1600-000015000000}">
      <formula1>"估价对象,仅计算典型户型"</formula1>
    </dataValidation>
    <dataValidation type="list" allowBlank="1" showInputMessage="1" showErrorMessage="1" sqref="C22 E22 G22 I22" xr:uid="{00000000-0002-0000-1600-000016000000}">
      <formula1>基础设施水平</formula1>
    </dataValidation>
    <dataValidation type="list" allowBlank="1" showInputMessage="1" showErrorMessage="1" sqref="E1" xr:uid="{00000000-0002-0000-1600-000017000000}">
      <formula1>"售价,租金"</formula1>
    </dataValidation>
    <dataValidation type="list" allowBlank="1" showInputMessage="1" showErrorMessage="1" sqref="D2" xr:uid="{00000000-0002-0000-1600-000018000000}">
      <formula1>"需扣减承租人权益,——"</formula1>
    </dataValidation>
    <dataValidation type="list" allowBlank="1" showInputMessage="1" showErrorMessage="1" sqref="G2" xr:uid="{00000000-0002-0000-1600-000019000000}">
      <formula1>估价方法</formula1>
    </dataValidation>
    <dataValidation type="list" allowBlank="1" showInputMessage="1" showErrorMessage="1" sqref="D48" xr:uid="{00000000-0002-0000-1600-00001A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M31" sqref="M31"/>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2184</v>
      </c>
      <c r="B1" s="1197" t="s">
        <v>2343</v>
      </c>
      <c r="C1" s="1189"/>
      <c r="D1" s="1202"/>
      <c r="E1" s="1529"/>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IF(D2="——",IF(C2="元",ROUND(C43*D3,0),ROUND(C43*D3/10000,0)),IF(C2="元",ROUND(C43*D3,0),ROUND(C43*D3/10000,0))-E2)</f>
        <v>#DIV/0!</v>
      </c>
      <c r="C2" s="79" t="str">
        <f>'数据-取费表'!B3</f>
        <v>万元</v>
      </c>
      <c r="D2" s="1530"/>
      <c r="E2" s="1549" t="e">
        <f ca="1">SUMIF(INDIRECT("'"&amp;G2&amp;"'"&amp;"!A:A"),"承租人权益价值",INDIRECT("'"&amp;G2&amp;"'"&amp;"!c:c"))</f>
        <v>#REF!</v>
      </c>
      <c r="F2" s="1531" t="str">
        <f>C2</f>
        <v>万元</v>
      </c>
      <c r="G2" s="1532"/>
      <c r="H2" s="2990"/>
      <c r="I2" s="2990"/>
      <c r="J2" s="2990"/>
      <c r="K2" s="2990"/>
      <c r="L2" s="2991"/>
      <c r="M2" s="2992"/>
      <c r="N2" s="2992"/>
      <c r="O2" s="2992"/>
      <c r="P2" s="625"/>
      <c r="Q2" s="625"/>
      <c r="R2" s="625"/>
      <c r="S2" s="625"/>
      <c r="T2" s="625"/>
      <c r="U2" s="625"/>
      <c r="V2" s="625"/>
      <c r="W2" s="625"/>
      <c r="X2" s="625"/>
      <c r="Y2" s="625"/>
      <c r="Z2" s="625"/>
      <c r="AA2" s="625"/>
      <c r="AB2" s="625"/>
      <c r="AC2" s="639"/>
    </row>
    <row r="3" spans="1:29" s="291" customFormat="1" ht="28.5" customHeight="1" thickBot="1">
      <c r="A3" s="83" t="s">
        <v>1857</v>
      </c>
      <c r="B3" s="495" t="e">
        <f ca="1">ROUND(IF(D2="——",C43,IF(C2="万元",B2*10000/D3,B2/D3)),0)</f>
        <v>#DIV/0!</v>
      </c>
      <c r="C3" s="293" t="s">
        <v>2187</v>
      </c>
      <c r="D3" s="292">
        <f>IF(C1="仅计算典型户型",'数据-取费表'!E5,'数据-取费表'!B5)</f>
        <v>240.88</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54" t="s">
        <v>2189</v>
      </c>
      <c r="D4" s="3655"/>
      <c r="E4" s="3656" t="s">
        <v>2190</v>
      </c>
      <c r="F4" s="3657"/>
      <c r="G4" s="3654" t="s">
        <v>2191</v>
      </c>
      <c r="H4" s="3655"/>
      <c r="I4" s="3654" t="s">
        <v>2192</v>
      </c>
      <c r="J4" s="3655"/>
      <c r="K4" s="496" t="s">
        <v>2193</v>
      </c>
      <c r="L4" s="2995"/>
      <c r="M4" s="2996"/>
      <c r="N4" s="2996"/>
      <c r="O4" s="2996"/>
      <c r="P4" s="3658" t="s">
        <v>2194</v>
      </c>
      <c r="Q4" s="3659"/>
      <c r="R4" s="3641" t="s">
        <v>2190</v>
      </c>
      <c r="S4" s="3642"/>
      <c r="T4" s="3641" t="s">
        <v>2191</v>
      </c>
      <c r="U4" s="3642"/>
      <c r="V4" s="3664" t="s">
        <v>2192</v>
      </c>
      <c r="W4" s="3664"/>
      <c r="X4" s="1305"/>
      <c r="Y4" s="3641" t="s">
        <v>2194</v>
      </c>
      <c r="Z4" s="3642"/>
      <c r="AA4" s="3651" t="s">
        <v>2190</v>
      </c>
      <c r="AB4" s="3652" t="s">
        <v>2191</v>
      </c>
      <c r="AC4" s="3651" t="s">
        <v>2192</v>
      </c>
    </row>
    <row r="5" spans="1:29" ht="15">
      <c r="A5" s="297"/>
      <c r="B5" s="298"/>
      <c r="C5" s="3667" t="s">
        <v>2195</v>
      </c>
      <c r="D5" s="3668"/>
      <c r="E5" s="3665" t="s">
        <v>2196</v>
      </c>
      <c r="F5" s="3666"/>
      <c r="G5" s="3667" t="s">
        <v>2197</v>
      </c>
      <c r="H5" s="3668"/>
      <c r="I5" s="3667" t="s">
        <v>2198</v>
      </c>
      <c r="J5" s="3668"/>
      <c r="K5" s="496"/>
      <c r="L5" s="2995"/>
      <c r="M5" s="2996"/>
      <c r="N5" s="2996"/>
      <c r="O5" s="2996"/>
      <c r="P5" s="3660"/>
      <c r="Q5" s="3661"/>
      <c r="R5" s="3643"/>
      <c r="S5" s="3644"/>
      <c r="T5" s="3643"/>
      <c r="U5" s="3644"/>
      <c r="V5" s="3664"/>
      <c r="W5" s="3664"/>
      <c r="X5" s="1305"/>
      <c r="Y5" s="3643"/>
      <c r="Z5" s="3644"/>
      <c r="AA5" s="3652"/>
      <c r="AB5" s="3652"/>
      <c r="AC5" s="3652"/>
    </row>
    <row r="6" spans="1:29" ht="15.75" thickBot="1">
      <c r="A6" s="299"/>
      <c r="B6" s="300"/>
      <c r="C6" s="3669" t="s">
        <v>2199</v>
      </c>
      <c r="D6" s="3670"/>
      <c r="E6" s="3671" t="s">
        <v>2199</v>
      </c>
      <c r="F6" s="3672"/>
      <c r="G6" s="3669" t="s">
        <v>2199</v>
      </c>
      <c r="H6" s="3670"/>
      <c r="I6" s="3669" t="s">
        <v>2199</v>
      </c>
      <c r="J6" s="3670"/>
      <c r="K6" s="496" t="s">
        <v>2200</v>
      </c>
      <c r="L6" s="2995"/>
      <c r="M6" s="2996"/>
      <c r="N6" s="2996"/>
      <c r="O6" s="2996"/>
      <c r="P6" s="3662"/>
      <c r="Q6" s="3663"/>
      <c r="R6" s="3643"/>
      <c r="S6" s="3644"/>
      <c r="T6" s="3645"/>
      <c r="U6" s="3646"/>
      <c r="V6" s="3664"/>
      <c r="W6" s="3664"/>
      <c r="X6" s="1305"/>
      <c r="Y6" s="3645"/>
      <c r="Z6" s="3646"/>
      <c r="AA6" s="3653"/>
      <c r="AB6" s="3653"/>
      <c r="AC6" s="3653"/>
    </row>
    <row r="7" spans="1:29" s="25" customFormat="1" ht="15.75" thickBot="1">
      <c r="A7" s="301" t="s">
        <v>2201</v>
      </c>
      <c r="B7" s="302"/>
      <c r="C7" s="303">
        <f>'数据-取费表'!B2</f>
        <v>44645</v>
      </c>
      <c r="D7" s="304">
        <v>100</v>
      </c>
      <c r="E7" s="305"/>
      <c r="F7" s="306">
        <f>SUMIF(52:52,YEAR(E7)&amp;"-"&amp;MONTH(E7),53:53)</f>
        <v>0</v>
      </c>
      <c r="G7" s="305"/>
      <c r="H7" s="304">
        <f>SUMIF(52:52,YEAR(G7)&amp;"-"&amp;MONTH(G7),53:53)</f>
        <v>0</v>
      </c>
      <c r="I7" s="305"/>
      <c r="J7" s="304">
        <f>SUMIF(52:52,YEAR(I7)&amp;"-"&amp;MONTH(I7),53:53)</f>
        <v>0</v>
      </c>
      <c r="K7" s="497"/>
      <c r="L7" s="2997"/>
      <c r="M7" s="2998"/>
      <c r="N7" s="2998"/>
      <c r="O7" s="2998"/>
      <c r="P7" s="3639" t="s">
        <v>2202</v>
      </c>
      <c r="Q7" s="3647"/>
      <c r="R7" s="627" t="s">
        <v>25</v>
      </c>
      <c r="S7" s="628">
        <f t="shared" ref="S7:S15" si="0">F7</f>
        <v>0</v>
      </c>
      <c r="T7" s="627" t="s">
        <v>25</v>
      </c>
      <c r="U7" s="628">
        <f t="shared" ref="U7:U15" si="1">H7</f>
        <v>0</v>
      </c>
      <c r="V7" s="627" t="s">
        <v>25</v>
      </c>
      <c r="W7" s="628">
        <f t="shared" ref="W7:W15" si="2">J7</f>
        <v>0</v>
      </c>
      <c r="X7" s="629"/>
      <c r="Y7" s="3639" t="s">
        <v>2202</v>
      </c>
      <c r="Z7" s="3640"/>
      <c r="AA7" s="630" t="e">
        <f>D7/F7</f>
        <v>#DIV/0!</v>
      </c>
      <c r="AB7" s="630" t="e">
        <f>D7/H7</f>
        <v>#DIV/0!</v>
      </c>
      <c r="AC7" s="630" t="e">
        <f>D7/J7</f>
        <v>#DIV/0!</v>
      </c>
    </row>
    <row r="8" spans="1:29" s="25" customFormat="1" ht="15.75" thickBot="1">
      <c r="A8" s="301" t="s">
        <v>2203</v>
      </c>
      <c r="B8" s="302"/>
      <c r="C8" s="307" t="s">
        <v>2817</v>
      </c>
      <c r="D8" s="304">
        <v>100</v>
      </c>
      <c r="E8" s="307"/>
      <c r="F8" s="306">
        <f>SUMIF(55:55,E8,56:56)-SUMIF(55:55,C8,56:56)+100</f>
        <v>0</v>
      </c>
      <c r="G8" s="307"/>
      <c r="H8" s="304">
        <f>SUMIF(55:55,G8,56:56)-SUMIF(55:55,C8,56:56)+100</f>
        <v>0</v>
      </c>
      <c r="I8" s="307"/>
      <c r="J8" s="304">
        <f>SUMIF(55:55,I8,56:56)-SUMIF(55:55,C8,56:56)+100</f>
        <v>0</v>
      </c>
      <c r="K8" s="497"/>
      <c r="L8" s="2997"/>
      <c r="M8" s="2998"/>
      <c r="N8" s="2998"/>
      <c r="O8" s="2998"/>
      <c r="P8" s="3639" t="s">
        <v>2205</v>
      </c>
      <c r="Q8" s="3640"/>
      <c r="R8" s="627" t="s">
        <v>25</v>
      </c>
      <c r="S8" s="628">
        <f t="shared" si="0"/>
        <v>0</v>
      </c>
      <c r="T8" s="627" t="s">
        <v>25</v>
      </c>
      <c r="U8" s="628">
        <f t="shared" si="1"/>
        <v>0</v>
      </c>
      <c r="V8" s="627" t="s">
        <v>25</v>
      </c>
      <c r="W8" s="628">
        <f t="shared" si="2"/>
        <v>0</v>
      </c>
      <c r="X8" s="629"/>
      <c r="Y8" s="3639" t="s">
        <v>2205</v>
      </c>
      <c r="Z8" s="3640"/>
      <c r="AA8" s="630" t="e">
        <f t="shared" ref="AA8:AA40" si="3">D8/F8</f>
        <v>#DIV/0!</v>
      </c>
      <c r="AB8" s="630" t="e">
        <f t="shared" ref="AB8:AB40" si="4">D8/H8</f>
        <v>#DIV/0!</v>
      </c>
      <c r="AC8" s="630" t="e">
        <f t="shared" ref="AC8:AC40" si="5">D8/J8</f>
        <v>#DIV/0!</v>
      </c>
    </row>
    <row r="9" spans="1:29" s="25" customFormat="1">
      <c r="A9" s="308" t="s">
        <v>2206</v>
      </c>
      <c r="B9" s="24" t="s">
        <v>2207</v>
      </c>
      <c r="C9" s="309"/>
      <c r="D9" s="28">
        <v>100</v>
      </c>
      <c r="E9" s="311"/>
      <c r="F9" s="28">
        <f>SUMIF(57:57,E9,58:58)-SUMIF(57:57,C9,58:58)+100</f>
        <v>100</v>
      </c>
      <c r="G9" s="310"/>
      <c r="H9" s="28">
        <f>SUMIF(57:57,G9,58:58)-SUMIF(57:57,C9,58:58)+100</f>
        <v>100</v>
      </c>
      <c r="I9" s="310"/>
      <c r="J9" s="28">
        <f>SUMIF(57:57,I9,58:58)-SUMIF(57:57,C9,58:58)+100</f>
        <v>100</v>
      </c>
      <c r="K9" s="497"/>
      <c r="L9" s="2997"/>
      <c r="M9" s="2998"/>
      <c r="N9" s="2998"/>
      <c r="O9" s="2999"/>
      <c r="P9" s="3631" t="s">
        <v>2208</v>
      </c>
      <c r="Q9" s="1297" t="str">
        <f t="shared" ref="Q9:Q15" si="6">B9</f>
        <v>用途</v>
      </c>
      <c r="R9" s="627" t="s">
        <v>25</v>
      </c>
      <c r="S9" s="628">
        <f t="shared" si="0"/>
        <v>100</v>
      </c>
      <c r="T9" s="627" t="s">
        <v>25</v>
      </c>
      <c r="U9" s="628">
        <f t="shared" si="1"/>
        <v>100</v>
      </c>
      <c r="V9" s="627" t="s">
        <v>25</v>
      </c>
      <c r="W9" s="628">
        <f t="shared" si="2"/>
        <v>100</v>
      </c>
      <c r="X9" s="629"/>
      <c r="Y9" s="3650" t="s">
        <v>2209</v>
      </c>
      <c r="Z9" s="19" t="str">
        <f t="shared" ref="Z9:Z15" si="7">Q9</f>
        <v>用途</v>
      </c>
      <c r="AA9" s="630">
        <f t="shared" si="3"/>
        <v>1</v>
      </c>
      <c r="AB9" s="630">
        <f t="shared" si="4"/>
        <v>1</v>
      </c>
      <c r="AC9" s="630">
        <f t="shared" si="5"/>
        <v>1</v>
      </c>
    </row>
    <row r="10" spans="1:29" s="317" customFormat="1" ht="27">
      <c r="A10" s="312"/>
      <c r="B10" s="313" t="s">
        <v>2210</v>
      </c>
      <c r="C10" s="314"/>
      <c r="D10" s="29">
        <v>100</v>
      </c>
      <c r="E10" s="314"/>
      <c r="F10" s="29">
        <f>SUMIF(59:59,E10,60:60)-SUMIF(59:59,C10,60:60)+100</f>
        <v>100</v>
      </c>
      <c r="G10" s="315"/>
      <c r="H10" s="29">
        <f>SUMIF(59:59,G10,60:60)-SUMIF(59:59,C10,60:60)+100</f>
        <v>100</v>
      </c>
      <c r="I10" s="314"/>
      <c r="J10" s="29">
        <f>SUMIF(59:59,I10,60:60)-SUMIF(59:59,C10,60:60)+100</f>
        <v>100</v>
      </c>
      <c r="K10" s="498"/>
      <c r="L10" s="3000"/>
      <c r="M10" s="3001"/>
      <c r="N10" s="3001"/>
      <c r="O10" s="3002"/>
      <c r="P10" s="3631"/>
      <c r="Q10" s="1297" t="str">
        <f t="shared" si="6"/>
        <v>土地使用年限（年）</v>
      </c>
      <c r="R10" s="627" t="s">
        <v>25</v>
      </c>
      <c r="S10" s="628">
        <f t="shared" si="0"/>
        <v>100</v>
      </c>
      <c r="T10" s="627" t="s">
        <v>25</v>
      </c>
      <c r="U10" s="628">
        <f t="shared" si="1"/>
        <v>100</v>
      </c>
      <c r="V10" s="627" t="s">
        <v>25</v>
      </c>
      <c r="W10" s="628">
        <f t="shared" si="2"/>
        <v>100</v>
      </c>
      <c r="X10" s="629"/>
      <c r="Y10" s="3650"/>
      <c r="Z10" s="19" t="str">
        <f t="shared" si="7"/>
        <v>土地使用年限（年）</v>
      </c>
      <c r="AA10" s="630">
        <f t="shared" si="3"/>
        <v>1</v>
      </c>
      <c r="AB10" s="630">
        <f t="shared" si="4"/>
        <v>1</v>
      </c>
      <c r="AC10" s="630">
        <f t="shared" si="5"/>
        <v>1</v>
      </c>
    </row>
    <row r="11" spans="1:29" ht="15">
      <c r="A11" s="318"/>
      <c r="B11" s="313" t="s">
        <v>2211</v>
      </c>
      <c r="C11" s="319"/>
      <c r="D11" s="29">
        <v>100</v>
      </c>
      <c r="E11" s="319"/>
      <c r="F11" s="29" t="e">
        <f>LOOKUP(E11,62:62,63:63)-LOOKUP(C11,62:62,63:63)+100</f>
        <v>#N/A</v>
      </c>
      <c r="G11" s="320"/>
      <c r="H11" s="29" t="e">
        <f>LOOKUP(G11,62:62,63:63)-LOOKUP(C11,62:62,63:63)+100</f>
        <v>#N/A</v>
      </c>
      <c r="I11" s="319"/>
      <c r="J11" s="29" t="e">
        <f>LOOKUP(I11,62:62,63:63)-LOOKUP(C11,62:62,63:63)+100</f>
        <v>#N/A</v>
      </c>
      <c r="K11" s="498"/>
      <c r="L11" s="3003"/>
      <c r="M11" s="2996"/>
      <c r="N11" s="2996"/>
      <c r="O11" s="3004"/>
      <c r="P11" s="3631"/>
      <c r="Q11" s="1297" t="str">
        <f t="shared" si="6"/>
        <v>容积率</v>
      </c>
      <c r="R11" s="627" t="s">
        <v>25</v>
      </c>
      <c r="S11" s="628" t="e">
        <f t="shared" si="0"/>
        <v>#N/A</v>
      </c>
      <c r="T11" s="627" t="s">
        <v>25</v>
      </c>
      <c r="U11" s="628" t="e">
        <f t="shared" si="1"/>
        <v>#N/A</v>
      </c>
      <c r="V11" s="627" t="s">
        <v>25</v>
      </c>
      <c r="W11" s="628" t="e">
        <f t="shared" si="2"/>
        <v>#N/A</v>
      </c>
      <c r="X11" s="629"/>
      <c r="Y11" s="3650"/>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7"/>
      <c r="M12" s="2998"/>
      <c r="N12" s="2998"/>
      <c r="O12" s="2999"/>
      <c r="P12" s="3631"/>
      <c r="Q12" s="1297">
        <f t="shared" si="6"/>
        <v>111</v>
      </c>
      <c r="R12" s="627" t="s">
        <v>25</v>
      </c>
      <c r="S12" s="628">
        <f t="shared" si="0"/>
        <v>100</v>
      </c>
      <c r="T12" s="627" t="s">
        <v>25</v>
      </c>
      <c r="U12" s="628">
        <f t="shared" si="1"/>
        <v>100</v>
      </c>
      <c r="V12" s="627" t="s">
        <v>25</v>
      </c>
      <c r="W12" s="628">
        <f t="shared" si="2"/>
        <v>100</v>
      </c>
      <c r="X12" s="629"/>
      <c r="Y12" s="3650"/>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5"/>
      <c r="M13" s="2996"/>
      <c r="N13" s="2996"/>
      <c r="O13" s="3004"/>
      <c r="P13" s="3631"/>
      <c r="Q13" s="1297">
        <f t="shared" si="6"/>
        <v>111</v>
      </c>
      <c r="R13" s="627" t="s">
        <v>25</v>
      </c>
      <c r="S13" s="628">
        <f t="shared" si="0"/>
        <v>100</v>
      </c>
      <c r="T13" s="627" t="s">
        <v>25</v>
      </c>
      <c r="U13" s="628">
        <f t="shared" si="1"/>
        <v>100</v>
      </c>
      <c r="V13" s="627" t="s">
        <v>25</v>
      </c>
      <c r="W13" s="628">
        <f t="shared" si="2"/>
        <v>100</v>
      </c>
      <c r="X13" s="629"/>
      <c r="Y13" s="3650"/>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5"/>
      <c r="M14" s="2996"/>
      <c r="N14" s="2996"/>
      <c r="O14" s="3004"/>
      <c r="P14" s="3631"/>
      <c r="Q14" s="1297">
        <f t="shared" si="6"/>
        <v>111</v>
      </c>
      <c r="R14" s="627" t="s">
        <v>25</v>
      </c>
      <c r="S14" s="628">
        <f t="shared" si="0"/>
        <v>100</v>
      </c>
      <c r="T14" s="627" t="s">
        <v>25</v>
      </c>
      <c r="U14" s="628">
        <f t="shared" si="1"/>
        <v>100</v>
      </c>
      <c r="V14" s="627" t="s">
        <v>25</v>
      </c>
      <c r="W14" s="628">
        <f t="shared" si="2"/>
        <v>100</v>
      </c>
      <c r="X14" s="629"/>
      <c r="Y14" s="3650"/>
      <c r="Z14" s="19">
        <f t="shared" si="7"/>
        <v>111</v>
      </c>
      <c r="AA14" s="630">
        <f t="shared" si="3"/>
        <v>1</v>
      </c>
      <c r="AB14" s="630">
        <f t="shared" si="4"/>
        <v>1</v>
      </c>
      <c r="AC14" s="630">
        <f t="shared" si="5"/>
        <v>1</v>
      </c>
    </row>
    <row r="15" spans="1:29" ht="57">
      <c r="A15" s="329" t="s">
        <v>2212</v>
      </c>
      <c r="B15" s="22" t="s">
        <v>2344</v>
      </c>
      <c r="C15" s="1551">
        <f>估价对象房地状况!G3</f>
        <v>0</v>
      </c>
      <c r="D15" s="330">
        <v>100</v>
      </c>
      <c r="E15" s="331"/>
      <c r="F15" s="332">
        <f>SUMIF(70:70,E16,71:71)-SUMIF(70:70,C16,71:71)+100</f>
        <v>100</v>
      </c>
      <c r="G15" s="333"/>
      <c r="H15" s="330">
        <f>SUMIF(70:70,G16,71:71)-SUMIF(70:70,C16,71:71)+100</f>
        <v>100</v>
      </c>
      <c r="I15" s="331"/>
      <c r="J15" s="330">
        <f>SUMIF(70:70,I16,71:71)-SUMIF(70:70,C16,71:71)+100</f>
        <v>100</v>
      </c>
      <c r="K15" s="500"/>
      <c r="L15" s="3005"/>
      <c r="M15" s="2996"/>
      <c r="N15" s="2996"/>
      <c r="O15" s="3004"/>
      <c r="P15" s="3648" t="s">
        <v>2213</v>
      </c>
      <c r="Q15" s="1304" t="str">
        <f t="shared" si="6"/>
        <v>产业集聚程度</v>
      </c>
      <c r="R15" s="631" t="s">
        <v>25</v>
      </c>
      <c r="S15" s="632">
        <f t="shared" si="0"/>
        <v>100</v>
      </c>
      <c r="T15" s="631" t="s">
        <v>25</v>
      </c>
      <c r="U15" s="632">
        <f t="shared" si="1"/>
        <v>100</v>
      </c>
      <c r="V15" s="631" t="s">
        <v>25</v>
      </c>
      <c r="W15" s="632">
        <f t="shared" si="2"/>
        <v>100</v>
      </c>
      <c r="X15" s="1305"/>
      <c r="Y15" s="3648" t="s">
        <v>2213</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5"/>
      <c r="M16" s="2996"/>
      <c r="N16" s="2996"/>
      <c r="O16" s="3004"/>
      <c r="P16" s="3649"/>
      <c r="Q16" s="1304"/>
      <c r="R16" s="631"/>
      <c r="S16" s="632"/>
      <c r="T16" s="631"/>
      <c r="U16" s="632"/>
      <c r="V16" s="631"/>
      <c r="W16" s="632"/>
      <c r="X16" s="1305"/>
      <c r="Y16" s="3649"/>
      <c r="Z16" s="1306"/>
      <c r="AA16" s="1307">
        <v>1</v>
      </c>
      <c r="AB16" s="1307">
        <v>1</v>
      </c>
      <c r="AC16" s="1307">
        <v>1</v>
      </c>
    </row>
    <row r="17" spans="1:29" ht="85.5">
      <c r="A17" s="318"/>
      <c r="B17" s="340" t="s">
        <v>1648</v>
      </c>
      <c r="C17" s="1537">
        <f>估价对象房地状况!G4</f>
        <v>0</v>
      </c>
      <c r="D17" s="339">
        <v>100</v>
      </c>
      <c r="E17" s="341"/>
      <c r="F17" s="342">
        <f>SUMIF(72:72,E18,73:73)-SUMIF(72:72,C18,73:73)+100</f>
        <v>100</v>
      </c>
      <c r="G17" s="343"/>
      <c r="H17" s="344">
        <f>SUMIF(72:72,G18,73:73)-SUMIF(72:72,C18,73:73)+100</f>
        <v>100</v>
      </c>
      <c r="I17" s="341"/>
      <c r="J17" s="344">
        <f>SUMIF(72:72,I18,73:73)-SUMIF(72:72,C18,73:73)+100</f>
        <v>100</v>
      </c>
      <c r="K17" s="500"/>
      <c r="L17" s="3005"/>
      <c r="M17" s="2996"/>
      <c r="N17" s="2996"/>
      <c r="O17" s="3004"/>
      <c r="P17" s="3649"/>
      <c r="Q17" s="1304" t="str">
        <f>B17</f>
        <v>交通便捷度</v>
      </c>
      <c r="R17" s="631" t="s">
        <v>25</v>
      </c>
      <c r="S17" s="632">
        <f>F17</f>
        <v>100</v>
      </c>
      <c r="T17" s="631" t="s">
        <v>25</v>
      </c>
      <c r="U17" s="632">
        <f>H17</f>
        <v>100</v>
      </c>
      <c r="V17" s="631" t="s">
        <v>25</v>
      </c>
      <c r="W17" s="632">
        <f>J17</f>
        <v>100</v>
      </c>
      <c r="X17" s="1305"/>
      <c r="Y17" s="3649"/>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5"/>
      <c r="M18" s="2996"/>
      <c r="N18" s="2996"/>
      <c r="O18" s="3004"/>
      <c r="P18" s="3649"/>
      <c r="Q18" s="1304"/>
      <c r="R18" s="631"/>
      <c r="S18" s="632"/>
      <c r="T18" s="631"/>
      <c r="U18" s="632"/>
      <c r="V18" s="631"/>
      <c r="W18" s="632"/>
      <c r="X18" s="1305"/>
      <c r="Y18" s="3649"/>
      <c r="Z18" s="1306"/>
      <c r="AA18" s="1307">
        <v>1</v>
      </c>
      <c r="AB18" s="1307">
        <v>1</v>
      </c>
      <c r="AC18" s="1307">
        <v>1</v>
      </c>
    </row>
    <row r="19" spans="1:29" ht="42.75">
      <c r="A19" s="318"/>
      <c r="B19" s="513" t="s">
        <v>2328</v>
      </c>
      <c r="C19" s="1537">
        <f>估价对象房地状况!G5</f>
        <v>0</v>
      </c>
      <c r="D19" s="344">
        <v>100</v>
      </c>
      <c r="E19" s="347"/>
      <c r="F19" s="348">
        <f>SUMIF(74:74,E20,75:75)-SUMIF(74:74,C20,75:75)+100</f>
        <v>100</v>
      </c>
      <c r="G19" s="349"/>
      <c r="H19" s="339">
        <f>SUMIF(74:74,G20,75:75)-SUMIF(74:74,C20,75:75)+100</f>
        <v>100</v>
      </c>
      <c r="I19" s="347"/>
      <c r="J19" s="339">
        <f>SUMIF(74:74,I20,75:75)-SUMIF(74:74,C20,75:75)+100</f>
        <v>100</v>
      </c>
      <c r="K19" s="500"/>
      <c r="L19" s="3005"/>
      <c r="M19" s="2996"/>
      <c r="N19" s="2996"/>
      <c r="O19" s="3004"/>
      <c r="P19" s="3649"/>
      <c r="Q19" s="1304" t="str">
        <f>B19</f>
        <v>公共配套设施</v>
      </c>
      <c r="R19" s="631" t="s">
        <v>25</v>
      </c>
      <c r="S19" s="632">
        <f>F19</f>
        <v>100</v>
      </c>
      <c r="T19" s="631" t="s">
        <v>25</v>
      </c>
      <c r="U19" s="632">
        <f>H19</f>
        <v>100</v>
      </c>
      <c r="V19" s="631" t="s">
        <v>25</v>
      </c>
      <c r="W19" s="632">
        <f>J19</f>
        <v>100</v>
      </c>
      <c r="X19" s="1305"/>
      <c r="Y19" s="3649"/>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5"/>
      <c r="M20" s="2996"/>
      <c r="N20" s="2996"/>
      <c r="O20" s="3004"/>
      <c r="P20" s="3649"/>
      <c r="Q20" s="1304"/>
      <c r="R20" s="631"/>
      <c r="S20" s="632"/>
      <c r="T20" s="631"/>
      <c r="U20" s="632"/>
      <c r="V20" s="631"/>
      <c r="W20" s="632"/>
      <c r="X20" s="1305"/>
      <c r="Y20" s="3649"/>
      <c r="Z20" s="1306"/>
      <c r="AA20" s="1307">
        <v>1</v>
      </c>
      <c r="AB20" s="1307">
        <v>1</v>
      </c>
      <c r="AC20" s="1307">
        <v>1</v>
      </c>
    </row>
    <row r="21" spans="1:29" ht="28.5">
      <c r="A21" s="318"/>
      <c r="B21" s="515" t="s">
        <v>2329</v>
      </c>
      <c r="C21" s="1537">
        <f>估价对象房地状况!G6</f>
        <v>0</v>
      </c>
      <c r="D21" s="344">
        <v>100</v>
      </c>
      <c r="E21" s="347"/>
      <c r="F21" s="348">
        <f>SUMIF(76:76,E22,77:77)-SUMIF(76:76,C22,77:77)+100</f>
        <v>100</v>
      </c>
      <c r="G21" s="349"/>
      <c r="H21" s="339">
        <f>SUMIF(76:76,G22,77:77)-SUMIF(76:76,C22,77:77)+100</f>
        <v>100</v>
      </c>
      <c r="I21" s="347"/>
      <c r="J21" s="339">
        <f>SUMIF(76:76,I22,77:77)-SUMIF(76:76,C22,77:77)+100</f>
        <v>100</v>
      </c>
      <c r="K21" s="500"/>
      <c r="L21" s="3005"/>
      <c r="M21" s="2996"/>
      <c r="N21" s="2996"/>
      <c r="O21" s="3004"/>
      <c r="P21" s="3649"/>
      <c r="Q21" s="1304" t="str">
        <f>B21</f>
        <v>基础设施水平</v>
      </c>
      <c r="R21" s="631" t="s">
        <v>25</v>
      </c>
      <c r="S21" s="632">
        <f>F21</f>
        <v>100</v>
      </c>
      <c r="T21" s="631" t="s">
        <v>25</v>
      </c>
      <c r="U21" s="632">
        <f>H21</f>
        <v>100</v>
      </c>
      <c r="V21" s="631" t="s">
        <v>25</v>
      </c>
      <c r="W21" s="632">
        <f>J21</f>
        <v>100</v>
      </c>
      <c r="X21" s="1305"/>
      <c r="Y21" s="3649"/>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5"/>
      <c r="M22" s="2996"/>
      <c r="N22" s="2996"/>
      <c r="O22" s="3004"/>
      <c r="P22" s="3649"/>
      <c r="Q22" s="1304"/>
      <c r="R22" s="631"/>
      <c r="S22" s="632"/>
      <c r="T22" s="631"/>
      <c r="U22" s="632"/>
      <c r="V22" s="631"/>
      <c r="W22" s="632"/>
      <c r="X22" s="1305"/>
      <c r="Y22" s="3649"/>
      <c r="Z22" s="1306"/>
      <c r="AA22" s="1307">
        <v>1</v>
      </c>
      <c r="AB22" s="1307">
        <v>1</v>
      </c>
      <c r="AC22" s="1307">
        <v>1</v>
      </c>
    </row>
    <row r="23" spans="1:29" ht="71.25">
      <c r="A23" s="318"/>
      <c r="B23" s="340" t="s">
        <v>2330</v>
      </c>
      <c r="C23" s="1537">
        <f>估价对象房地状况!G7</f>
        <v>0</v>
      </c>
      <c r="D23" s="339">
        <v>100</v>
      </c>
      <c r="E23" s="341"/>
      <c r="F23" s="342">
        <f>SUMIF(78:78,E24,79:79)-SUMIF(78:78,C24,79:79)+100</f>
        <v>100</v>
      </c>
      <c r="G23" s="343"/>
      <c r="H23" s="339">
        <f>SUMIF(78:78,G24,79:79)-SUMIF(78:78,C24,79:79)+100</f>
        <v>100</v>
      </c>
      <c r="I23" s="341"/>
      <c r="J23" s="339">
        <f>SUMIF(78:78,I24,79:79)-SUMIF(78:78,C24,79:79)+100</f>
        <v>100</v>
      </c>
      <c r="K23" s="500"/>
      <c r="L23" s="3005"/>
      <c r="M23" s="2996"/>
      <c r="N23" s="2996"/>
      <c r="O23" s="3004"/>
      <c r="P23" s="3649"/>
      <c r="Q23" s="1304" t="str">
        <f>B23</f>
        <v>环境质量</v>
      </c>
      <c r="R23" s="631" t="s">
        <v>25</v>
      </c>
      <c r="S23" s="632">
        <f>F23</f>
        <v>100</v>
      </c>
      <c r="T23" s="631" t="s">
        <v>25</v>
      </c>
      <c r="U23" s="632">
        <f>H23</f>
        <v>100</v>
      </c>
      <c r="V23" s="631" t="s">
        <v>25</v>
      </c>
      <c r="W23" s="632">
        <f>J23</f>
        <v>100</v>
      </c>
      <c r="X23" s="1305"/>
      <c r="Y23" s="3649"/>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5"/>
      <c r="M24" s="2996"/>
      <c r="N24" s="2996"/>
      <c r="O24" s="3004"/>
      <c r="P24" s="3649"/>
      <c r="Q24" s="1304"/>
      <c r="R24" s="631"/>
      <c r="S24" s="632"/>
      <c r="T24" s="631"/>
      <c r="U24" s="632"/>
      <c r="V24" s="631"/>
      <c r="W24" s="632"/>
      <c r="X24" s="1305"/>
      <c r="Y24" s="3649"/>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5"/>
      <c r="M25" s="2996"/>
      <c r="N25" s="2996"/>
      <c r="O25" s="3004"/>
      <c r="P25" s="3649"/>
      <c r="Q25" s="1304">
        <f>B25</f>
        <v>111</v>
      </c>
      <c r="R25" s="631" t="s">
        <v>25</v>
      </c>
      <c r="S25" s="632">
        <f>F25</f>
        <v>100</v>
      </c>
      <c r="T25" s="631" t="s">
        <v>25</v>
      </c>
      <c r="U25" s="632">
        <f>H25</f>
        <v>100</v>
      </c>
      <c r="V25" s="631" t="s">
        <v>25</v>
      </c>
      <c r="W25" s="632">
        <f>J25</f>
        <v>100</v>
      </c>
      <c r="X25" s="1305"/>
      <c r="Y25" s="3649"/>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5"/>
      <c r="M26" s="2996"/>
      <c r="N26" s="2996"/>
      <c r="O26" s="3004"/>
      <c r="P26" s="3649"/>
      <c r="Q26" s="1304">
        <f t="shared" ref="Q26:Q40" si="11">B26</f>
        <v>111</v>
      </c>
      <c r="R26" s="631" t="s">
        <v>25</v>
      </c>
      <c r="S26" s="632">
        <f>F26</f>
        <v>100</v>
      </c>
      <c r="T26" s="631" t="s">
        <v>25</v>
      </c>
      <c r="U26" s="632">
        <f>H26</f>
        <v>100</v>
      </c>
      <c r="V26" s="631" t="s">
        <v>25</v>
      </c>
      <c r="W26" s="632">
        <f>J26</f>
        <v>100</v>
      </c>
      <c r="X26" s="1305"/>
      <c r="Y26" s="3649"/>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7"/>
      <c r="M27" s="2998"/>
      <c r="N27" s="2998"/>
      <c r="O27" s="2999"/>
      <c r="P27" s="3649"/>
      <c r="Q27" s="1297">
        <f t="shared" si="11"/>
        <v>111</v>
      </c>
      <c r="R27" s="627" t="s">
        <v>25</v>
      </c>
      <c r="S27" s="628">
        <f>F27</f>
        <v>100</v>
      </c>
      <c r="T27" s="627" t="s">
        <v>25</v>
      </c>
      <c r="U27" s="628">
        <f>H27</f>
        <v>100</v>
      </c>
      <c r="V27" s="627" t="s">
        <v>25</v>
      </c>
      <c r="W27" s="628">
        <f>J27</f>
        <v>100</v>
      </c>
      <c r="X27" s="629"/>
      <c r="Y27" s="3649"/>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5"/>
      <c r="M28" s="2996"/>
      <c r="N28" s="2996"/>
      <c r="O28" s="3004"/>
      <c r="P28" s="3649"/>
      <c r="Q28" s="1304">
        <f t="shared" si="11"/>
        <v>111</v>
      </c>
      <c r="R28" s="631" t="s">
        <v>25</v>
      </c>
      <c r="S28" s="632">
        <f t="shared" ref="S28:S40" si="12">F28</f>
        <v>100</v>
      </c>
      <c r="T28" s="631" t="s">
        <v>25</v>
      </c>
      <c r="U28" s="632">
        <f t="shared" ref="U28:U40" si="13">H28</f>
        <v>100</v>
      </c>
      <c r="V28" s="631" t="s">
        <v>25</v>
      </c>
      <c r="W28" s="632">
        <f t="shared" ref="W28:W40" si="14">J28</f>
        <v>100</v>
      </c>
      <c r="X28" s="1305"/>
      <c r="Y28" s="3649"/>
      <c r="Z28" s="1306">
        <f t="shared" ref="Z28:Z40" si="15">Q28</f>
        <v>111</v>
      </c>
      <c r="AA28" s="1307">
        <f t="shared" si="3"/>
        <v>1</v>
      </c>
      <c r="AB28" s="1307">
        <f t="shared" si="4"/>
        <v>1</v>
      </c>
      <c r="AC28" s="1307">
        <f t="shared" si="5"/>
        <v>1</v>
      </c>
    </row>
    <row r="29" spans="1:29" ht="28.5">
      <c r="A29" s="354" t="s">
        <v>2217</v>
      </c>
      <c r="B29" s="24" t="s">
        <v>2333</v>
      </c>
      <c r="C29" s="1547"/>
      <c r="D29" s="355">
        <v>100</v>
      </c>
      <c r="E29" s="1547"/>
      <c r="F29" s="351">
        <f>SUMIF(88:88,E29,89:89)-SUMIF(88:88,C29,89:89)+100</f>
        <v>100</v>
      </c>
      <c r="G29" s="1547"/>
      <c r="H29" s="325">
        <f>SUMIF(88:88,G29,89:89)-SUMIF(88:88,C29,89:89)+100</f>
        <v>100</v>
      </c>
      <c r="I29" s="1547"/>
      <c r="J29" s="355">
        <f>SUMIF(88:88,I29,89:89)-SUMIF(88:88,C29,89:89)+100</f>
        <v>100</v>
      </c>
      <c r="K29" s="498"/>
      <c r="L29" s="3005"/>
      <c r="M29" s="2996"/>
      <c r="N29" s="2996"/>
      <c r="O29" s="3004"/>
      <c r="P29" s="3636" t="s">
        <v>2219</v>
      </c>
      <c r="Q29" s="1304" t="str">
        <f t="shared" si="11"/>
        <v>建筑类型</v>
      </c>
      <c r="R29" s="631" t="s">
        <v>25</v>
      </c>
      <c r="S29" s="632">
        <f t="shared" si="12"/>
        <v>100</v>
      </c>
      <c r="T29" s="631" t="s">
        <v>25</v>
      </c>
      <c r="U29" s="632">
        <f t="shared" si="13"/>
        <v>100</v>
      </c>
      <c r="V29" s="631" t="s">
        <v>25</v>
      </c>
      <c r="W29" s="632">
        <f t="shared" si="14"/>
        <v>100</v>
      </c>
      <c r="X29" s="1305"/>
      <c r="Y29" s="3637" t="s">
        <v>2219</v>
      </c>
      <c r="Z29" s="1306" t="str">
        <f t="shared" si="15"/>
        <v>建筑类型</v>
      </c>
      <c r="AA29" s="1307">
        <f t="shared" si="3"/>
        <v>1</v>
      </c>
      <c r="AB29" s="1307">
        <f t="shared" si="4"/>
        <v>1</v>
      </c>
      <c r="AC29" s="1307">
        <f t="shared" si="5"/>
        <v>1</v>
      </c>
    </row>
    <row r="30" spans="1:29" s="359" customFormat="1" ht="15">
      <c r="A30" s="356"/>
      <c r="B30" s="313" t="s">
        <v>2220</v>
      </c>
      <c r="C30" s="357"/>
      <c r="D30" s="29">
        <v>100</v>
      </c>
      <c r="E30" s="320"/>
      <c r="F30" s="316" t="e">
        <f>LOOKUP(E30,91:91,92:92)-LOOKUP(C30,91:91,92:92)+100</f>
        <v>#N/A</v>
      </c>
      <c r="G30" s="319"/>
      <c r="H30" s="29" t="e">
        <f>LOOKUP(G30,91:91,92:92)-LOOKUP(C30,91:91,92:92)+100</f>
        <v>#N/A</v>
      </c>
      <c r="I30" s="319"/>
      <c r="J30" s="29" t="e">
        <f>LOOKUP(I30,91:91,92:92)-LOOKUP(C30,91:91,92:92)+100</f>
        <v>#N/A</v>
      </c>
      <c r="K30" s="499"/>
      <c r="L30" s="3003"/>
      <c r="M30" s="358"/>
      <c r="N30" s="358"/>
      <c r="O30" s="3006"/>
      <c r="P30" s="3637"/>
      <c r="Q30" s="633" t="str">
        <f t="shared" si="11"/>
        <v>项目建筑规模</v>
      </c>
      <c r="R30" s="634" t="s">
        <v>25</v>
      </c>
      <c r="S30" s="635" t="e">
        <f t="shared" si="12"/>
        <v>#N/A</v>
      </c>
      <c r="T30" s="634" t="s">
        <v>25</v>
      </c>
      <c r="U30" s="635" t="e">
        <f t="shared" si="13"/>
        <v>#N/A</v>
      </c>
      <c r="V30" s="634" t="s">
        <v>25</v>
      </c>
      <c r="W30" s="635" t="e">
        <f t="shared" si="14"/>
        <v>#N/A</v>
      </c>
      <c r="X30" s="636"/>
      <c r="Y30" s="3637"/>
      <c r="Z30" s="637" t="str">
        <f t="shared" si="15"/>
        <v>项目建筑规模</v>
      </c>
      <c r="AA30" s="1307" t="e">
        <f t="shared" si="3"/>
        <v>#N/A</v>
      </c>
      <c r="AB30" s="1307" t="e">
        <f t="shared" si="4"/>
        <v>#N/A</v>
      </c>
      <c r="AC30" s="1307" t="e">
        <f t="shared" si="5"/>
        <v>#N/A</v>
      </c>
    </row>
    <row r="31" spans="1:29" ht="15">
      <c r="A31" s="360"/>
      <c r="B31" s="313" t="s">
        <v>2221</v>
      </c>
      <c r="C31" s="350"/>
      <c r="D31" s="325">
        <v>100</v>
      </c>
      <c r="E31" s="350"/>
      <c r="F31" s="351">
        <f>SUMIF(93:93,E31,94:94)-SUMIF(93:93,C31,94:94)+100</f>
        <v>100</v>
      </c>
      <c r="G31" s="350"/>
      <c r="H31" s="325">
        <f>SUMIF(93:93,G31,94:94)-SUMIF(93:93,C31,94:94)+100</f>
        <v>100</v>
      </c>
      <c r="I31" s="350"/>
      <c r="J31" s="325">
        <f>SUMIF(93:93,I31,94:94)-SUMIF(93:93,C31,94:94)+100</f>
        <v>100</v>
      </c>
      <c r="K31" s="498"/>
      <c r="L31" s="3005"/>
      <c r="M31" s="2996"/>
      <c r="N31" s="2996"/>
      <c r="O31" s="3004"/>
      <c r="P31" s="3637"/>
      <c r="Q31" s="1304" t="str">
        <f t="shared" si="11"/>
        <v>建筑结构</v>
      </c>
      <c r="R31" s="631" t="s">
        <v>25</v>
      </c>
      <c r="S31" s="632">
        <f t="shared" si="12"/>
        <v>100</v>
      </c>
      <c r="T31" s="631" t="s">
        <v>25</v>
      </c>
      <c r="U31" s="632">
        <f t="shared" si="13"/>
        <v>100</v>
      </c>
      <c r="V31" s="631" t="s">
        <v>25</v>
      </c>
      <c r="W31" s="632">
        <f t="shared" si="14"/>
        <v>100</v>
      </c>
      <c r="X31" s="1305"/>
      <c r="Y31" s="3637"/>
      <c r="Z31" s="1306" t="str">
        <f t="shared" si="15"/>
        <v>建筑结构</v>
      </c>
      <c r="AA31" s="1307">
        <f t="shared" si="3"/>
        <v>1</v>
      </c>
      <c r="AB31" s="1307">
        <f t="shared" si="4"/>
        <v>1</v>
      </c>
      <c r="AC31" s="1307">
        <f t="shared" si="5"/>
        <v>1</v>
      </c>
    </row>
    <row r="32" spans="1:29" ht="15">
      <c r="A32" s="360"/>
      <c r="B32" s="313" t="s">
        <v>2306</v>
      </c>
      <c r="C32" s="350"/>
      <c r="D32" s="325">
        <v>100</v>
      </c>
      <c r="E32" s="350"/>
      <c r="F32" s="351">
        <f>SUMIF(95:95,E32,96:96)-SUMIF(95:95,C32,96:96)+100</f>
        <v>100</v>
      </c>
      <c r="G32" s="350"/>
      <c r="H32" s="325">
        <f>SUMIF(95:95,G32,96:96)-SUMIF(95:95,C32,96:96)+100</f>
        <v>100</v>
      </c>
      <c r="I32" s="350"/>
      <c r="J32" s="325">
        <f>SUMIF(95:95,I32,96:96)-SUMIF(95:95,C32,96:96)+100</f>
        <v>100</v>
      </c>
      <c r="K32" s="498"/>
      <c r="L32" s="3005"/>
      <c r="M32" s="2996"/>
      <c r="N32" s="2996"/>
      <c r="O32" s="3004"/>
      <c r="P32" s="3637"/>
      <c r="Q32" s="1304" t="str">
        <f t="shared" si="11"/>
        <v>公共部分装修</v>
      </c>
      <c r="R32" s="631" t="s">
        <v>25</v>
      </c>
      <c r="S32" s="632">
        <f t="shared" si="12"/>
        <v>100</v>
      </c>
      <c r="T32" s="631" t="s">
        <v>25</v>
      </c>
      <c r="U32" s="632">
        <f t="shared" si="13"/>
        <v>100</v>
      </c>
      <c r="V32" s="631" t="s">
        <v>25</v>
      </c>
      <c r="W32" s="632">
        <f t="shared" si="14"/>
        <v>100</v>
      </c>
      <c r="X32" s="1305"/>
      <c r="Y32" s="3637"/>
      <c r="Z32" s="1306" t="str">
        <f t="shared" si="15"/>
        <v>公共部分装修</v>
      </c>
      <c r="AA32" s="1307">
        <f t="shared" si="3"/>
        <v>1</v>
      </c>
      <c r="AB32" s="1307">
        <f t="shared" si="4"/>
        <v>1</v>
      </c>
      <c r="AC32" s="1307">
        <f t="shared" si="5"/>
        <v>1</v>
      </c>
    </row>
    <row r="33" spans="1:29" ht="15">
      <c r="A33" s="360"/>
      <c r="B33" s="313" t="s">
        <v>2307</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5"/>
      <c r="M33" s="2996"/>
      <c r="N33" s="2996"/>
      <c r="O33" s="3004"/>
      <c r="P33" s="3637"/>
      <c r="Q33" s="1304" t="str">
        <f t="shared" si="11"/>
        <v>成新度</v>
      </c>
      <c r="R33" s="631" t="s">
        <v>25</v>
      </c>
      <c r="S33" s="632" t="e">
        <f t="shared" si="12"/>
        <v>#N/A</v>
      </c>
      <c r="T33" s="631" t="s">
        <v>25</v>
      </c>
      <c r="U33" s="632" t="e">
        <f t="shared" si="13"/>
        <v>#N/A</v>
      </c>
      <c r="V33" s="631" t="s">
        <v>25</v>
      </c>
      <c r="W33" s="632" t="e">
        <f t="shared" si="14"/>
        <v>#N/A</v>
      </c>
      <c r="X33" s="1305"/>
      <c r="Y33" s="3637"/>
      <c r="Z33" s="1306" t="str">
        <f t="shared" si="15"/>
        <v>成新度</v>
      </c>
      <c r="AA33" s="1307" t="e">
        <f t="shared" si="3"/>
        <v>#N/A</v>
      </c>
      <c r="AB33" s="1307" t="e">
        <f t="shared" si="4"/>
        <v>#N/A</v>
      </c>
      <c r="AC33" s="1307" t="e">
        <f t="shared" si="5"/>
        <v>#N/A</v>
      </c>
    </row>
    <row r="34" spans="1:29" s="25" customFormat="1" ht="15">
      <c r="A34" s="361"/>
      <c r="B34" s="313" t="s">
        <v>2335</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7"/>
      <c r="M34" s="2998"/>
      <c r="N34" s="2998"/>
      <c r="O34" s="2999"/>
      <c r="P34" s="3637"/>
      <c r="Q34" s="1297" t="str">
        <f t="shared" si="11"/>
        <v>物业管理</v>
      </c>
      <c r="R34" s="627" t="s">
        <v>25</v>
      </c>
      <c r="S34" s="628">
        <f t="shared" si="12"/>
        <v>100</v>
      </c>
      <c r="T34" s="627" t="s">
        <v>25</v>
      </c>
      <c r="U34" s="628">
        <f t="shared" si="13"/>
        <v>100</v>
      </c>
      <c r="V34" s="627" t="s">
        <v>25</v>
      </c>
      <c r="W34" s="628">
        <f t="shared" si="14"/>
        <v>100</v>
      </c>
      <c r="X34" s="629"/>
      <c r="Y34" s="3637"/>
      <c r="Z34" s="19" t="str">
        <f t="shared" si="15"/>
        <v>物业管理</v>
      </c>
      <c r="AA34" s="630">
        <f t="shared" si="3"/>
        <v>1</v>
      </c>
      <c r="AB34" s="630">
        <f t="shared" si="4"/>
        <v>1</v>
      </c>
      <c r="AC34" s="630">
        <f t="shared" si="5"/>
        <v>1</v>
      </c>
    </row>
    <row r="35" spans="1:29" ht="15">
      <c r="A35" s="360"/>
      <c r="B35" s="313" t="s">
        <v>2308</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5"/>
      <c r="M35" s="2996"/>
      <c r="N35" s="2996"/>
      <c r="O35" s="3004"/>
      <c r="P35" s="3637" t="s">
        <v>2219</v>
      </c>
      <c r="Q35" s="1304" t="str">
        <f t="shared" si="11"/>
        <v>市政基础设施</v>
      </c>
      <c r="R35" s="631" t="s">
        <v>25</v>
      </c>
      <c r="S35" s="632">
        <f t="shared" si="12"/>
        <v>100</v>
      </c>
      <c r="T35" s="631" t="s">
        <v>25</v>
      </c>
      <c r="U35" s="632">
        <f t="shared" si="13"/>
        <v>100</v>
      </c>
      <c r="V35" s="631" t="s">
        <v>25</v>
      </c>
      <c r="W35" s="632">
        <f t="shared" si="14"/>
        <v>100</v>
      </c>
      <c r="X35" s="1305"/>
      <c r="Y35" s="3637" t="s">
        <v>2219</v>
      </c>
      <c r="Z35" s="1306" t="str">
        <f t="shared" si="15"/>
        <v>市政基础设施</v>
      </c>
      <c r="AA35" s="1307">
        <f t="shared" si="3"/>
        <v>1</v>
      </c>
      <c r="AB35" s="1307">
        <f t="shared" si="4"/>
        <v>1</v>
      </c>
      <c r="AC35" s="1307">
        <f t="shared" si="5"/>
        <v>1</v>
      </c>
    </row>
    <row r="36" spans="1:29" ht="15">
      <c r="A36" s="360"/>
      <c r="B36" s="313" t="s">
        <v>2313</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5"/>
      <c r="M36" s="2996"/>
      <c r="N36" s="2996"/>
      <c r="O36" s="3004"/>
      <c r="P36" s="3637"/>
      <c r="Q36" s="1304" t="str">
        <f t="shared" si="11"/>
        <v>内部装修</v>
      </c>
      <c r="R36" s="631" t="s">
        <v>25</v>
      </c>
      <c r="S36" s="632">
        <f t="shared" si="12"/>
        <v>100</v>
      </c>
      <c r="T36" s="631" t="s">
        <v>25</v>
      </c>
      <c r="U36" s="632">
        <f t="shared" si="13"/>
        <v>100</v>
      </c>
      <c r="V36" s="631" t="s">
        <v>25</v>
      </c>
      <c r="W36" s="632">
        <f t="shared" si="14"/>
        <v>100</v>
      </c>
      <c r="X36" s="1305"/>
      <c r="Y36" s="3637"/>
      <c r="Z36" s="1306" t="str">
        <f t="shared" si="15"/>
        <v>内部装修</v>
      </c>
      <c r="AA36" s="1307">
        <f t="shared" si="3"/>
        <v>1</v>
      </c>
      <c r="AB36" s="1307">
        <f t="shared" si="4"/>
        <v>1</v>
      </c>
      <c r="AC36" s="1307">
        <f t="shared" si="5"/>
        <v>1</v>
      </c>
    </row>
    <row r="37" spans="1:29" ht="15">
      <c r="A37" s="360"/>
      <c r="B37" s="313" t="s">
        <v>2345</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5"/>
      <c r="M37" s="2996"/>
      <c r="N37" s="2996"/>
      <c r="O37" s="3004"/>
      <c r="P37" s="3637"/>
      <c r="Q37" s="1304" t="str">
        <f t="shared" si="11"/>
        <v>内部装修状况</v>
      </c>
      <c r="R37" s="631" t="s">
        <v>25</v>
      </c>
      <c r="S37" s="632">
        <f t="shared" si="12"/>
        <v>100</v>
      </c>
      <c r="T37" s="631" t="s">
        <v>25</v>
      </c>
      <c r="U37" s="632">
        <f t="shared" si="13"/>
        <v>100</v>
      </c>
      <c r="V37" s="631" t="s">
        <v>25</v>
      </c>
      <c r="W37" s="632">
        <f t="shared" si="14"/>
        <v>100</v>
      </c>
      <c r="X37" s="1305"/>
      <c r="Y37" s="3637"/>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3"/>
      <c r="M38" s="358"/>
      <c r="N38" s="358"/>
      <c r="O38" s="3006"/>
      <c r="P38" s="3637"/>
      <c r="Q38" s="633">
        <f t="shared" si="11"/>
        <v>111</v>
      </c>
      <c r="R38" s="634" t="s">
        <v>25</v>
      </c>
      <c r="S38" s="635">
        <f t="shared" si="12"/>
        <v>100</v>
      </c>
      <c r="T38" s="634" t="s">
        <v>25</v>
      </c>
      <c r="U38" s="635">
        <f t="shared" si="13"/>
        <v>100</v>
      </c>
      <c r="V38" s="634" t="s">
        <v>25</v>
      </c>
      <c r="W38" s="635">
        <f t="shared" si="14"/>
        <v>100</v>
      </c>
      <c r="X38" s="636"/>
      <c r="Y38" s="3637"/>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5"/>
      <c r="M39" s="2996"/>
      <c r="N39" s="2996"/>
      <c r="O39" s="3004"/>
      <c r="P39" s="3637"/>
      <c r="Q39" s="1304">
        <f t="shared" si="11"/>
        <v>111</v>
      </c>
      <c r="R39" s="631" t="s">
        <v>25</v>
      </c>
      <c r="S39" s="632">
        <f t="shared" si="12"/>
        <v>100</v>
      </c>
      <c r="T39" s="631" t="s">
        <v>25</v>
      </c>
      <c r="U39" s="632">
        <f t="shared" si="13"/>
        <v>100</v>
      </c>
      <c r="V39" s="631" t="s">
        <v>25</v>
      </c>
      <c r="W39" s="632">
        <f t="shared" si="14"/>
        <v>100</v>
      </c>
      <c r="X39" s="1305"/>
      <c r="Y39" s="3637"/>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5"/>
      <c r="M40" s="2996"/>
      <c r="N40" s="2996"/>
      <c r="O40" s="3004"/>
      <c r="P40" s="3638"/>
      <c r="Q40" s="1304">
        <f t="shared" si="11"/>
        <v>111</v>
      </c>
      <c r="R40" s="631" t="s">
        <v>25</v>
      </c>
      <c r="S40" s="632">
        <f t="shared" si="12"/>
        <v>100</v>
      </c>
      <c r="T40" s="631" t="s">
        <v>25</v>
      </c>
      <c r="U40" s="632">
        <f t="shared" si="13"/>
        <v>100</v>
      </c>
      <c r="V40" s="631" t="s">
        <v>25</v>
      </c>
      <c r="W40" s="632">
        <f t="shared" si="14"/>
        <v>100</v>
      </c>
      <c r="X40" s="1305"/>
      <c r="Y40" s="3638"/>
      <c r="Z40" s="1306">
        <f t="shared" si="15"/>
        <v>111</v>
      </c>
      <c r="AA40" s="1307">
        <f t="shared" si="3"/>
        <v>1</v>
      </c>
      <c r="AB40" s="1307">
        <f t="shared" si="4"/>
        <v>1</v>
      </c>
      <c r="AC40" s="1307">
        <f t="shared" si="5"/>
        <v>1</v>
      </c>
    </row>
    <row r="41" spans="1:29" ht="15">
      <c r="A41" s="367" t="s">
        <v>2231</v>
      </c>
      <c r="B41" s="368"/>
      <c r="C41" s="1124" t="s">
        <v>1</v>
      </c>
      <c r="D41" s="1125"/>
      <c r="E41" s="1126"/>
      <c r="F41" s="1127"/>
      <c r="G41" s="1128"/>
      <c r="H41" s="1129"/>
      <c r="I41" s="1126"/>
      <c r="J41" s="1129"/>
      <c r="K41" s="640"/>
      <c r="L41" s="3007"/>
      <c r="N41" s="2996"/>
      <c r="P41" s="3631" t="str">
        <f>A41</f>
        <v>成交单价（元/平方米）</v>
      </c>
      <c r="Q41" s="3631"/>
      <c r="R41" s="3632">
        <f>E41</f>
        <v>0</v>
      </c>
      <c r="S41" s="3632"/>
      <c r="T41" s="3632">
        <f>G41</f>
        <v>0</v>
      </c>
      <c r="U41" s="3632"/>
      <c r="V41" s="3632">
        <f>I41</f>
        <v>0</v>
      </c>
      <c r="W41" s="3632"/>
      <c r="X41" s="618"/>
      <c r="Y41" s="638"/>
      <c r="Z41" s="618"/>
      <c r="AA41" s="618"/>
      <c r="AB41" s="618"/>
      <c r="AC41" s="618"/>
    </row>
    <row r="42" spans="1:29" ht="15.75" thickBot="1">
      <c r="A42" s="374" t="s">
        <v>2314</v>
      </c>
      <c r="B42" s="375"/>
      <c r="C42" s="1130" t="e">
        <f>R43</f>
        <v>#DIV/0!</v>
      </c>
      <c r="D42" s="1767" t="s">
        <v>2687</v>
      </c>
      <c r="E42" s="1131" t="e">
        <f>R42</f>
        <v>#DIV/0!</v>
      </c>
      <c r="F42" s="1769"/>
      <c r="G42" s="1130" t="e">
        <f>T42</f>
        <v>#DIV/0!</v>
      </c>
      <c r="H42" s="1769"/>
      <c r="I42" s="1131" t="e">
        <f>V42</f>
        <v>#DIV/0!</v>
      </c>
      <c r="J42" s="1769"/>
      <c r="K42" s="2481">
        <f>F42+H42+J42</f>
        <v>0</v>
      </c>
      <c r="L42" s="3007"/>
      <c r="N42" s="2996"/>
      <c r="P42" s="3631" t="str">
        <f>A42</f>
        <v>比较价值（元/平方米）</v>
      </c>
      <c r="Q42" s="3631"/>
      <c r="R42" s="3632" t="e">
        <f>IF(E1="售价",ROUND(PRODUCT(R41,AA7:AA40),0),ROUND(PRODUCT(R41,AA7:AA40),1))</f>
        <v>#DIV/0!</v>
      </c>
      <c r="S42" s="3632"/>
      <c r="T42" s="3632" t="e">
        <f>IF(E1="售价",ROUND(PRODUCT(T41,AB7:AB40),0),ROUND(PRODUCT(T41,AB7:AB40),1))</f>
        <v>#DIV/0!</v>
      </c>
      <c r="U42" s="3632"/>
      <c r="V42" s="3632" t="e">
        <f>IF(E1="售价",ROUND(PRODUCT(V41,AC7:AC40),0),ROUND(PRODUCT(V41,AC7:AC40),1))</f>
        <v>#DIV/0!</v>
      </c>
      <c r="W42" s="3632"/>
      <c r="X42" s="618"/>
      <c r="Y42" s="618"/>
      <c r="Z42" s="618"/>
      <c r="AA42" s="618"/>
      <c r="AB42" s="618"/>
      <c r="AC42" s="618"/>
    </row>
    <row r="43" spans="1:29" ht="15.75" thickBot="1">
      <c r="A43" s="378" t="s">
        <v>2337</v>
      </c>
      <c r="B43" s="379"/>
      <c r="C43" s="1132" t="e">
        <f>R43</f>
        <v>#DIV/0!</v>
      </c>
      <c r="D43" s="1132"/>
      <c r="E43" s="1132"/>
      <c r="F43" s="1132"/>
      <c r="G43" s="1132"/>
      <c r="H43" s="1132"/>
      <c r="I43" s="1132"/>
      <c r="J43" s="1132"/>
      <c r="K43" s="641"/>
      <c r="L43" s="3007"/>
      <c r="P43" s="3633" t="str">
        <f>A43</f>
        <v>估价对象XX用房的比较价值（楼面单价，元/平方米）</v>
      </c>
      <c r="Q43" s="3634"/>
      <c r="R43" s="3635" t="e">
        <f>IF(E1="售价",ROUND(IF(D42="简单平均",AVERAGE(R42:V42),R42*F42+T42*H42+V42*J42),0),ROUND(IF(D42="简单平均",AVERAGE(R42:V42),R42*F42+T42*H42+V42*J42),1))</f>
        <v>#DIV/0!</v>
      </c>
      <c r="S43" s="3635"/>
      <c r="T43" s="3635"/>
      <c r="U43" s="3635"/>
      <c r="V43" s="3635"/>
      <c r="W43" s="3635"/>
      <c r="X43" s="618"/>
      <c r="Y43" s="618"/>
      <c r="Z43" s="618"/>
      <c r="AA43" s="618"/>
      <c r="AB43" s="618"/>
      <c r="AC43" s="618"/>
    </row>
    <row r="44" spans="1:29">
      <c r="G44" s="3010"/>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c r="B49" s="3009"/>
      <c r="C49" s="3012"/>
      <c r="K49" s="3011"/>
      <c r="L49" s="3008"/>
    </row>
    <row r="50" spans="1:17">
      <c r="B50" s="3009"/>
      <c r="C50" s="3012"/>
    </row>
    <row r="51" spans="1:17" ht="21.75" thickBot="1">
      <c r="A51" s="620" t="s">
        <v>2319</v>
      </c>
      <c r="B51" s="618"/>
      <c r="C51" s="621"/>
      <c r="D51" s="621"/>
      <c r="E51" s="621"/>
      <c r="F51" s="622"/>
      <c r="G51" s="622"/>
      <c r="H51" s="621"/>
      <c r="I51" s="621"/>
      <c r="J51" s="621"/>
      <c r="K51" s="623"/>
      <c r="L51" s="624"/>
      <c r="M51" s="621"/>
      <c r="N51" s="3013"/>
      <c r="O51" s="3013"/>
      <c r="P51" s="389"/>
      <c r="Q51" s="390"/>
    </row>
    <row r="52" spans="1:17" s="394" customFormat="1" ht="15">
      <c r="A52" s="391" t="s">
        <v>2201</v>
      </c>
      <c r="B52" s="392"/>
      <c r="C52" s="1158" t="str">
        <f>YEAR(C7)&amp;"-"&amp;MONTH(C7)</f>
        <v>2022-3</v>
      </c>
      <c r="D52" s="1159">
        <f>EDATE(C52,-1)</f>
        <v>44593</v>
      </c>
      <c r="E52" s="1160">
        <f t="shared" ref="E52:O52" si="16">EDATE(D52,-1)</f>
        <v>44562</v>
      </c>
      <c r="F52" s="1160">
        <f t="shared" si="16"/>
        <v>44531</v>
      </c>
      <c r="G52" s="1160">
        <f t="shared" si="16"/>
        <v>44501</v>
      </c>
      <c r="H52" s="1160">
        <f t="shared" si="16"/>
        <v>44470</v>
      </c>
      <c r="I52" s="1160">
        <f t="shared" si="16"/>
        <v>44440</v>
      </c>
      <c r="J52" s="1160">
        <f t="shared" si="16"/>
        <v>44409</v>
      </c>
      <c r="K52" s="1160">
        <f t="shared" si="16"/>
        <v>44378</v>
      </c>
      <c r="L52" s="1160">
        <f t="shared" si="16"/>
        <v>44348</v>
      </c>
      <c r="M52" s="1160">
        <f t="shared" si="16"/>
        <v>44317</v>
      </c>
      <c r="N52" s="1160">
        <f t="shared" si="16"/>
        <v>44287</v>
      </c>
      <c r="O52" s="1160">
        <f t="shared" si="16"/>
        <v>44256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2239</v>
      </c>
      <c r="B54" s="401"/>
      <c r="C54" s="402"/>
      <c r="D54" s="403"/>
      <c r="E54" s="403"/>
      <c r="F54" s="403"/>
      <c r="G54" s="403"/>
      <c r="H54" s="403"/>
      <c r="I54" s="403"/>
      <c r="J54" s="403"/>
      <c r="K54" s="403"/>
      <c r="L54" s="403"/>
      <c r="M54" s="404"/>
      <c r="N54" s="403"/>
      <c r="O54" s="405"/>
      <c r="P54" s="390"/>
      <c r="Q54" s="390"/>
    </row>
    <row r="55" spans="1:17" s="25" customFormat="1" ht="15">
      <c r="A55" s="406" t="s">
        <v>2203</v>
      </c>
      <c r="B55" s="396"/>
      <c r="C55" s="407" t="s">
        <v>2204</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2242</v>
      </c>
      <c r="B57" s="413" t="s">
        <v>2207</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2210</v>
      </c>
      <c r="C59" s="426" t="s">
        <v>2243</v>
      </c>
      <c r="D59" s="426" t="s">
        <v>2244</v>
      </c>
      <c r="E59" s="426" t="s">
        <v>2245</v>
      </c>
      <c r="F59" s="426" t="s">
        <v>2246</v>
      </c>
      <c r="G59" s="426" t="s">
        <v>2247</v>
      </c>
      <c r="H59" s="426" t="s">
        <v>2248</v>
      </c>
      <c r="I59" s="426" t="s">
        <v>2249</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2211</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2212</v>
      </c>
      <c r="B70" s="413" t="s">
        <v>2346</v>
      </c>
      <c r="C70" s="461" t="s">
        <v>2251</v>
      </c>
      <c r="D70" s="461" t="s">
        <v>2252</v>
      </c>
      <c r="E70" s="461" t="s">
        <v>2253</v>
      </c>
      <c r="F70" s="461" t="s">
        <v>2254</v>
      </c>
      <c r="G70" s="461" t="s">
        <v>2255</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2256</v>
      </c>
      <c r="C72" s="466" t="s">
        <v>2251</v>
      </c>
      <c r="D72" s="466" t="s">
        <v>2252</v>
      </c>
      <c r="E72" s="466" t="s">
        <v>2253</v>
      </c>
      <c r="F72" s="466" t="s">
        <v>2254</v>
      </c>
      <c r="G72" s="466" t="s">
        <v>2255</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2257</v>
      </c>
      <c r="C74" s="466" t="s">
        <v>2251</v>
      </c>
      <c r="D74" s="466" t="s">
        <v>2252</v>
      </c>
      <c r="E74" s="466" t="s">
        <v>2253</v>
      </c>
      <c r="F74" s="466" t="s">
        <v>2254</v>
      </c>
      <c r="G74" s="466" t="s">
        <v>2255</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2329</v>
      </c>
      <c r="C76" s="426" t="s">
        <v>2258</v>
      </c>
      <c r="D76" s="426" t="s">
        <v>2259</v>
      </c>
      <c r="E76" s="426" t="s">
        <v>2260</v>
      </c>
      <c r="F76" s="426" t="s">
        <v>2261</v>
      </c>
      <c r="G76" s="426" t="s">
        <v>2262</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2339</v>
      </c>
      <c r="C78" s="466" t="s">
        <v>2251</v>
      </c>
      <c r="D78" s="466" t="s">
        <v>2252</v>
      </c>
      <c r="E78" s="466" t="s">
        <v>2253</v>
      </c>
      <c r="F78" s="466" t="s">
        <v>2254</v>
      </c>
      <c r="G78" s="466" t="s">
        <v>2255</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2217</v>
      </c>
      <c r="B88" s="413" t="s">
        <v>2266</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2267</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2268</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2270</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2271</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2272</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2273</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2275</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2347</v>
      </c>
      <c r="C106" s="466" t="s">
        <v>2251</v>
      </c>
      <c r="D106" s="466" t="s">
        <v>2252</v>
      </c>
      <c r="E106" s="466" t="s">
        <v>2253</v>
      </c>
      <c r="F106" s="466" t="s">
        <v>2254</v>
      </c>
      <c r="G106" s="466" t="s">
        <v>2255</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M31" sqref="M31"/>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193"/>
      <c r="E1" s="1529"/>
      <c r="F1" s="1194" t="s">
        <v>2186</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IF(D2="——",IF(B37="元/平方米",IF(C2="元",ROUND(C39*D3,0),ROUND(C39*D3/10000,0)),IF(C2="元",ROUND(F3*C39,0),ROUND(F3*C39/10000,0))),IF(B37="元/平方米",IF(C2="元",ROUND(C39*D3,0),ROUND(C39*D3/10000,0)),IF(C2="元",ROUND(F3*C39,0),ROUND(F3*C39/10000,0)))-E2)</f>
        <v>#DIV/0!</v>
      </c>
      <c r="C2" s="79" t="str">
        <f>'数据-取费表'!B3</f>
        <v>万元</v>
      </c>
      <c r="D2" s="1530"/>
      <c r="E2" s="927" t="e">
        <f ca="1">SUMIF(INDIRECT("'"&amp;G2&amp;"'"&amp;"!A:A"),"承租人权益价值",INDIRECT("'"&amp;G2&amp;"'"&amp;"!c:c"))</f>
        <v>#REF!</v>
      </c>
      <c r="F2" s="1531" t="str">
        <f>C2</f>
        <v>万元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IF(AND(D2="——",B37="元/平方米"),C39,ROUND(F3*C39/D3,0))</f>
        <v>#DIV/0!</v>
      </c>
      <c r="C3" s="293" t="s">
        <v>2187</v>
      </c>
      <c r="D3" s="292">
        <f>IF(C1="仅计算典型户型",'数据-取费表'!E5,'数据-取费表'!B5)</f>
        <v>240.88</v>
      </c>
      <c r="E3" s="839" t="s">
        <v>2349</v>
      </c>
      <c r="F3" s="293">
        <f>'数据-取费表'!B42</f>
        <v>0</v>
      </c>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54" t="s">
        <v>2189</v>
      </c>
      <c r="D4" s="3655"/>
      <c r="E4" s="3656" t="s">
        <v>2190</v>
      </c>
      <c r="F4" s="3657"/>
      <c r="G4" s="3654" t="s">
        <v>2191</v>
      </c>
      <c r="H4" s="3655"/>
      <c r="I4" s="3654" t="s">
        <v>2192</v>
      </c>
      <c r="J4" s="3655"/>
      <c r="K4" s="496" t="s">
        <v>2193</v>
      </c>
      <c r="L4" s="2995"/>
      <c r="M4" s="2996"/>
      <c r="N4" s="2996"/>
      <c r="O4" s="2996"/>
      <c r="P4" s="3658" t="s">
        <v>2194</v>
      </c>
      <c r="Q4" s="3659"/>
      <c r="R4" s="3641" t="s">
        <v>2190</v>
      </c>
      <c r="S4" s="3642"/>
      <c r="T4" s="3641" t="s">
        <v>2191</v>
      </c>
      <c r="U4" s="3642"/>
      <c r="V4" s="3664" t="s">
        <v>2192</v>
      </c>
      <c r="W4" s="3664"/>
      <c r="X4" s="1305"/>
      <c r="Y4" s="3641" t="s">
        <v>2194</v>
      </c>
      <c r="Z4" s="3642"/>
      <c r="AA4" s="3651" t="s">
        <v>2190</v>
      </c>
      <c r="AB4" s="3652" t="s">
        <v>2191</v>
      </c>
      <c r="AC4" s="3651" t="s">
        <v>2192</v>
      </c>
    </row>
    <row r="5" spans="1:29" ht="15">
      <c r="A5" s="297"/>
      <c r="B5" s="298"/>
      <c r="C5" s="3667" t="s">
        <v>2195</v>
      </c>
      <c r="D5" s="3668"/>
      <c r="E5" s="3665" t="s">
        <v>2196</v>
      </c>
      <c r="F5" s="3666"/>
      <c r="G5" s="3667" t="s">
        <v>2197</v>
      </c>
      <c r="H5" s="3668"/>
      <c r="I5" s="3667" t="s">
        <v>2198</v>
      </c>
      <c r="J5" s="3668"/>
      <c r="K5" s="496"/>
      <c r="L5" s="2995"/>
      <c r="M5" s="2996"/>
      <c r="N5" s="2996"/>
      <c r="O5" s="2996"/>
      <c r="P5" s="3660"/>
      <c r="Q5" s="3661"/>
      <c r="R5" s="3643"/>
      <c r="S5" s="3644"/>
      <c r="T5" s="3643"/>
      <c r="U5" s="3644"/>
      <c r="V5" s="3664"/>
      <c r="W5" s="3664"/>
      <c r="X5" s="1305"/>
      <c r="Y5" s="3643"/>
      <c r="Z5" s="3644"/>
      <c r="AA5" s="3652"/>
      <c r="AB5" s="3652"/>
      <c r="AC5" s="3652"/>
    </row>
    <row r="6" spans="1:29" ht="15.75" thickBot="1">
      <c r="A6" s="299"/>
      <c r="B6" s="300"/>
      <c r="C6" s="3669" t="s">
        <v>2199</v>
      </c>
      <c r="D6" s="3670"/>
      <c r="E6" s="3671" t="s">
        <v>2199</v>
      </c>
      <c r="F6" s="3672"/>
      <c r="G6" s="3669" t="s">
        <v>2199</v>
      </c>
      <c r="H6" s="3670"/>
      <c r="I6" s="3669" t="s">
        <v>2199</v>
      </c>
      <c r="J6" s="3670"/>
      <c r="K6" s="496" t="s">
        <v>2200</v>
      </c>
      <c r="L6" s="2995"/>
      <c r="M6" s="2996"/>
      <c r="N6" s="2996"/>
      <c r="O6" s="2996"/>
      <c r="P6" s="3662"/>
      <c r="Q6" s="3663"/>
      <c r="R6" s="3643"/>
      <c r="S6" s="3644"/>
      <c r="T6" s="3645"/>
      <c r="U6" s="3646"/>
      <c r="V6" s="3664"/>
      <c r="W6" s="3664"/>
      <c r="X6" s="1305"/>
      <c r="Y6" s="3645"/>
      <c r="Z6" s="3646"/>
      <c r="AA6" s="3653"/>
      <c r="AB6" s="3653"/>
      <c r="AC6" s="3653"/>
    </row>
    <row r="7" spans="1:29" s="25" customFormat="1" ht="15.75" thickBot="1">
      <c r="A7" s="301" t="s">
        <v>2201</v>
      </c>
      <c r="B7" s="302"/>
      <c r="C7" s="303">
        <f>'数据-取费表'!B2</f>
        <v>44645</v>
      </c>
      <c r="D7" s="304">
        <v>100</v>
      </c>
      <c r="E7" s="305"/>
      <c r="F7" s="306">
        <f>SUMIF(48:48,YEAR(E7)&amp;"-"&amp;MONTH(E7),49:49)</f>
        <v>0</v>
      </c>
      <c r="G7" s="305"/>
      <c r="H7" s="304">
        <f>SUMIF(48:48,YEAR(G7)&amp;"-"&amp;MONTH(G7),49:49)</f>
        <v>0</v>
      </c>
      <c r="I7" s="305"/>
      <c r="J7" s="304">
        <f>SUMIF(48:48,YEAR(I7)&amp;"-"&amp;MONTH(I7),49:49)</f>
        <v>0</v>
      </c>
      <c r="K7" s="497"/>
      <c r="L7" s="2997"/>
      <c r="M7" s="2998"/>
      <c r="N7" s="2998"/>
      <c r="O7" s="2998"/>
      <c r="P7" s="3639" t="s">
        <v>2202</v>
      </c>
      <c r="Q7" s="3647"/>
      <c r="R7" s="627" t="s">
        <v>25</v>
      </c>
      <c r="S7" s="628">
        <f t="shared" ref="S7:S14" si="0">F7</f>
        <v>0</v>
      </c>
      <c r="T7" s="627" t="s">
        <v>25</v>
      </c>
      <c r="U7" s="628">
        <f t="shared" ref="U7:U14" si="1">H7</f>
        <v>0</v>
      </c>
      <c r="V7" s="627" t="s">
        <v>25</v>
      </c>
      <c r="W7" s="628">
        <f t="shared" ref="W7:W14" si="2">J7</f>
        <v>0</v>
      </c>
      <c r="X7" s="629"/>
      <c r="Y7" s="3639" t="s">
        <v>2202</v>
      </c>
      <c r="Z7" s="3640"/>
      <c r="AA7" s="630" t="e">
        <f>D7/F7</f>
        <v>#DIV/0!</v>
      </c>
      <c r="AB7" s="630" t="e">
        <f>D7/H7</f>
        <v>#DIV/0!</v>
      </c>
      <c r="AC7" s="630" t="e">
        <f>D7/J7</f>
        <v>#DIV/0!</v>
      </c>
    </row>
    <row r="8" spans="1:29" s="25" customFormat="1" ht="15.75" thickBot="1">
      <c r="A8" s="301" t="s">
        <v>2203</v>
      </c>
      <c r="B8" s="302"/>
      <c r="C8" s="307" t="s">
        <v>2204</v>
      </c>
      <c r="D8" s="304">
        <v>100</v>
      </c>
      <c r="E8" s="307"/>
      <c r="F8" s="306">
        <f>SUMIF(51:51,E8,52:52)-SUMIF(51:51,C8,52:52)+100</f>
        <v>0</v>
      </c>
      <c r="G8" s="307"/>
      <c r="H8" s="304">
        <f>SUMIF(51:51,G8,52:52)-SUMIF(51:51,C8,52:52)+100</f>
        <v>0</v>
      </c>
      <c r="I8" s="307"/>
      <c r="J8" s="304">
        <f>SUMIF(51:51,I8,52:52)-SUMIF(51:51,C8,52:52)+100</f>
        <v>0</v>
      </c>
      <c r="K8" s="497"/>
      <c r="L8" s="2997"/>
      <c r="M8" s="2998"/>
      <c r="N8" s="2998"/>
      <c r="O8" s="2998"/>
      <c r="P8" s="3639" t="s">
        <v>2205</v>
      </c>
      <c r="Q8" s="3640"/>
      <c r="R8" s="627" t="s">
        <v>25</v>
      </c>
      <c r="S8" s="628">
        <f t="shared" si="0"/>
        <v>0</v>
      </c>
      <c r="T8" s="627" t="s">
        <v>25</v>
      </c>
      <c r="U8" s="628">
        <f t="shared" si="1"/>
        <v>0</v>
      </c>
      <c r="V8" s="627" t="s">
        <v>25</v>
      </c>
      <c r="W8" s="628">
        <f t="shared" si="2"/>
        <v>0</v>
      </c>
      <c r="X8" s="629"/>
      <c r="Y8" s="3639" t="s">
        <v>2205</v>
      </c>
      <c r="Z8" s="3640"/>
      <c r="AA8" s="630" t="e">
        <f t="shared" ref="AA8:AA36" si="3">D8/F8</f>
        <v>#DIV/0!</v>
      </c>
      <c r="AB8" s="630" t="e">
        <f t="shared" ref="AB8:AB36" si="4">D8/H8</f>
        <v>#DIV/0!</v>
      </c>
      <c r="AC8" s="630" t="e">
        <f t="shared" ref="AC8:AC36" si="5">D8/J8</f>
        <v>#DIV/0!</v>
      </c>
    </row>
    <row r="9" spans="1:29" s="25" customFormat="1">
      <c r="A9" s="21" t="s">
        <v>2206</v>
      </c>
      <c r="B9" s="522" t="s">
        <v>2207</v>
      </c>
      <c r="C9" s="309"/>
      <c r="D9" s="28">
        <v>100</v>
      </c>
      <c r="E9" s="311"/>
      <c r="F9" s="28">
        <f>SUMIF(53:53,E9,54:54)-SUMIF(53:53,C9,54:54)+100</f>
        <v>100</v>
      </c>
      <c r="G9" s="310"/>
      <c r="H9" s="28">
        <f>SUMIF(53:53,G9,54:54)-SUMIF(53:53,C9,54:54)+100</f>
        <v>100</v>
      </c>
      <c r="I9" s="310"/>
      <c r="J9" s="28">
        <f>SUMIF(53:53,I9,54:54)-SUMIF(53:53,C9,54:54)+100</f>
        <v>100</v>
      </c>
      <c r="K9" s="497"/>
      <c r="L9" s="2997"/>
      <c r="M9" s="2998"/>
      <c r="N9" s="2998"/>
      <c r="O9" s="2999"/>
      <c r="P9" s="3631" t="s">
        <v>2208</v>
      </c>
      <c r="Q9" s="1297" t="str">
        <f t="shared" ref="Q9:Q14" si="6">B9</f>
        <v>用途</v>
      </c>
      <c r="R9" s="627" t="s">
        <v>25</v>
      </c>
      <c r="S9" s="628">
        <f t="shared" si="0"/>
        <v>100</v>
      </c>
      <c r="T9" s="627" t="s">
        <v>25</v>
      </c>
      <c r="U9" s="628">
        <f t="shared" si="1"/>
        <v>100</v>
      </c>
      <c r="V9" s="627" t="s">
        <v>25</v>
      </c>
      <c r="W9" s="628">
        <f t="shared" si="2"/>
        <v>100</v>
      </c>
      <c r="X9" s="629"/>
      <c r="Y9" s="3650" t="s">
        <v>2209</v>
      </c>
      <c r="Z9" s="19" t="str">
        <f t="shared" ref="Z9:Z14" si="7">Q9</f>
        <v>用途</v>
      </c>
      <c r="AA9" s="630">
        <f t="shared" si="3"/>
        <v>1</v>
      </c>
      <c r="AB9" s="630">
        <f t="shared" si="4"/>
        <v>1</v>
      </c>
      <c r="AC9" s="630">
        <f t="shared" si="5"/>
        <v>1</v>
      </c>
    </row>
    <row r="10" spans="1:29" s="317" customFormat="1" ht="27">
      <c r="A10" s="523"/>
      <c r="B10" s="524" t="s">
        <v>2210</v>
      </c>
      <c r="C10" s="314"/>
      <c r="D10" s="29">
        <v>100</v>
      </c>
      <c r="E10" s="314"/>
      <c r="F10" s="29">
        <f>SUMIF(55:55,E10,56:56)-SUMIF(55:55,C10,56:56)+100</f>
        <v>100</v>
      </c>
      <c r="G10" s="315"/>
      <c r="H10" s="29">
        <f>SUMIF(55:55,G10,56:56)-SUMIF(55:55,C10,56:56)+100</f>
        <v>100</v>
      </c>
      <c r="I10" s="314"/>
      <c r="J10" s="29">
        <f>SUMIF(55:55,I10,56:56)-SUMIF(55:55,C10,56:56)+100</f>
        <v>100</v>
      </c>
      <c r="K10" s="498"/>
      <c r="L10" s="3000"/>
      <c r="M10" s="3001"/>
      <c r="N10" s="3001"/>
      <c r="O10" s="3002"/>
      <c r="P10" s="3631"/>
      <c r="Q10" s="1297" t="str">
        <f t="shared" si="6"/>
        <v>土地使用年限（年）</v>
      </c>
      <c r="R10" s="627" t="s">
        <v>25</v>
      </c>
      <c r="S10" s="628">
        <f t="shared" si="0"/>
        <v>100</v>
      </c>
      <c r="T10" s="627" t="s">
        <v>25</v>
      </c>
      <c r="U10" s="628">
        <f t="shared" si="1"/>
        <v>100</v>
      </c>
      <c r="V10" s="627" t="s">
        <v>25</v>
      </c>
      <c r="W10" s="628">
        <f t="shared" si="2"/>
        <v>100</v>
      </c>
      <c r="X10" s="629"/>
      <c r="Y10" s="3650"/>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3"/>
      <c r="M11" s="2996"/>
      <c r="N11" s="2996"/>
      <c r="O11" s="3004"/>
      <c r="P11" s="3631"/>
      <c r="Q11" s="1297">
        <f t="shared" si="6"/>
        <v>111</v>
      </c>
      <c r="R11" s="627" t="s">
        <v>25</v>
      </c>
      <c r="S11" s="628">
        <f t="shared" si="0"/>
        <v>100</v>
      </c>
      <c r="T11" s="627" t="s">
        <v>25</v>
      </c>
      <c r="U11" s="628">
        <f t="shared" si="1"/>
        <v>100</v>
      </c>
      <c r="V11" s="627" t="s">
        <v>25</v>
      </c>
      <c r="W11" s="628">
        <f t="shared" si="2"/>
        <v>100</v>
      </c>
      <c r="X11" s="629"/>
      <c r="Y11" s="3650"/>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7"/>
      <c r="M12" s="2998"/>
      <c r="N12" s="2998"/>
      <c r="O12" s="2999"/>
      <c r="P12" s="3631"/>
      <c r="Q12" s="1297">
        <f t="shared" si="6"/>
        <v>111</v>
      </c>
      <c r="R12" s="627" t="s">
        <v>25</v>
      </c>
      <c r="S12" s="628">
        <f t="shared" si="0"/>
        <v>100</v>
      </c>
      <c r="T12" s="627" t="s">
        <v>25</v>
      </c>
      <c r="U12" s="628">
        <f t="shared" si="1"/>
        <v>100</v>
      </c>
      <c r="V12" s="627" t="s">
        <v>25</v>
      </c>
      <c r="W12" s="628">
        <f t="shared" si="2"/>
        <v>100</v>
      </c>
      <c r="X12" s="629"/>
      <c r="Y12" s="3650"/>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5"/>
      <c r="M13" s="2996"/>
      <c r="N13" s="2996"/>
      <c r="O13" s="3004"/>
      <c r="P13" s="3631"/>
      <c r="Q13" s="1297">
        <f t="shared" si="6"/>
        <v>111</v>
      </c>
      <c r="R13" s="627" t="s">
        <v>25</v>
      </c>
      <c r="S13" s="628">
        <f t="shared" si="0"/>
        <v>100</v>
      </c>
      <c r="T13" s="627" t="s">
        <v>25</v>
      </c>
      <c r="U13" s="628">
        <f t="shared" si="1"/>
        <v>100</v>
      </c>
      <c r="V13" s="627" t="s">
        <v>25</v>
      </c>
      <c r="W13" s="628">
        <f t="shared" si="2"/>
        <v>100</v>
      </c>
      <c r="X13" s="629"/>
      <c r="Y13" s="3650"/>
      <c r="Z13" s="19">
        <f t="shared" si="7"/>
        <v>111</v>
      </c>
      <c r="AA13" s="630">
        <f t="shared" si="3"/>
        <v>1</v>
      </c>
      <c r="AB13" s="630">
        <f t="shared" si="4"/>
        <v>1</v>
      </c>
      <c r="AC13" s="630">
        <f t="shared" si="5"/>
        <v>1</v>
      </c>
    </row>
    <row r="14" spans="1:29" ht="85.5">
      <c r="A14" s="294" t="s">
        <v>2212</v>
      </c>
      <c r="B14" s="511" t="s">
        <v>2350</v>
      </c>
      <c r="C14" s="1114" t="str">
        <f>IF(B1="工业",估价对象房地状况!G4,估价对象房地状况!C6)</f>
        <v>较好</v>
      </c>
      <c r="D14" s="1108">
        <v>100</v>
      </c>
      <c r="E14" s="331"/>
      <c r="F14" s="330">
        <f>SUMIF(63:63,E15,64:64)-SUMIF(63:63,C15,64:64)+100</f>
        <v>100</v>
      </c>
      <c r="G14" s="331"/>
      <c r="H14" s="330">
        <f>SUMIF(63:63,G15,64:64)-SUMIF(63:63,C15,64:64)+100</f>
        <v>100</v>
      </c>
      <c r="I14" s="331"/>
      <c r="J14" s="330">
        <f>SUMIF(63:63,I15,64:64)-SUMIF(63:63,C15,64:64)+100</f>
        <v>100</v>
      </c>
      <c r="K14" s="500"/>
      <c r="L14" s="3005"/>
      <c r="M14" s="2996"/>
      <c r="N14" s="2996"/>
      <c r="O14" s="3004"/>
      <c r="P14" s="3648" t="s">
        <v>2213</v>
      </c>
      <c r="Q14" s="1304" t="str">
        <f t="shared" si="6"/>
        <v>交通便捷度</v>
      </c>
      <c r="R14" s="631" t="s">
        <v>25</v>
      </c>
      <c r="S14" s="632">
        <f t="shared" si="0"/>
        <v>100</v>
      </c>
      <c r="T14" s="631" t="s">
        <v>25</v>
      </c>
      <c r="U14" s="632">
        <f t="shared" si="1"/>
        <v>100</v>
      </c>
      <c r="V14" s="631" t="s">
        <v>25</v>
      </c>
      <c r="W14" s="632">
        <f t="shared" si="2"/>
        <v>100</v>
      </c>
      <c r="X14" s="1305"/>
      <c r="Y14" s="3648" t="s">
        <v>2213</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5"/>
      <c r="M15" s="2996"/>
      <c r="N15" s="2996"/>
      <c r="O15" s="3004"/>
      <c r="P15" s="3649"/>
      <c r="Q15" s="1304"/>
      <c r="R15" s="631"/>
      <c r="S15" s="632"/>
      <c r="T15" s="631"/>
      <c r="U15" s="632"/>
      <c r="V15" s="631"/>
      <c r="W15" s="632"/>
      <c r="X15" s="1305"/>
      <c r="Y15" s="3649"/>
      <c r="Z15" s="1306"/>
      <c r="AA15" s="1307">
        <v>1</v>
      </c>
      <c r="AB15" s="1307">
        <v>1</v>
      </c>
      <c r="AC15" s="1307">
        <v>1</v>
      </c>
    </row>
    <row r="16" spans="1:29" ht="42.75">
      <c r="A16" s="297"/>
      <c r="B16" s="513" t="s">
        <v>2328</v>
      </c>
      <c r="C16" s="1116" t="str">
        <f>IF(B1="工业",估价对象房地状况!G5,估价对象房地状况!C7)</f>
        <v>较好</v>
      </c>
      <c r="D16" s="1110">
        <v>100</v>
      </c>
      <c r="E16" s="341"/>
      <c r="F16" s="339">
        <f>SUMIF(65:65,E17,66:66)-SUMIF(65:65,C17,66:66)+100</f>
        <v>100</v>
      </c>
      <c r="G16" s="341"/>
      <c r="H16" s="344">
        <f>SUMIF(65:65,G17,66:66)-SUMIF(65:65,C17,66:66)+100</f>
        <v>100</v>
      </c>
      <c r="I16" s="341"/>
      <c r="J16" s="344">
        <f>SUMIF(65:65,I17,66:66)-SUMIF(65:65,C17,66:66)+100</f>
        <v>100</v>
      </c>
      <c r="K16" s="500"/>
      <c r="L16" s="3005"/>
      <c r="M16" s="2996"/>
      <c r="N16" s="2996"/>
      <c r="O16" s="3004"/>
      <c r="P16" s="3649"/>
      <c r="Q16" s="1304" t="str">
        <f>B16</f>
        <v>公共配套设施</v>
      </c>
      <c r="R16" s="631" t="s">
        <v>25</v>
      </c>
      <c r="S16" s="632">
        <f>F16</f>
        <v>100</v>
      </c>
      <c r="T16" s="631" t="s">
        <v>25</v>
      </c>
      <c r="U16" s="632">
        <f>H16</f>
        <v>100</v>
      </c>
      <c r="V16" s="631" t="s">
        <v>25</v>
      </c>
      <c r="W16" s="632">
        <f>J16</f>
        <v>100</v>
      </c>
      <c r="X16" s="1305"/>
      <c r="Y16" s="3649"/>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5"/>
      <c r="M17" s="2996"/>
      <c r="N17" s="2996"/>
      <c r="O17" s="3004"/>
      <c r="P17" s="3649"/>
      <c r="Q17" s="1304"/>
      <c r="R17" s="631"/>
      <c r="S17" s="632"/>
      <c r="T17" s="631"/>
      <c r="U17" s="632"/>
      <c r="V17" s="631"/>
      <c r="W17" s="632"/>
      <c r="X17" s="1305"/>
      <c r="Y17" s="3649"/>
      <c r="Z17" s="1306"/>
      <c r="AA17" s="1307">
        <v>1</v>
      </c>
      <c r="AB17" s="1307">
        <v>1</v>
      </c>
      <c r="AC17" s="1307">
        <v>1</v>
      </c>
    </row>
    <row r="18" spans="1:29" ht="28.5">
      <c r="A18" s="297"/>
      <c r="B18" s="515" t="s">
        <v>2329</v>
      </c>
      <c r="C18" s="1116" t="str">
        <f>IF(B1="工业",估价对象房地状况!G6,估价对象房地状况!C8)</f>
        <v>七通</v>
      </c>
      <c r="D18" s="1110">
        <v>100</v>
      </c>
      <c r="E18" s="341"/>
      <c r="F18" s="339">
        <f>SUMIF(67:67,E19,68:68)-SUMIF(67:67,C19,68:68)+100</f>
        <v>100</v>
      </c>
      <c r="G18" s="341"/>
      <c r="H18" s="344">
        <f>SUMIF(67:67,G19,68:68)-SUMIF(67:67,C19,68:68)+100</f>
        <v>100</v>
      </c>
      <c r="I18" s="341"/>
      <c r="J18" s="344">
        <f>SUMIF(67:67,I19,68:68)-SUMIF(67:67,C19,68:68)+100</f>
        <v>100</v>
      </c>
      <c r="K18" s="500"/>
      <c r="L18" s="3005"/>
      <c r="M18" s="2996"/>
      <c r="N18" s="2996"/>
      <c r="O18" s="3004"/>
      <c r="P18" s="3649"/>
      <c r="Q18" s="1304" t="str">
        <f>B18</f>
        <v>基础设施水平</v>
      </c>
      <c r="R18" s="631" t="s">
        <v>25</v>
      </c>
      <c r="S18" s="632">
        <f>F18</f>
        <v>100</v>
      </c>
      <c r="T18" s="631" t="s">
        <v>25</v>
      </c>
      <c r="U18" s="632">
        <f>H18</f>
        <v>100</v>
      </c>
      <c r="V18" s="631" t="s">
        <v>25</v>
      </c>
      <c r="W18" s="632">
        <f>J18</f>
        <v>100</v>
      </c>
      <c r="X18" s="1305"/>
      <c r="Y18" s="3649"/>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5"/>
      <c r="M19" s="2996"/>
      <c r="N19" s="2996"/>
      <c r="O19" s="3004"/>
      <c r="P19" s="3649"/>
      <c r="Q19" s="1304"/>
      <c r="R19" s="631"/>
      <c r="S19" s="632"/>
      <c r="T19" s="631"/>
      <c r="U19" s="632"/>
      <c r="V19" s="631"/>
      <c r="W19" s="632"/>
      <c r="X19" s="1305"/>
      <c r="Y19" s="3649"/>
      <c r="Z19" s="1306"/>
      <c r="AA19" s="1307">
        <v>1</v>
      </c>
      <c r="AB19" s="1307">
        <v>1</v>
      </c>
      <c r="AC19" s="1307">
        <v>1</v>
      </c>
    </row>
    <row r="20" spans="1:29" ht="57">
      <c r="A20" s="297"/>
      <c r="B20" s="513" t="s">
        <v>2351</v>
      </c>
      <c r="C20" s="1116" t="str">
        <f>IF(B1="工业",估价对象房地状况!G7,估价对象房地状况!C9)</f>
        <v>较好</v>
      </c>
      <c r="D20" s="1111">
        <v>100</v>
      </c>
      <c r="E20" s="347"/>
      <c r="F20" s="344">
        <f>SUMIF(69:69,E21,70:70)-SUMIF(69:69,C21,70:70)+100</f>
        <v>100</v>
      </c>
      <c r="G20" s="347"/>
      <c r="H20" s="339">
        <f>SUMIF(69:69,G21,70:70)-SUMIF(69:69,C21,70:70)+100</f>
        <v>100</v>
      </c>
      <c r="I20" s="341"/>
      <c r="J20" s="339">
        <f>SUMIF(69:69,I21,70:70)-SUMIF(69:69,C21,70:70)+100</f>
        <v>100</v>
      </c>
      <c r="K20" s="500"/>
      <c r="L20" s="3005"/>
      <c r="M20" s="2996"/>
      <c r="N20" s="2996"/>
      <c r="O20" s="3004"/>
      <c r="P20" s="3649"/>
      <c r="Q20" s="1304" t="str">
        <f>B20</f>
        <v>自然及人文环境</v>
      </c>
      <c r="R20" s="631" t="s">
        <v>25</v>
      </c>
      <c r="S20" s="632">
        <f>F20</f>
        <v>100</v>
      </c>
      <c r="T20" s="631" t="s">
        <v>25</v>
      </c>
      <c r="U20" s="632">
        <f>H20</f>
        <v>100</v>
      </c>
      <c r="V20" s="631" t="s">
        <v>25</v>
      </c>
      <c r="W20" s="632">
        <f>J20</f>
        <v>100</v>
      </c>
      <c r="X20" s="1305"/>
      <c r="Y20" s="3649"/>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5"/>
      <c r="M21" s="2996"/>
      <c r="N21" s="2996"/>
      <c r="O21" s="3004"/>
      <c r="P21" s="3649"/>
      <c r="Q21" s="1304"/>
      <c r="R21" s="631"/>
      <c r="S21" s="632"/>
      <c r="T21" s="631"/>
      <c r="U21" s="632"/>
      <c r="V21" s="631"/>
      <c r="W21" s="632"/>
      <c r="X21" s="1305"/>
      <c r="Y21" s="3649"/>
      <c r="Z21" s="1306"/>
      <c r="AA21" s="1307">
        <v>1</v>
      </c>
      <c r="AB21" s="1307">
        <v>1</v>
      </c>
      <c r="AC21" s="1307">
        <v>1</v>
      </c>
    </row>
    <row r="22" spans="1:29" ht="15">
      <c r="A22" s="297"/>
      <c r="B22" s="513" t="s">
        <v>2352</v>
      </c>
      <c r="C22" s="516"/>
      <c r="D22" s="1110">
        <v>100</v>
      </c>
      <c r="E22" s="502"/>
      <c r="F22" s="325">
        <f>SUMIF(71:71,E22,72:72)-SUMIF(71:71,C22,72:72)+100</f>
        <v>100</v>
      </c>
      <c r="G22" s="516"/>
      <c r="H22" s="325">
        <f>SUMIF(71:71,G22,72:72)-SUMIF(71:71,C22,72:72)+100</f>
        <v>100</v>
      </c>
      <c r="I22" s="502"/>
      <c r="J22" s="325">
        <f>SUMIF(71:71,I22,72:72)-SUMIF(71:71,C22,72:72)+100</f>
        <v>100</v>
      </c>
      <c r="K22" s="498"/>
      <c r="L22" s="3005"/>
      <c r="M22" s="2996"/>
      <c r="N22" s="2996"/>
      <c r="O22" s="3004"/>
      <c r="P22" s="3649"/>
      <c r="Q22" s="1304" t="str">
        <f>B22</f>
        <v>楼层</v>
      </c>
      <c r="R22" s="631" t="s">
        <v>25</v>
      </c>
      <c r="S22" s="632">
        <f>F22</f>
        <v>100</v>
      </c>
      <c r="T22" s="631" t="s">
        <v>25</v>
      </c>
      <c r="U22" s="632">
        <f>H22</f>
        <v>100</v>
      </c>
      <c r="V22" s="631" t="s">
        <v>25</v>
      </c>
      <c r="W22" s="632">
        <f>J22</f>
        <v>100</v>
      </c>
      <c r="X22" s="1305"/>
      <c r="Y22" s="3649"/>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5"/>
      <c r="M23" s="2996"/>
      <c r="N23" s="2996"/>
      <c r="O23" s="3004"/>
      <c r="P23" s="3649"/>
      <c r="Q23" s="1304">
        <f>B23</f>
        <v>111</v>
      </c>
      <c r="R23" s="631" t="s">
        <v>25</v>
      </c>
      <c r="S23" s="632">
        <f>F23</f>
        <v>100</v>
      </c>
      <c r="T23" s="631" t="s">
        <v>25</v>
      </c>
      <c r="U23" s="632">
        <f>H23</f>
        <v>100</v>
      </c>
      <c r="V23" s="631" t="s">
        <v>25</v>
      </c>
      <c r="W23" s="632">
        <f>J23</f>
        <v>100</v>
      </c>
      <c r="X23" s="1305"/>
      <c r="Y23" s="3649"/>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5"/>
      <c r="M24" s="2996"/>
      <c r="N24" s="2996"/>
      <c r="O24" s="3004"/>
      <c r="P24" s="3649"/>
      <c r="Q24" s="1304">
        <f t="shared" ref="Q24:Q36" si="11">B24</f>
        <v>111</v>
      </c>
      <c r="R24" s="631" t="s">
        <v>25</v>
      </c>
      <c r="S24" s="632">
        <f>F24</f>
        <v>100</v>
      </c>
      <c r="T24" s="631" t="s">
        <v>25</v>
      </c>
      <c r="U24" s="632">
        <f>H24</f>
        <v>100</v>
      </c>
      <c r="V24" s="631" t="s">
        <v>25</v>
      </c>
      <c r="W24" s="632">
        <f>J24</f>
        <v>100</v>
      </c>
      <c r="X24" s="1305"/>
      <c r="Y24" s="3649"/>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7"/>
      <c r="M25" s="2998"/>
      <c r="N25" s="2998"/>
      <c r="O25" s="2999"/>
      <c r="P25" s="3649"/>
      <c r="Q25" s="1297">
        <f t="shared" si="11"/>
        <v>111</v>
      </c>
      <c r="R25" s="627" t="s">
        <v>25</v>
      </c>
      <c r="S25" s="628">
        <f>F25</f>
        <v>100</v>
      </c>
      <c r="T25" s="627" t="s">
        <v>25</v>
      </c>
      <c r="U25" s="628">
        <f>H25</f>
        <v>100</v>
      </c>
      <c r="V25" s="627" t="s">
        <v>25</v>
      </c>
      <c r="W25" s="628">
        <f>J25</f>
        <v>100</v>
      </c>
      <c r="X25" s="629"/>
      <c r="Y25" s="3649"/>
      <c r="Z25" s="19">
        <f>Q25</f>
        <v>111</v>
      </c>
      <c r="AA25" s="1307">
        <f>D25/F25</f>
        <v>1</v>
      </c>
      <c r="AB25" s="1307">
        <f>D25/H25</f>
        <v>1</v>
      </c>
      <c r="AC25" s="1307">
        <f>D25/J25</f>
        <v>1</v>
      </c>
    </row>
    <row r="26" spans="1:29" ht="28.5">
      <c r="A26" s="533" t="s">
        <v>2217</v>
      </c>
      <c r="B26" s="23" t="s">
        <v>2353</v>
      </c>
      <c r="C26" s="1553"/>
      <c r="D26" s="336">
        <v>100</v>
      </c>
      <c r="E26" s="335"/>
      <c r="F26" s="338">
        <f>SUMIF(79:79,E26,80:80)-SUMIF(79:79,C26,80:80)+100</f>
        <v>100</v>
      </c>
      <c r="G26" s="335"/>
      <c r="H26" s="336">
        <f>SUMIF(79:79,G26,80:80)-SUMIF(79:79,C26,80:80)+100</f>
        <v>100</v>
      </c>
      <c r="I26" s="335"/>
      <c r="J26" s="336">
        <f>SUMIF(79:79,I26,80:80)-SUMIF(79:79,C26,80:80)+100</f>
        <v>100</v>
      </c>
      <c r="K26" s="498"/>
      <c r="L26" s="3005"/>
      <c r="M26" s="2996"/>
      <c r="N26" s="2996"/>
      <c r="O26" s="3004"/>
      <c r="P26" s="3636" t="s">
        <v>2219</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37" t="s">
        <v>2219</v>
      </c>
      <c r="Z26" s="1306" t="str">
        <f t="shared" ref="Z26:Z36" si="15">Q26</f>
        <v>配套类型</v>
      </c>
      <c r="AA26" s="1307">
        <f t="shared" si="3"/>
        <v>1</v>
      </c>
      <c r="AB26" s="1307">
        <f t="shared" si="4"/>
        <v>1</v>
      </c>
      <c r="AC26" s="1307">
        <f t="shared" si="5"/>
        <v>1</v>
      </c>
    </row>
    <row r="27" spans="1:29" s="359" customFormat="1" ht="15">
      <c r="A27" s="534"/>
      <c r="B27" s="535" t="s">
        <v>2354</v>
      </c>
      <c r="C27" s="536"/>
      <c r="D27" s="29">
        <v>100</v>
      </c>
      <c r="E27" s="536"/>
      <c r="F27" s="351">
        <f>SUMIF(81:81,E27,82:82)-SUMIF(81:81,C27,82:82)+100</f>
        <v>100</v>
      </c>
      <c r="G27" s="536"/>
      <c r="H27" s="325">
        <f>SUMIF(81:81,G27,82:82)-SUMIF(81:81,C27,82:82)+100</f>
        <v>100</v>
      </c>
      <c r="I27" s="536"/>
      <c r="J27" s="325">
        <f>SUMIF(81:81,I27,82:82)-SUMIF(81:81,C27,82:82)+100</f>
        <v>100</v>
      </c>
      <c r="K27" s="499"/>
      <c r="L27" s="3003"/>
      <c r="M27" s="358"/>
      <c r="N27" s="358"/>
      <c r="O27" s="3006"/>
      <c r="P27" s="3637"/>
      <c r="Q27" s="633" t="str">
        <f t="shared" si="11"/>
        <v>项目停车位配比</v>
      </c>
      <c r="R27" s="634" t="s">
        <v>25</v>
      </c>
      <c r="S27" s="635">
        <f t="shared" si="12"/>
        <v>100</v>
      </c>
      <c r="T27" s="634" t="s">
        <v>25</v>
      </c>
      <c r="U27" s="635">
        <f t="shared" si="13"/>
        <v>100</v>
      </c>
      <c r="V27" s="634" t="s">
        <v>25</v>
      </c>
      <c r="W27" s="635">
        <f t="shared" si="14"/>
        <v>100</v>
      </c>
      <c r="X27" s="636"/>
      <c r="Y27" s="3637"/>
      <c r="Z27" s="637" t="str">
        <f t="shared" si="15"/>
        <v>项目停车位配比</v>
      </c>
      <c r="AA27" s="1307">
        <f t="shared" si="3"/>
        <v>1</v>
      </c>
      <c r="AB27" s="1307">
        <f t="shared" si="4"/>
        <v>1</v>
      </c>
      <c r="AC27" s="1307">
        <f t="shared" si="5"/>
        <v>1</v>
      </c>
    </row>
    <row r="28" spans="1:29" ht="15">
      <c r="A28" s="537"/>
      <c r="B28" s="535" t="s">
        <v>2355</v>
      </c>
      <c r="C28" s="350"/>
      <c r="D28" s="325">
        <v>100</v>
      </c>
      <c r="E28" s="350"/>
      <c r="F28" s="351">
        <f>SUMIF(83:83,E28,84:84)-SUMIF(83:83,C28,84:84)+100</f>
        <v>100</v>
      </c>
      <c r="G28" s="350"/>
      <c r="H28" s="325">
        <f>SUMIF(83:83,G28,84:84)-SUMIF(83:83,C28,84:84)+100</f>
        <v>100</v>
      </c>
      <c r="I28" s="350"/>
      <c r="J28" s="325">
        <f>SUMIF(83:83,I28,84:84)-SUMIF(83:83,C28,84:84)+100</f>
        <v>100</v>
      </c>
      <c r="K28" s="498"/>
      <c r="L28" s="3005"/>
      <c r="M28" s="2996"/>
      <c r="N28" s="2996"/>
      <c r="O28" s="3004"/>
      <c r="P28" s="3637"/>
      <c r="Q28" s="1304" t="str">
        <f t="shared" si="11"/>
        <v>公共部分装修</v>
      </c>
      <c r="R28" s="631" t="s">
        <v>25</v>
      </c>
      <c r="S28" s="632">
        <f t="shared" si="12"/>
        <v>100</v>
      </c>
      <c r="T28" s="631" t="s">
        <v>25</v>
      </c>
      <c r="U28" s="632">
        <f t="shared" si="13"/>
        <v>100</v>
      </c>
      <c r="V28" s="631" t="s">
        <v>25</v>
      </c>
      <c r="W28" s="632">
        <f t="shared" si="14"/>
        <v>100</v>
      </c>
      <c r="X28" s="1305"/>
      <c r="Y28" s="3637"/>
      <c r="Z28" s="1306" t="str">
        <f t="shared" si="15"/>
        <v>公共部分装修</v>
      </c>
      <c r="AA28" s="1307">
        <f t="shared" si="3"/>
        <v>1</v>
      </c>
      <c r="AB28" s="1307">
        <f t="shared" si="4"/>
        <v>1</v>
      </c>
      <c r="AC28" s="1307">
        <f t="shared" si="5"/>
        <v>1</v>
      </c>
    </row>
    <row r="29" spans="1:29" ht="15">
      <c r="A29" s="537"/>
      <c r="B29" s="535" t="s">
        <v>2356</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5"/>
      <c r="M29" s="2996"/>
      <c r="N29" s="2996"/>
      <c r="O29" s="3004"/>
      <c r="P29" s="3637"/>
      <c r="Q29" s="1304" t="str">
        <f t="shared" si="11"/>
        <v>成新率</v>
      </c>
      <c r="R29" s="631" t="s">
        <v>25</v>
      </c>
      <c r="S29" s="632" t="e">
        <f t="shared" si="12"/>
        <v>#N/A</v>
      </c>
      <c r="T29" s="631" t="s">
        <v>25</v>
      </c>
      <c r="U29" s="632" t="e">
        <f t="shared" si="13"/>
        <v>#N/A</v>
      </c>
      <c r="V29" s="631" t="s">
        <v>25</v>
      </c>
      <c r="W29" s="632" t="e">
        <f t="shared" si="14"/>
        <v>#N/A</v>
      </c>
      <c r="X29" s="1305"/>
      <c r="Y29" s="3637"/>
      <c r="Z29" s="1306" t="str">
        <f t="shared" si="15"/>
        <v>成新率</v>
      </c>
      <c r="AA29" s="1307" t="e">
        <f t="shared" si="3"/>
        <v>#N/A</v>
      </c>
      <c r="AB29" s="1307" t="e">
        <f t="shared" si="4"/>
        <v>#N/A</v>
      </c>
      <c r="AC29" s="1307" t="e">
        <f t="shared" si="5"/>
        <v>#N/A</v>
      </c>
    </row>
    <row r="30" spans="1:29" ht="15">
      <c r="A30" s="537"/>
      <c r="B30" s="535" t="s">
        <v>2357</v>
      </c>
      <c r="C30" s="538"/>
      <c r="D30" s="325">
        <v>100</v>
      </c>
      <c r="E30" s="538"/>
      <c r="F30" s="351">
        <f>SUMIF(88:88,E30,89:89)-SUMIF(88:88,C30,89:89)+100</f>
        <v>100</v>
      </c>
      <c r="G30" s="538"/>
      <c r="H30" s="325">
        <f>SUMIF(88:88,G30,89:89)-SUMIF(88:88,C30,89:89)+100</f>
        <v>100</v>
      </c>
      <c r="I30" s="538"/>
      <c r="J30" s="325">
        <f>SUMIF(88:88,I30,89:89)-SUMIF(88:88,C30,89:89)+100</f>
        <v>100</v>
      </c>
      <c r="K30" s="498"/>
      <c r="L30" s="3005"/>
      <c r="M30" s="2996"/>
      <c r="N30" s="2996"/>
      <c r="O30" s="3004"/>
      <c r="P30" s="3637"/>
      <c r="Q30" s="1304" t="str">
        <f t="shared" si="11"/>
        <v>物业等级</v>
      </c>
      <c r="R30" s="631" t="s">
        <v>25</v>
      </c>
      <c r="S30" s="632">
        <f t="shared" si="12"/>
        <v>100</v>
      </c>
      <c r="T30" s="631" t="s">
        <v>25</v>
      </c>
      <c r="U30" s="632">
        <f t="shared" si="13"/>
        <v>100</v>
      </c>
      <c r="V30" s="631" t="s">
        <v>25</v>
      </c>
      <c r="W30" s="632">
        <f t="shared" si="14"/>
        <v>100</v>
      </c>
      <c r="X30" s="1305"/>
      <c r="Y30" s="3637"/>
      <c r="Z30" s="1306" t="str">
        <f t="shared" si="15"/>
        <v>物业等级</v>
      </c>
      <c r="AA30" s="1307">
        <f t="shared" si="3"/>
        <v>1</v>
      </c>
      <c r="AB30" s="1307">
        <f t="shared" si="4"/>
        <v>1</v>
      </c>
      <c r="AC30" s="1307">
        <f t="shared" si="5"/>
        <v>1</v>
      </c>
    </row>
    <row r="31" spans="1:29" s="25" customFormat="1" ht="15">
      <c r="A31" s="539"/>
      <c r="B31" s="535" t="s">
        <v>2358</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7"/>
      <c r="M31" s="2998"/>
      <c r="N31" s="2998"/>
      <c r="O31" s="2999"/>
      <c r="P31" s="3637"/>
      <c r="Q31" s="1297" t="str">
        <f t="shared" si="11"/>
        <v>停车位面积</v>
      </c>
      <c r="R31" s="627" t="s">
        <v>25</v>
      </c>
      <c r="S31" s="628" t="e">
        <f t="shared" si="12"/>
        <v>#N/A</v>
      </c>
      <c r="T31" s="627" t="s">
        <v>25</v>
      </c>
      <c r="U31" s="628" t="e">
        <f t="shared" si="13"/>
        <v>#N/A</v>
      </c>
      <c r="V31" s="627" t="s">
        <v>25</v>
      </c>
      <c r="W31" s="628" t="e">
        <f t="shared" si="14"/>
        <v>#N/A</v>
      </c>
      <c r="X31" s="629"/>
      <c r="Y31" s="3637"/>
      <c r="Z31" s="19" t="str">
        <f t="shared" si="15"/>
        <v>停车位面积</v>
      </c>
      <c r="AA31" s="630" t="e">
        <f t="shared" si="3"/>
        <v>#N/A</v>
      </c>
      <c r="AB31" s="630" t="e">
        <f t="shared" si="4"/>
        <v>#N/A</v>
      </c>
      <c r="AC31" s="630" t="e">
        <f t="shared" si="5"/>
        <v>#N/A</v>
      </c>
    </row>
    <row r="32" spans="1:29" ht="15">
      <c r="A32" s="537"/>
      <c r="B32" s="535" t="s">
        <v>2359</v>
      </c>
      <c r="C32" s="350"/>
      <c r="D32" s="325">
        <v>100</v>
      </c>
      <c r="E32" s="350"/>
      <c r="F32" s="351">
        <f>SUMIF(93:93,E32,94:94)-SUMIF(93:93,C32,94:94)+100</f>
        <v>100</v>
      </c>
      <c r="G32" s="350"/>
      <c r="H32" s="325">
        <f>SUMIF(93:93,G32,94:94)-SUMIF(93:93,C32,94:94)+100</f>
        <v>100</v>
      </c>
      <c r="I32" s="350"/>
      <c r="J32" s="325">
        <f>SUMIF(93:93,I32,94:94)-SUMIF(93:93,C32,94:94)+100</f>
        <v>100</v>
      </c>
      <c r="K32" s="498"/>
      <c r="L32" s="3005"/>
      <c r="M32" s="2996"/>
      <c r="N32" s="2996"/>
      <c r="O32" s="3004"/>
      <c r="P32" s="3637" t="s">
        <v>2219</v>
      </c>
      <c r="Q32" s="1304" t="str">
        <f t="shared" si="11"/>
        <v>车位类型</v>
      </c>
      <c r="R32" s="631" t="s">
        <v>25</v>
      </c>
      <c r="S32" s="632">
        <f t="shared" si="12"/>
        <v>100</v>
      </c>
      <c r="T32" s="631" t="s">
        <v>25</v>
      </c>
      <c r="U32" s="632">
        <f t="shared" si="13"/>
        <v>100</v>
      </c>
      <c r="V32" s="631" t="s">
        <v>25</v>
      </c>
      <c r="W32" s="632">
        <f t="shared" si="14"/>
        <v>100</v>
      </c>
      <c r="X32" s="1305"/>
      <c r="Y32" s="3637" t="s">
        <v>2219</v>
      </c>
      <c r="Z32" s="1306" t="str">
        <f t="shared" si="15"/>
        <v>车位类型</v>
      </c>
      <c r="AA32" s="1307">
        <f t="shared" si="3"/>
        <v>1</v>
      </c>
      <c r="AB32" s="1307">
        <f t="shared" si="4"/>
        <v>1</v>
      </c>
      <c r="AC32" s="1307">
        <f t="shared" si="5"/>
        <v>1</v>
      </c>
    </row>
    <row r="33" spans="1:29" ht="15">
      <c r="A33" s="537"/>
      <c r="B33" s="535" t="s">
        <v>2360</v>
      </c>
      <c r="C33" s="350"/>
      <c r="D33" s="325">
        <v>100</v>
      </c>
      <c r="E33" s="350"/>
      <c r="F33" s="351">
        <f>SUMIF(95:95,E33,96:96)-SUMIF(95:95,C33,96:96)+100</f>
        <v>100</v>
      </c>
      <c r="G33" s="350"/>
      <c r="H33" s="325">
        <f>SUMIF(95:95,G33,96:96)-SUMIF(95:95,C33,96:96)+100</f>
        <v>100</v>
      </c>
      <c r="I33" s="350"/>
      <c r="J33" s="325">
        <f>SUMIF(95:95,I33,96:96)-SUMIF(95:95,C33,96:96)+100</f>
        <v>100</v>
      </c>
      <c r="K33" s="498"/>
      <c r="L33" s="3005"/>
      <c r="M33" s="2996"/>
      <c r="N33" s="2996"/>
      <c r="O33" s="3004"/>
      <c r="P33" s="3637"/>
      <c r="Q33" s="1304" t="str">
        <f t="shared" si="11"/>
        <v>是否直接入户</v>
      </c>
      <c r="R33" s="631" t="s">
        <v>25</v>
      </c>
      <c r="S33" s="632">
        <f t="shared" si="12"/>
        <v>100</v>
      </c>
      <c r="T33" s="631" t="s">
        <v>25</v>
      </c>
      <c r="U33" s="632">
        <f t="shared" si="13"/>
        <v>100</v>
      </c>
      <c r="V33" s="631" t="s">
        <v>25</v>
      </c>
      <c r="W33" s="632">
        <f t="shared" si="14"/>
        <v>100</v>
      </c>
      <c r="X33" s="1305"/>
      <c r="Y33" s="3637"/>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5"/>
      <c r="M34" s="2996"/>
      <c r="N34" s="2996"/>
      <c r="O34" s="3004"/>
      <c r="P34" s="3637"/>
      <c r="Q34" s="1304">
        <f t="shared" si="11"/>
        <v>111</v>
      </c>
      <c r="R34" s="631" t="s">
        <v>25</v>
      </c>
      <c r="S34" s="632">
        <f t="shared" si="12"/>
        <v>100</v>
      </c>
      <c r="T34" s="631" t="s">
        <v>25</v>
      </c>
      <c r="U34" s="632">
        <f t="shared" si="13"/>
        <v>100</v>
      </c>
      <c r="V34" s="631" t="s">
        <v>25</v>
      </c>
      <c r="W34" s="632">
        <f t="shared" si="14"/>
        <v>100</v>
      </c>
      <c r="X34" s="1305"/>
      <c r="Y34" s="3637"/>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3"/>
      <c r="M35" s="358"/>
      <c r="N35" s="358"/>
      <c r="O35" s="3006"/>
      <c r="P35" s="3637"/>
      <c r="Q35" s="633">
        <f t="shared" si="11"/>
        <v>111</v>
      </c>
      <c r="R35" s="634" t="s">
        <v>25</v>
      </c>
      <c r="S35" s="635">
        <f t="shared" si="12"/>
        <v>100</v>
      </c>
      <c r="T35" s="634" t="s">
        <v>25</v>
      </c>
      <c r="U35" s="635">
        <f t="shared" si="13"/>
        <v>100</v>
      </c>
      <c r="V35" s="634" t="s">
        <v>25</v>
      </c>
      <c r="W35" s="635">
        <f t="shared" si="14"/>
        <v>100</v>
      </c>
      <c r="X35" s="636"/>
      <c r="Y35" s="3637"/>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5"/>
      <c r="M36" s="2996"/>
      <c r="N36" s="2996"/>
      <c r="O36" s="3004"/>
      <c r="P36" s="3637"/>
      <c r="Q36" s="1304">
        <f t="shared" si="11"/>
        <v>111</v>
      </c>
      <c r="R36" s="631" t="s">
        <v>25</v>
      </c>
      <c r="S36" s="632">
        <f t="shared" si="12"/>
        <v>100</v>
      </c>
      <c r="T36" s="631" t="s">
        <v>25</v>
      </c>
      <c r="U36" s="632">
        <f t="shared" si="13"/>
        <v>100</v>
      </c>
      <c r="V36" s="631" t="s">
        <v>25</v>
      </c>
      <c r="W36" s="632">
        <f t="shared" si="14"/>
        <v>100</v>
      </c>
      <c r="X36" s="1305"/>
      <c r="Y36" s="3637"/>
      <c r="Z36" s="1306">
        <f t="shared" si="15"/>
        <v>111</v>
      </c>
      <c r="AA36" s="1307">
        <f t="shared" si="3"/>
        <v>1</v>
      </c>
      <c r="AB36" s="1307">
        <f t="shared" si="4"/>
        <v>1</v>
      </c>
      <c r="AC36" s="1307">
        <f t="shared" si="5"/>
        <v>1</v>
      </c>
    </row>
    <row r="37" spans="1:29" ht="15">
      <c r="A37" s="367" t="s">
        <v>2361</v>
      </c>
      <c r="B37" s="840" t="s">
        <v>2362</v>
      </c>
      <c r="C37" s="1124" t="s">
        <v>1</v>
      </c>
      <c r="D37" s="1125"/>
      <c r="E37" s="1126"/>
      <c r="F37" s="1127"/>
      <c r="G37" s="1128"/>
      <c r="H37" s="1129"/>
      <c r="I37" s="1126"/>
      <c r="J37" s="1129"/>
      <c r="K37" s="503"/>
      <c r="L37" s="3007"/>
      <c r="N37" s="2996"/>
      <c r="P37" s="3631" t="str">
        <f>A37</f>
        <v>成交单价</v>
      </c>
      <c r="Q37" s="3631"/>
      <c r="R37" s="3632">
        <f>E37</f>
        <v>0</v>
      </c>
      <c r="S37" s="3632"/>
      <c r="T37" s="3632">
        <f>G37</f>
        <v>0</v>
      </c>
      <c r="U37" s="3632"/>
      <c r="V37" s="3632">
        <f>I37</f>
        <v>0</v>
      </c>
      <c r="W37" s="3632"/>
      <c r="X37" s="618"/>
      <c r="Y37" s="638"/>
      <c r="Z37" s="618"/>
      <c r="AA37" s="618"/>
      <c r="AB37" s="618"/>
      <c r="AC37" s="618"/>
    </row>
    <row r="38" spans="1:29" ht="15.75" thickBot="1">
      <c r="A38" s="374" t="s">
        <v>2363</v>
      </c>
      <c r="B38" s="375" t="str">
        <f>B37</f>
        <v>元/平方米</v>
      </c>
      <c r="C38" s="1130" t="e">
        <f>R39</f>
        <v>#DIV/0!</v>
      </c>
      <c r="D38" s="1767" t="s">
        <v>2687</v>
      </c>
      <c r="E38" s="1131" t="e">
        <f>R38</f>
        <v>#DIV/0!</v>
      </c>
      <c r="F38" s="1769"/>
      <c r="G38" s="1130" t="e">
        <f>T38</f>
        <v>#DIV/0!</v>
      </c>
      <c r="H38" s="1769"/>
      <c r="I38" s="1131" t="e">
        <f>V38</f>
        <v>#DIV/0!</v>
      </c>
      <c r="J38" s="1769"/>
      <c r="K38" s="2481">
        <f>F38+H38+J38</f>
        <v>0</v>
      </c>
      <c r="L38" s="3007"/>
      <c r="P38" s="3631" t="str">
        <f>A38</f>
        <v>比较价值</v>
      </c>
      <c r="Q38" s="3631"/>
      <c r="R38" s="3632" t="e">
        <f>IF(E1="售价",ROUND(PRODUCT(R37,AA7:AA36),0),ROUND(PRODUCT(R37,AA7:AA36),1))</f>
        <v>#DIV/0!</v>
      </c>
      <c r="S38" s="3632"/>
      <c r="T38" s="3632" t="e">
        <f>IF(E1="售价",ROUND(PRODUCT(T37,AB7:AB36),0),ROUND(PRODUCT(T37,AB7:AB36),1))</f>
        <v>#DIV/0!</v>
      </c>
      <c r="U38" s="3632"/>
      <c r="V38" s="3632" t="e">
        <f>IF(E1="售价",ROUND(PRODUCT(V37,AC7:AC36),0),ROUND(PRODUCT(V37,AC7:AC36),1))</f>
        <v>#DIV/0!</v>
      </c>
      <c r="W38" s="3632"/>
      <c r="X38" s="618"/>
      <c r="Y38" s="618"/>
      <c r="Z38" s="618"/>
      <c r="AA38" s="618"/>
      <c r="AB38" s="618"/>
      <c r="AC38" s="618"/>
    </row>
    <row r="39" spans="1:29" ht="15.75" thickBot="1">
      <c r="A39" s="378" t="s">
        <v>2364</v>
      </c>
      <c r="B39" s="379"/>
      <c r="C39" s="1132" t="e">
        <f>R39</f>
        <v>#DIV/0!</v>
      </c>
      <c r="D39" s="1132"/>
      <c r="E39" s="1132"/>
      <c r="F39" s="1132"/>
      <c r="G39" s="1132"/>
      <c r="H39" s="1132"/>
      <c r="I39" s="1132"/>
      <c r="J39" s="1132"/>
      <c r="K39" s="504"/>
      <c r="L39" s="3007"/>
      <c r="P39" s="3633" t="str">
        <f>A39</f>
        <v>估价对象XX用房的比较价值（楼面单价，元/平方米）</v>
      </c>
      <c r="Q39" s="3634"/>
      <c r="R39" s="3635" t="e">
        <f>IF(E1="售价",ROUND(IF(D38="简单平均",AVERAGE(R38:W38),R38*F38+T38*H38+V38*J38),0),ROUND(IF(D38="简单平均",AVERAGE(R38:V38),R38*F38+T38*H38+V38*J38),1))</f>
        <v>#DIV/0!</v>
      </c>
      <c r="S39" s="3635"/>
      <c r="T39" s="3635"/>
      <c r="U39" s="3635"/>
      <c r="V39" s="3635"/>
      <c r="W39" s="3635"/>
      <c r="X39" s="618"/>
      <c r="Y39" s="618"/>
      <c r="Z39" s="618"/>
      <c r="AA39" s="618"/>
      <c r="AB39" s="618"/>
      <c r="AC39" s="618"/>
    </row>
    <row r="40" spans="1:29">
      <c r="G40" s="301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2365</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2366</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2367</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11"/>
      <c r="L44" s="3008"/>
      <c r="P44" s="619"/>
      <c r="Q44" s="619"/>
      <c r="R44" s="619"/>
      <c r="S44" s="619"/>
      <c r="T44" s="619"/>
      <c r="U44" s="619"/>
      <c r="V44" s="619"/>
      <c r="W44" s="619"/>
      <c r="X44" s="619"/>
      <c r="Y44" s="619"/>
      <c r="Z44" s="619"/>
      <c r="AA44" s="619"/>
      <c r="AB44" s="619"/>
      <c r="AC44" s="619"/>
    </row>
    <row r="45" spans="1:29" s="388" customFormat="1">
      <c r="B45" s="3009"/>
      <c r="C45" s="3012"/>
      <c r="K45" s="3011"/>
      <c r="L45" s="3008"/>
      <c r="P45" s="619"/>
      <c r="Q45" s="619"/>
      <c r="R45" s="619"/>
      <c r="S45" s="619"/>
      <c r="T45" s="619"/>
      <c r="U45" s="619"/>
      <c r="V45" s="619"/>
      <c r="W45" s="619"/>
      <c r="X45" s="619"/>
      <c r="Y45" s="619"/>
      <c r="Z45" s="619"/>
      <c r="AA45" s="619"/>
      <c r="AB45" s="619"/>
      <c r="AC45" s="619"/>
    </row>
    <row r="46" spans="1:29">
      <c r="B46" s="3009"/>
      <c r="C46" s="3012"/>
      <c r="P46" s="618"/>
      <c r="Q46" s="618"/>
      <c r="R46" s="618"/>
      <c r="S46" s="618"/>
      <c r="T46" s="618"/>
      <c r="U46" s="618"/>
      <c r="V46" s="618"/>
      <c r="W46" s="618"/>
      <c r="X46" s="618"/>
      <c r="Y46" s="618"/>
      <c r="Z46" s="618"/>
      <c r="AA46" s="618"/>
      <c r="AB46" s="618"/>
      <c r="AC46" s="618"/>
    </row>
    <row r="47" spans="1:29" ht="21.75" thickBot="1">
      <c r="A47" s="1134" t="s">
        <v>2368</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2369</v>
      </c>
      <c r="B48" s="392"/>
      <c r="C48" s="1158" t="str">
        <f>YEAR(C7)&amp;"-"&amp;MONTH(C7)</f>
        <v>2022-3</v>
      </c>
      <c r="D48" s="1159">
        <f>EDATE(C48,-1)</f>
        <v>44593</v>
      </c>
      <c r="E48" s="1159">
        <f t="shared" ref="E48:O48" si="16">EDATE(D48,-1)</f>
        <v>44562</v>
      </c>
      <c r="F48" s="1159">
        <f t="shared" si="16"/>
        <v>44531</v>
      </c>
      <c r="G48" s="1159">
        <f t="shared" si="16"/>
        <v>44501</v>
      </c>
      <c r="H48" s="1159">
        <f t="shared" si="16"/>
        <v>44470</v>
      </c>
      <c r="I48" s="1159">
        <f t="shared" si="16"/>
        <v>44440</v>
      </c>
      <c r="J48" s="1159">
        <f t="shared" si="16"/>
        <v>44409</v>
      </c>
      <c r="K48" s="1159">
        <f t="shared" si="16"/>
        <v>44378</v>
      </c>
      <c r="L48" s="1159">
        <f t="shared" si="16"/>
        <v>44348</v>
      </c>
      <c r="M48" s="1159">
        <f t="shared" si="16"/>
        <v>44317</v>
      </c>
      <c r="N48" s="1159">
        <f t="shared" si="16"/>
        <v>44287</v>
      </c>
      <c r="O48" s="1159">
        <f t="shared" si="16"/>
        <v>44256</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2239</v>
      </c>
      <c r="B50" s="401"/>
      <c r="C50" s="402"/>
      <c r="D50" s="403"/>
      <c r="E50" s="403"/>
      <c r="F50" s="403"/>
      <c r="G50" s="403"/>
      <c r="H50" s="403"/>
      <c r="I50" s="403"/>
      <c r="J50" s="403"/>
      <c r="K50" s="403"/>
      <c r="L50" s="403"/>
      <c r="M50" s="404"/>
      <c r="N50" s="403"/>
      <c r="O50" s="405"/>
      <c r="P50" s="390"/>
      <c r="Q50" s="390"/>
    </row>
    <row r="51" spans="1:17" s="25" customFormat="1" ht="15">
      <c r="A51" s="406" t="s">
        <v>2203</v>
      </c>
      <c r="B51" s="396"/>
      <c r="C51" s="407" t="s">
        <v>2204</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2242</v>
      </c>
      <c r="B53" s="413" t="s">
        <v>2207</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2210</v>
      </c>
      <c r="C55" s="426" t="s">
        <v>2243</v>
      </c>
      <c r="D55" s="426" t="s">
        <v>2244</v>
      </c>
      <c r="E55" s="426" t="s">
        <v>2245</v>
      </c>
      <c r="F55" s="426" t="s">
        <v>2246</v>
      </c>
      <c r="G55" s="426" t="s">
        <v>2247</v>
      </c>
      <c r="H55" s="426" t="s">
        <v>2248</v>
      </c>
      <c r="I55" s="426" t="s">
        <v>2249</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2212</v>
      </c>
      <c r="B63" s="413" t="s">
        <v>2256</v>
      </c>
      <c r="C63" s="461" t="s">
        <v>2251</v>
      </c>
      <c r="D63" s="461" t="s">
        <v>2252</v>
      </c>
      <c r="E63" s="461" t="s">
        <v>2253</v>
      </c>
      <c r="F63" s="461" t="s">
        <v>2254</v>
      </c>
      <c r="G63" s="461" t="s">
        <v>2255</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2257</v>
      </c>
      <c r="C65" s="466" t="s">
        <v>2251</v>
      </c>
      <c r="D65" s="466" t="s">
        <v>2252</v>
      </c>
      <c r="E65" s="466" t="s">
        <v>2253</v>
      </c>
      <c r="F65" s="466" t="s">
        <v>2254</v>
      </c>
      <c r="G65" s="466" t="s">
        <v>2255</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2329</v>
      </c>
      <c r="C67" s="426" t="s">
        <v>2258</v>
      </c>
      <c r="D67" s="426" t="s">
        <v>2259</v>
      </c>
      <c r="E67" s="426" t="s">
        <v>2260</v>
      </c>
      <c r="F67" s="426" t="s">
        <v>2261</v>
      </c>
      <c r="G67" s="426" t="s">
        <v>2262</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2263</v>
      </c>
      <c r="C69" s="466" t="s">
        <v>2251</v>
      </c>
      <c r="D69" s="466" t="s">
        <v>2252</v>
      </c>
      <c r="E69" s="466" t="s">
        <v>2253</v>
      </c>
      <c r="F69" s="466" t="s">
        <v>2254</v>
      </c>
      <c r="G69" s="466" t="s">
        <v>2255</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2370</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2217</v>
      </c>
      <c r="B79" s="413" t="s">
        <v>2371</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2372</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2270</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2373</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2374</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2375</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2377</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M31" sqref="M31"/>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202"/>
      <c r="E1" s="1529" t="s">
        <v>2688</v>
      </c>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IF(D2="——",IF(C2="元",ROUND(C37*D3,0),ROUND(C37*D3/10000,0)),IF(C2="元",ROUND(C37*D3,0),ROUND(C37*D3/10000,0))-E2)</f>
        <v>#DIV/0!</v>
      </c>
      <c r="C2" s="79" t="str">
        <f>'数据-取费表'!B3</f>
        <v>万元</v>
      </c>
      <c r="D2" s="1530"/>
      <c r="E2" s="1201" t="e">
        <f ca="1">SUMIF(INDIRECT("'"&amp;G2&amp;"'"&amp;"!A:A"),"承租人权益价值",INDIRECT("'"&amp;G2&amp;"'"&amp;"!c:c"))</f>
        <v>#REF!</v>
      </c>
      <c r="F2" s="1531" t="str">
        <f>C2</f>
        <v>万元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 ca="1">ROUND(IF(D2="——",C37,IF(C2="万元",B2*10000/D3,B2/D3)),0)</f>
        <v>#DIV/0!</v>
      </c>
      <c r="C3" s="293" t="s">
        <v>2187</v>
      </c>
      <c r="D3" s="292">
        <f>IF(C1="仅计算典型户型",'数据-取费表'!E5,'数据-取费表'!B5)</f>
        <v>240.88</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54" t="s">
        <v>2189</v>
      </c>
      <c r="D4" s="3655"/>
      <c r="E4" s="3656" t="s">
        <v>2190</v>
      </c>
      <c r="F4" s="3657"/>
      <c r="G4" s="3654" t="s">
        <v>2191</v>
      </c>
      <c r="H4" s="3655"/>
      <c r="I4" s="3654" t="s">
        <v>2192</v>
      </c>
      <c r="J4" s="3655"/>
      <c r="K4" s="496" t="s">
        <v>2193</v>
      </c>
      <c r="L4" s="2995"/>
      <c r="M4" s="2996"/>
      <c r="N4" s="2996"/>
      <c r="O4" s="2996"/>
      <c r="P4" s="3658" t="s">
        <v>2194</v>
      </c>
      <c r="Q4" s="3659"/>
      <c r="R4" s="3641" t="s">
        <v>2190</v>
      </c>
      <c r="S4" s="3642"/>
      <c r="T4" s="3641" t="s">
        <v>2191</v>
      </c>
      <c r="U4" s="3642"/>
      <c r="V4" s="3664" t="s">
        <v>2192</v>
      </c>
      <c r="W4" s="3664"/>
      <c r="X4" s="1305"/>
      <c r="Y4" s="3641" t="s">
        <v>2194</v>
      </c>
      <c r="Z4" s="3642"/>
      <c r="AA4" s="3651" t="s">
        <v>2190</v>
      </c>
      <c r="AB4" s="3652" t="s">
        <v>2191</v>
      </c>
      <c r="AC4" s="3651" t="s">
        <v>2192</v>
      </c>
    </row>
    <row r="5" spans="1:29" ht="15">
      <c r="A5" s="297"/>
      <c r="B5" s="298"/>
      <c r="C5" s="3667" t="s">
        <v>2195</v>
      </c>
      <c r="D5" s="3668"/>
      <c r="E5" s="3665" t="s">
        <v>2196</v>
      </c>
      <c r="F5" s="3666"/>
      <c r="G5" s="3667" t="s">
        <v>2197</v>
      </c>
      <c r="H5" s="3668"/>
      <c r="I5" s="3667" t="s">
        <v>2198</v>
      </c>
      <c r="J5" s="3668"/>
      <c r="K5" s="496"/>
      <c r="L5" s="2995"/>
      <c r="M5" s="2996"/>
      <c r="N5" s="2996"/>
      <c r="O5" s="2996"/>
      <c r="P5" s="3660"/>
      <c r="Q5" s="3661"/>
      <c r="R5" s="3643"/>
      <c r="S5" s="3644"/>
      <c r="T5" s="3643"/>
      <c r="U5" s="3644"/>
      <c r="V5" s="3664"/>
      <c r="W5" s="3664"/>
      <c r="X5" s="1305"/>
      <c r="Y5" s="3643"/>
      <c r="Z5" s="3644"/>
      <c r="AA5" s="3652"/>
      <c r="AB5" s="3652"/>
      <c r="AC5" s="3652"/>
    </row>
    <row r="6" spans="1:29" ht="15.75" thickBot="1">
      <c r="A6" s="299"/>
      <c r="B6" s="300"/>
      <c r="C6" s="3669" t="s">
        <v>2199</v>
      </c>
      <c r="D6" s="3670"/>
      <c r="E6" s="3671" t="s">
        <v>2199</v>
      </c>
      <c r="F6" s="3672"/>
      <c r="G6" s="3669" t="s">
        <v>2199</v>
      </c>
      <c r="H6" s="3670"/>
      <c r="I6" s="3669" t="s">
        <v>2199</v>
      </c>
      <c r="J6" s="3670"/>
      <c r="K6" s="496" t="s">
        <v>2200</v>
      </c>
      <c r="L6" s="2995"/>
      <c r="M6" s="2996"/>
      <c r="N6" s="2996"/>
      <c r="O6" s="2996"/>
      <c r="P6" s="3662"/>
      <c r="Q6" s="3663"/>
      <c r="R6" s="3643"/>
      <c r="S6" s="3644"/>
      <c r="T6" s="3645"/>
      <c r="U6" s="3646"/>
      <c r="V6" s="3664"/>
      <c r="W6" s="3664"/>
      <c r="X6" s="1305"/>
      <c r="Y6" s="3645"/>
      <c r="Z6" s="3646"/>
      <c r="AA6" s="3653"/>
      <c r="AB6" s="3653"/>
      <c r="AC6" s="3653"/>
    </row>
    <row r="7" spans="1:29" s="25" customFormat="1" ht="15.75" thickBot="1">
      <c r="A7" s="301" t="s">
        <v>2201</v>
      </c>
      <c r="B7" s="302"/>
      <c r="C7" s="303">
        <f>'数据-取费表'!B2</f>
        <v>44645</v>
      </c>
      <c r="D7" s="304">
        <v>100</v>
      </c>
      <c r="E7" s="1545"/>
      <c r="F7" s="304">
        <f>SUMIF(46:46,YEAR(E7)&amp;"-"&amp;MONTH(E7),47:47)</f>
        <v>0</v>
      </c>
      <c r="G7" s="305"/>
      <c r="H7" s="304">
        <f>SUMIF(46:46,YEAR(G7)&amp;"-"&amp;MONTH(G7),47:47)</f>
        <v>0</v>
      </c>
      <c r="I7" s="305"/>
      <c r="J7" s="304">
        <f>SUMIF(46:46,YEAR(I7)&amp;"-"&amp;MONTH(I7),47:47)</f>
        <v>0</v>
      </c>
      <c r="K7" s="497"/>
      <c r="L7" s="2997"/>
      <c r="M7" s="2998"/>
      <c r="N7" s="2998"/>
      <c r="O7" s="2998"/>
      <c r="P7" s="3639" t="s">
        <v>2202</v>
      </c>
      <c r="Q7" s="3647"/>
      <c r="R7" s="627" t="s">
        <v>25</v>
      </c>
      <c r="S7" s="628">
        <f t="shared" ref="S7:S14" si="0">F7</f>
        <v>0</v>
      </c>
      <c r="T7" s="627" t="s">
        <v>25</v>
      </c>
      <c r="U7" s="628">
        <f t="shared" ref="U7:U14" si="1">H7</f>
        <v>0</v>
      </c>
      <c r="V7" s="627" t="s">
        <v>25</v>
      </c>
      <c r="W7" s="628">
        <f t="shared" ref="W7:W14" si="2">J7</f>
        <v>0</v>
      </c>
      <c r="X7" s="629"/>
      <c r="Y7" s="3639" t="s">
        <v>2202</v>
      </c>
      <c r="Z7" s="3640"/>
      <c r="AA7" s="630" t="e">
        <f>D7/F7</f>
        <v>#DIV/0!</v>
      </c>
      <c r="AB7" s="630" t="e">
        <f>D7/H7</f>
        <v>#DIV/0!</v>
      </c>
      <c r="AC7" s="630" t="e">
        <f>D7/J7</f>
        <v>#DIV/0!</v>
      </c>
    </row>
    <row r="8" spans="1:29" s="25" customFormat="1" ht="15.75" thickBot="1">
      <c r="A8" s="301" t="s">
        <v>2203</v>
      </c>
      <c r="B8" s="302"/>
      <c r="C8" s="307" t="s">
        <v>2204</v>
      </c>
      <c r="D8" s="304">
        <v>100</v>
      </c>
      <c r="E8" s="307"/>
      <c r="F8" s="306">
        <f>SUMIF(49:49,E8,50:50)-SUMIF(49:49,C8,50:50)+100</f>
        <v>0</v>
      </c>
      <c r="G8" s="307"/>
      <c r="H8" s="304">
        <f>SUMIF(49:49,G8,50:50)-SUMIF(49:49,C8,50:50)+100</f>
        <v>0</v>
      </c>
      <c r="I8" s="307"/>
      <c r="J8" s="304">
        <f>SUMIF(49:49,I8,50:50)-SUMIF(49:49,C8,50:50)+100</f>
        <v>0</v>
      </c>
      <c r="K8" s="497"/>
      <c r="L8" s="2997"/>
      <c r="M8" s="2998"/>
      <c r="N8" s="2998"/>
      <c r="O8" s="2998"/>
      <c r="P8" s="3639" t="s">
        <v>2205</v>
      </c>
      <c r="Q8" s="3640"/>
      <c r="R8" s="627" t="s">
        <v>25</v>
      </c>
      <c r="S8" s="628">
        <f t="shared" si="0"/>
        <v>0</v>
      </c>
      <c r="T8" s="627" t="s">
        <v>25</v>
      </c>
      <c r="U8" s="628">
        <f t="shared" si="1"/>
        <v>0</v>
      </c>
      <c r="V8" s="627" t="s">
        <v>25</v>
      </c>
      <c r="W8" s="628">
        <f t="shared" si="2"/>
        <v>0</v>
      </c>
      <c r="X8" s="629"/>
      <c r="Y8" s="3639" t="s">
        <v>2205</v>
      </c>
      <c r="Z8" s="3640"/>
      <c r="AA8" s="630" t="e">
        <f t="shared" ref="AA8:AA34" si="3">D8/F8</f>
        <v>#DIV/0!</v>
      </c>
      <c r="AB8" s="630" t="e">
        <f t="shared" ref="AB8:AB34" si="4">D8/H8</f>
        <v>#DIV/0!</v>
      </c>
      <c r="AC8" s="630" t="e">
        <f t="shared" ref="AC8:AC34" si="5">D8/J8</f>
        <v>#DIV/0!</v>
      </c>
    </row>
    <row r="9" spans="1:29" s="25" customFormat="1">
      <c r="A9" s="308" t="s">
        <v>2206</v>
      </c>
      <c r="B9" s="24" t="s">
        <v>2207</v>
      </c>
      <c r="C9" s="309"/>
      <c r="D9" s="28">
        <v>100</v>
      </c>
      <c r="E9" s="311"/>
      <c r="F9" s="28">
        <f>SUMIF(51:51,E9,52:52)-SUMIF(51:51,C9,52:52)+100</f>
        <v>100</v>
      </c>
      <c r="G9" s="311"/>
      <c r="H9" s="28">
        <f>SUMIF(51:51,G9,52:52)-SUMIF(51:51,C9,52:52)+100</f>
        <v>100</v>
      </c>
      <c r="I9" s="311"/>
      <c r="J9" s="28">
        <f>SUMIF(51:51,I9,52:52)-SUMIF(51:51,C9,52:52)+100</f>
        <v>100</v>
      </c>
      <c r="K9" s="497"/>
      <c r="L9" s="2997"/>
      <c r="M9" s="2998"/>
      <c r="N9" s="2998"/>
      <c r="O9" s="2999"/>
      <c r="P9" s="3631" t="s">
        <v>2208</v>
      </c>
      <c r="Q9" s="1297" t="str">
        <f t="shared" ref="Q9:Q14" si="6">B9</f>
        <v>用途</v>
      </c>
      <c r="R9" s="627" t="s">
        <v>25</v>
      </c>
      <c r="S9" s="628">
        <f t="shared" si="0"/>
        <v>100</v>
      </c>
      <c r="T9" s="627" t="s">
        <v>25</v>
      </c>
      <c r="U9" s="628">
        <f t="shared" si="1"/>
        <v>100</v>
      </c>
      <c r="V9" s="627" t="s">
        <v>25</v>
      </c>
      <c r="W9" s="628">
        <f t="shared" si="2"/>
        <v>100</v>
      </c>
      <c r="X9" s="629"/>
      <c r="Y9" s="3650" t="s">
        <v>2209</v>
      </c>
      <c r="Z9" s="19" t="str">
        <f t="shared" ref="Z9:Z14" si="7">Q9</f>
        <v>用途</v>
      </c>
      <c r="AA9" s="630">
        <f t="shared" si="3"/>
        <v>1</v>
      </c>
      <c r="AB9" s="630">
        <f t="shared" si="4"/>
        <v>1</v>
      </c>
      <c r="AC9" s="630">
        <f t="shared" si="5"/>
        <v>1</v>
      </c>
    </row>
    <row r="10" spans="1:29" s="317" customFormat="1" ht="27">
      <c r="A10" s="312"/>
      <c r="B10" s="313" t="s">
        <v>2210</v>
      </c>
      <c r="C10" s="314"/>
      <c r="D10" s="29">
        <v>100</v>
      </c>
      <c r="E10" s="314"/>
      <c r="F10" s="29">
        <f>SUMIF(53:53,E10,54:54)-SUMIF(53:53,C10,54:54)+100</f>
        <v>100</v>
      </c>
      <c r="G10" s="315"/>
      <c r="H10" s="29">
        <f>SUMIF(53:53,G10,54:54)-SUMIF(53:53,C10,54:54)+100</f>
        <v>100</v>
      </c>
      <c r="I10" s="314"/>
      <c r="J10" s="29">
        <f>SUMIF(53:53,I10,54:54)-SUMIF(53:53,C10,54:54)+100</f>
        <v>100</v>
      </c>
      <c r="K10" s="498"/>
      <c r="L10" s="3000"/>
      <c r="M10" s="3001"/>
      <c r="N10" s="3001"/>
      <c r="O10" s="3002"/>
      <c r="P10" s="3631"/>
      <c r="Q10" s="1297" t="str">
        <f t="shared" si="6"/>
        <v>土地使用年限（年）</v>
      </c>
      <c r="R10" s="627" t="s">
        <v>25</v>
      </c>
      <c r="S10" s="628">
        <f t="shared" si="0"/>
        <v>100</v>
      </c>
      <c r="T10" s="627" t="s">
        <v>25</v>
      </c>
      <c r="U10" s="628">
        <f t="shared" si="1"/>
        <v>100</v>
      </c>
      <c r="V10" s="627" t="s">
        <v>25</v>
      </c>
      <c r="W10" s="628">
        <f t="shared" si="2"/>
        <v>100</v>
      </c>
      <c r="X10" s="629"/>
      <c r="Y10" s="3650"/>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3"/>
      <c r="M11" s="2996"/>
      <c r="N11" s="2996"/>
      <c r="O11" s="3004"/>
      <c r="P11" s="3631"/>
      <c r="Q11" s="1297">
        <f t="shared" si="6"/>
        <v>111</v>
      </c>
      <c r="R11" s="627" t="s">
        <v>25</v>
      </c>
      <c r="S11" s="628">
        <f t="shared" si="0"/>
        <v>100</v>
      </c>
      <c r="T11" s="627" t="s">
        <v>25</v>
      </c>
      <c r="U11" s="628">
        <f t="shared" si="1"/>
        <v>100</v>
      </c>
      <c r="V11" s="627" t="s">
        <v>25</v>
      </c>
      <c r="W11" s="628">
        <f t="shared" si="2"/>
        <v>100</v>
      </c>
      <c r="X11" s="629"/>
      <c r="Y11" s="3650"/>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7"/>
      <c r="M12" s="2998"/>
      <c r="N12" s="2998"/>
      <c r="O12" s="2999"/>
      <c r="P12" s="3631"/>
      <c r="Q12" s="1297">
        <f t="shared" si="6"/>
        <v>111</v>
      </c>
      <c r="R12" s="627" t="s">
        <v>25</v>
      </c>
      <c r="S12" s="628">
        <f t="shared" si="0"/>
        <v>100</v>
      </c>
      <c r="T12" s="627" t="s">
        <v>25</v>
      </c>
      <c r="U12" s="628">
        <f t="shared" si="1"/>
        <v>100</v>
      </c>
      <c r="V12" s="627" t="s">
        <v>25</v>
      </c>
      <c r="W12" s="628">
        <f t="shared" si="2"/>
        <v>100</v>
      </c>
      <c r="X12" s="629"/>
      <c r="Y12" s="3650"/>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5"/>
      <c r="M13" s="2996"/>
      <c r="N13" s="2996"/>
      <c r="O13" s="3004"/>
      <c r="P13" s="3631"/>
      <c r="Q13" s="1297">
        <f t="shared" si="6"/>
        <v>111</v>
      </c>
      <c r="R13" s="627" t="s">
        <v>25</v>
      </c>
      <c r="S13" s="628">
        <f t="shared" si="0"/>
        <v>100</v>
      </c>
      <c r="T13" s="627" t="s">
        <v>25</v>
      </c>
      <c r="U13" s="628">
        <f t="shared" si="1"/>
        <v>100</v>
      </c>
      <c r="V13" s="627" t="s">
        <v>25</v>
      </c>
      <c r="W13" s="628">
        <f t="shared" si="2"/>
        <v>100</v>
      </c>
      <c r="X13" s="629"/>
      <c r="Y13" s="3650"/>
      <c r="Z13" s="19">
        <f t="shared" si="7"/>
        <v>111</v>
      </c>
      <c r="AA13" s="630">
        <f t="shared" si="3"/>
        <v>1</v>
      </c>
      <c r="AB13" s="630">
        <f t="shared" si="4"/>
        <v>1</v>
      </c>
      <c r="AC13" s="630">
        <f t="shared" si="5"/>
        <v>1</v>
      </c>
    </row>
    <row r="14" spans="1:29" ht="85.5">
      <c r="A14" s="329" t="s">
        <v>2212</v>
      </c>
      <c r="B14" s="22" t="s">
        <v>2350</v>
      </c>
      <c r="C14" s="1551" t="str">
        <f>IF(B1="工业",估价对象房地状况!G4,估价对象房地状况!C6)</f>
        <v>较好</v>
      </c>
      <c r="D14" s="330">
        <v>100</v>
      </c>
      <c r="E14" s="331"/>
      <c r="F14" s="332">
        <f>SUMIF(61:61,E15,62:62)-SUMIF(61:61,C15,62:62)+100</f>
        <v>100</v>
      </c>
      <c r="G14" s="333"/>
      <c r="H14" s="330">
        <f>SUMIF(61:61,G15,62:62)-SUMIF(61:61,C15,62:62)+100</f>
        <v>100</v>
      </c>
      <c r="I14" s="331"/>
      <c r="J14" s="330">
        <f>SUMIF(61:61,I15,62:62)-SUMIF(61:61,C15,62:62)+100</f>
        <v>100</v>
      </c>
      <c r="K14" s="500"/>
      <c r="L14" s="3005"/>
      <c r="M14" s="2996"/>
      <c r="N14" s="2996"/>
      <c r="O14" s="3004"/>
      <c r="P14" s="3648" t="s">
        <v>2213</v>
      </c>
      <c r="Q14" s="1304" t="str">
        <f t="shared" si="6"/>
        <v>交通便捷度</v>
      </c>
      <c r="R14" s="631" t="s">
        <v>25</v>
      </c>
      <c r="S14" s="632">
        <f t="shared" si="0"/>
        <v>100</v>
      </c>
      <c r="T14" s="631" t="s">
        <v>25</v>
      </c>
      <c r="U14" s="632">
        <f t="shared" si="1"/>
        <v>100</v>
      </c>
      <c r="V14" s="631" t="s">
        <v>25</v>
      </c>
      <c r="W14" s="632">
        <f t="shared" si="2"/>
        <v>100</v>
      </c>
      <c r="X14" s="1305"/>
      <c r="Y14" s="3648" t="s">
        <v>2213</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5"/>
      <c r="M15" s="2996"/>
      <c r="N15" s="2996"/>
      <c r="O15" s="3004"/>
      <c r="P15" s="3649"/>
      <c r="Q15" s="1304"/>
      <c r="R15" s="631"/>
      <c r="S15" s="632"/>
      <c r="T15" s="631"/>
      <c r="U15" s="632"/>
      <c r="V15" s="631"/>
      <c r="W15" s="632"/>
      <c r="X15" s="1305"/>
      <c r="Y15" s="3649"/>
      <c r="Z15" s="1306"/>
      <c r="AA15" s="1307">
        <v>1</v>
      </c>
      <c r="AB15" s="1307">
        <v>1</v>
      </c>
      <c r="AC15" s="1307">
        <v>1</v>
      </c>
    </row>
    <row r="16" spans="1:29" ht="42.75">
      <c r="A16" s="318"/>
      <c r="B16" s="513" t="s">
        <v>2328</v>
      </c>
      <c r="C16" s="1537" t="str">
        <f>IF(B1="工业",估价对象房地状况!G5,估价对象房地状况!C7)</f>
        <v>较好</v>
      </c>
      <c r="D16" s="339">
        <v>100</v>
      </c>
      <c r="E16" s="341"/>
      <c r="F16" s="342">
        <f>SUMIF(63:63,E17,64:64)-SUMIF(63:63,C17,64:64)+100</f>
        <v>100</v>
      </c>
      <c r="G16" s="343"/>
      <c r="H16" s="344">
        <f>SUMIF(63:63,G17,64:64)-SUMIF(63:63,C17,64:64)+100</f>
        <v>100</v>
      </c>
      <c r="I16" s="341"/>
      <c r="J16" s="344">
        <f>SUMIF(63:63,I17,64:64)-SUMIF(63:63,C17,64:64)+100</f>
        <v>100</v>
      </c>
      <c r="K16" s="500"/>
      <c r="L16" s="3005"/>
      <c r="M16" s="2996"/>
      <c r="N16" s="2996"/>
      <c r="O16" s="3004"/>
      <c r="P16" s="3649"/>
      <c r="Q16" s="1304" t="str">
        <f>B16</f>
        <v>公共配套设施</v>
      </c>
      <c r="R16" s="631" t="s">
        <v>25</v>
      </c>
      <c r="S16" s="632">
        <f>F16</f>
        <v>100</v>
      </c>
      <c r="T16" s="631" t="s">
        <v>25</v>
      </c>
      <c r="U16" s="632">
        <f>H16</f>
        <v>100</v>
      </c>
      <c r="V16" s="631" t="s">
        <v>25</v>
      </c>
      <c r="W16" s="632">
        <f>J16</f>
        <v>100</v>
      </c>
      <c r="X16" s="1305"/>
      <c r="Y16" s="3649"/>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5"/>
      <c r="M17" s="2996"/>
      <c r="N17" s="2996"/>
      <c r="O17" s="3004"/>
      <c r="P17" s="3649"/>
      <c r="Q17" s="1304"/>
      <c r="R17" s="631"/>
      <c r="S17" s="632"/>
      <c r="T17" s="631"/>
      <c r="U17" s="632"/>
      <c r="V17" s="631"/>
      <c r="W17" s="632"/>
      <c r="X17" s="1305"/>
      <c r="Y17" s="3649"/>
      <c r="Z17" s="1306"/>
      <c r="AA17" s="1307">
        <v>1</v>
      </c>
      <c r="AB17" s="1307">
        <v>1</v>
      </c>
      <c r="AC17" s="1307">
        <v>1</v>
      </c>
    </row>
    <row r="18" spans="1:29" ht="28.5">
      <c r="A18" s="318"/>
      <c r="B18" s="515" t="s">
        <v>2329</v>
      </c>
      <c r="C18" s="1537" t="str">
        <f>IF(B1="工业",估价对象房地状况!G6,估价对象房地状况!C8)</f>
        <v>七通</v>
      </c>
      <c r="D18" s="339">
        <v>100</v>
      </c>
      <c r="E18" s="341"/>
      <c r="F18" s="342">
        <f>SUMIF(65:65,E19,66:66)-SUMIF(65:65,C19,66:66)+100</f>
        <v>100</v>
      </c>
      <c r="G18" s="343"/>
      <c r="H18" s="339">
        <f>SUMIF(65:65,G19,66:66)-SUMIF(65:65,C19,66:66)+100</f>
        <v>100</v>
      </c>
      <c r="I18" s="341"/>
      <c r="J18" s="339">
        <f>SUMIF(65:65,I19,66:66)-SUMIF(65:65,C19,66:66)+100</f>
        <v>100</v>
      </c>
      <c r="K18" s="500"/>
      <c r="L18" s="3005"/>
      <c r="M18" s="2996"/>
      <c r="N18" s="2996"/>
      <c r="O18" s="3004"/>
      <c r="P18" s="3649"/>
      <c r="Q18" s="1304" t="str">
        <f>B18</f>
        <v>基础设施水平</v>
      </c>
      <c r="R18" s="631" t="s">
        <v>25</v>
      </c>
      <c r="S18" s="632">
        <f>F18</f>
        <v>100</v>
      </c>
      <c r="T18" s="631" t="s">
        <v>25</v>
      </c>
      <c r="U18" s="632">
        <f>H18</f>
        <v>100</v>
      </c>
      <c r="V18" s="631" t="s">
        <v>25</v>
      </c>
      <c r="W18" s="632">
        <f>J18</f>
        <v>100</v>
      </c>
      <c r="X18" s="1305"/>
      <c r="Y18" s="3649"/>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5"/>
      <c r="M19" s="2996"/>
      <c r="N19" s="2996"/>
      <c r="O19" s="3004"/>
      <c r="P19" s="3649"/>
      <c r="Q19" s="1304"/>
      <c r="R19" s="631"/>
      <c r="S19" s="632"/>
      <c r="T19" s="631"/>
      <c r="U19" s="632"/>
      <c r="V19" s="631"/>
      <c r="W19" s="632"/>
      <c r="X19" s="1305"/>
      <c r="Y19" s="3649"/>
      <c r="Z19" s="1306"/>
      <c r="AA19" s="1307">
        <v>1</v>
      </c>
      <c r="AB19" s="1307">
        <v>1</v>
      </c>
      <c r="AC19" s="1307">
        <v>1</v>
      </c>
    </row>
    <row r="20" spans="1:29" ht="57">
      <c r="A20" s="318"/>
      <c r="B20" s="340" t="s">
        <v>2351</v>
      </c>
      <c r="C20" s="1537" t="str">
        <f>IF(B1="工业",估价对象房地状况!G7,估价对象房地状况!C9)</f>
        <v>较好</v>
      </c>
      <c r="D20" s="344">
        <v>100</v>
      </c>
      <c r="E20" s="347"/>
      <c r="F20" s="348">
        <f>SUMIF(67:67,E21,68:68)-SUMIF(67:67,C21,68:68)+100</f>
        <v>100</v>
      </c>
      <c r="G20" s="349"/>
      <c r="H20" s="339">
        <f>SUMIF(67:67,G21,68:68)-SUMIF(67:67,C21,68:68)+100</f>
        <v>100</v>
      </c>
      <c r="I20" s="341"/>
      <c r="J20" s="339">
        <f>SUMIF(67:67,I21,68:68)-SUMIF(67:67,C21,68:68)+100</f>
        <v>100</v>
      </c>
      <c r="K20" s="500"/>
      <c r="L20" s="3005"/>
      <c r="M20" s="2996"/>
      <c r="N20" s="2996"/>
      <c r="O20" s="3004"/>
      <c r="P20" s="3649"/>
      <c r="Q20" s="1304" t="str">
        <f>B20</f>
        <v>自然及人文环境</v>
      </c>
      <c r="R20" s="631" t="s">
        <v>25</v>
      </c>
      <c r="S20" s="632">
        <f>F20</f>
        <v>100</v>
      </c>
      <c r="T20" s="631" t="s">
        <v>25</v>
      </c>
      <c r="U20" s="632">
        <f>H20</f>
        <v>100</v>
      </c>
      <c r="V20" s="631" t="s">
        <v>25</v>
      </c>
      <c r="W20" s="632">
        <f>J20</f>
        <v>100</v>
      </c>
      <c r="X20" s="1305"/>
      <c r="Y20" s="3649"/>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5"/>
      <c r="M21" s="2996"/>
      <c r="N21" s="2996"/>
      <c r="O21" s="3004"/>
      <c r="P21" s="3649"/>
      <c r="Q21" s="1304"/>
      <c r="R21" s="631"/>
      <c r="S21" s="632"/>
      <c r="T21" s="631"/>
      <c r="U21" s="632"/>
      <c r="V21" s="631"/>
      <c r="W21" s="632"/>
      <c r="X21" s="1305"/>
      <c r="Y21" s="3649"/>
      <c r="Z21" s="1306"/>
      <c r="AA21" s="1307">
        <v>1</v>
      </c>
      <c r="AB21" s="1307">
        <v>1</v>
      </c>
      <c r="AC21" s="1307">
        <v>1</v>
      </c>
    </row>
    <row r="22" spans="1:29" ht="15">
      <c r="A22" s="318"/>
      <c r="B22" s="340" t="s">
        <v>2352</v>
      </c>
      <c r="C22" s="502"/>
      <c r="D22" s="339">
        <v>100</v>
      </c>
      <c r="E22" s="502"/>
      <c r="F22" s="351">
        <f>SUMIF(69:69,E22,70:70)-SUMIF(69:69,C22,70:70)+100</f>
        <v>100</v>
      </c>
      <c r="G22" s="502"/>
      <c r="H22" s="325">
        <f>SUMIF(69:69,G22,70:70)-SUMIF(69:69,C22,70:70)+100</f>
        <v>100</v>
      </c>
      <c r="I22" s="502"/>
      <c r="J22" s="325">
        <f>SUMIF(69:69,I22,70:70)-SUMIF(69:69,C22,70:70)+100</f>
        <v>100</v>
      </c>
      <c r="K22" s="498"/>
      <c r="L22" s="3005"/>
      <c r="M22" s="2996"/>
      <c r="N22" s="2996"/>
      <c r="O22" s="3004"/>
      <c r="P22" s="3649"/>
      <c r="Q22" s="1304" t="str">
        <f>B22</f>
        <v>楼层</v>
      </c>
      <c r="R22" s="631" t="s">
        <v>25</v>
      </c>
      <c r="S22" s="632">
        <f>F22</f>
        <v>100</v>
      </c>
      <c r="T22" s="631" t="s">
        <v>25</v>
      </c>
      <c r="U22" s="632">
        <f>H22</f>
        <v>100</v>
      </c>
      <c r="V22" s="631" t="s">
        <v>25</v>
      </c>
      <c r="W22" s="632">
        <f>J22</f>
        <v>100</v>
      </c>
      <c r="X22" s="1305"/>
      <c r="Y22" s="3649"/>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5"/>
      <c r="M23" s="2996"/>
      <c r="N23" s="2996"/>
      <c r="O23" s="3004"/>
      <c r="P23" s="3649"/>
      <c r="Q23" s="1304">
        <f>B23</f>
        <v>111</v>
      </c>
      <c r="R23" s="631" t="s">
        <v>25</v>
      </c>
      <c r="S23" s="632">
        <f>F23</f>
        <v>100</v>
      </c>
      <c r="T23" s="631" t="s">
        <v>25</v>
      </c>
      <c r="U23" s="632">
        <f>H23</f>
        <v>100</v>
      </c>
      <c r="V23" s="631" t="s">
        <v>25</v>
      </c>
      <c r="W23" s="632">
        <f>J23</f>
        <v>100</v>
      </c>
      <c r="X23" s="1305"/>
      <c r="Y23" s="3649"/>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5"/>
      <c r="M24" s="2996"/>
      <c r="N24" s="2996"/>
      <c r="O24" s="3004"/>
      <c r="P24" s="3649"/>
      <c r="Q24" s="1304">
        <f t="shared" ref="Q24:Q34" si="11">B24</f>
        <v>111</v>
      </c>
      <c r="R24" s="631" t="s">
        <v>25</v>
      </c>
      <c r="S24" s="632">
        <f>F24</f>
        <v>100</v>
      </c>
      <c r="T24" s="631" t="s">
        <v>25</v>
      </c>
      <c r="U24" s="632">
        <f>H24</f>
        <v>100</v>
      </c>
      <c r="V24" s="631" t="s">
        <v>25</v>
      </c>
      <c r="W24" s="632">
        <f>J24</f>
        <v>100</v>
      </c>
      <c r="X24" s="1305"/>
      <c r="Y24" s="3649"/>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7"/>
      <c r="M25" s="2998"/>
      <c r="N25" s="2998"/>
      <c r="O25" s="2999"/>
      <c r="P25" s="3649"/>
      <c r="Q25" s="1297">
        <f t="shared" si="11"/>
        <v>111</v>
      </c>
      <c r="R25" s="627" t="s">
        <v>25</v>
      </c>
      <c r="S25" s="628">
        <f>F25</f>
        <v>100</v>
      </c>
      <c r="T25" s="627" t="s">
        <v>25</v>
      </c>
      <c r="U25" s="628">
        <f>H25</f>
        <v>100</v>
      </c>
      <c r="V25" s="627" t="s">
        <v>25</v>
      </c>
      <c r="W25" s="628">
        <f>J25</f>
        <v>100</v>
      </c>
      <c r="X25" s="629"/>
      <c r="Y25" s="3649"/>
      <c r="Z25" s="19">
        <f>Q25</f>
        <v>111</v>
      </c>
      <c r="AA25" s="1307">
        <f>D25/F25</f>
        <v>1</v>
      </c>
      <c r="AB25" s="1307">
        <f>D25/H25</f>
        <v>1</v>
      </c>
      <c r="AC25" s="1307">
        <f>D25/J25</f>
        <v>1</v>
      </c>
    </row>
    <row r="26" spans="1:29" ht="28.5">
      <c r="A26" s="354" t="s">
        <v>2217</v>
      </c>
      <c r="B26" s="24" t="s">
        <v>2355</v>
      </c>
      <c r="C26" s="1547"/>
      <c r="D26" s="355">
        <v>100</v>
      </c>
      <c r="E26" s="1547"/>
      <c r="F26" s="548">
        <f>SUMIF(77:77,E26,78:78)-SUMIF(77:77,C26,78:78)+100</f>
        <v>100</v>
      </c>
      <c r="G26" s="1547"/>
      <c r="H26" s="355">
        <f>SUMIF(77:77,G26,78:78)-SUMIF(77:77,C26,78:78)+100</f>
        <v>100</v>
      </c>
      <c r="I26" s="1547"/>
      <c r="J26" s="355">
        <f>SUMIF(77:77,I26,78:78)-SUMIF(77:77,C26,78:78)+100</f>
        <v>100</v>
      </c>
      <c r="K26" s="498"/>
      <c r="L26" s="3005"/>
      <c r="M26" s="2996"/>
      <c r="N26" s="2996"/>
      <c r="O26" s="3004"/>
      <c r="P26" s="3636" t="s">
        <v>2219</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37" t="s">
        <v>2219</v>
      </c>
      <c r="Z26" s="1306" t="str">
        <f t="shared" ref="Z26:Z34" si="15">Q26</f>
        <v>公共部分装修</v>
      </c>
      <c r="AA26" s="1307">
        <f t="shared" si="3"/>
        <v>1</v>
      </c>
      <c r="AB26" s="1307">
        <f t="shared" si="4"/>
        <v>1</v>
      </c>
      <c r="AC26" s="1307">
        <f t="shared" si="5"/>
        <v>1</v>
      </c>
    </row>
    <row r="27" spans="1:29" s="359" customFormat="1" ht="15">
      <c r="A27" s="356"/>
      <c r="B27" s="313" t="s">
        <v>2356</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3"/>
      <c r="M27" s="358"/>
      <c r="N27" s="358"/>
      <c r="O27" s="3006"/>
      <c r="P27" s="3637"/>
      <c r="Q27" s="633" t="str">
        <f t="shared" si="11"/>
        <v>成新率</v>
      </c>
      <c r="R27" s="634" t="s">
        <v>25</v>
      </c>
      <c r="S27" s="635" t="e">
        <f t="shared" si="12"/>
        <v>#N/A</v>
      </c>
      <c r="T27" s="634" t="s">
        <v>25</v>
      </c>
      <c r="U27" s="635" t="e">
        <f t="shared" si="13"/>
        <v>#N/A</v>
      </c>
      <c r="V27" s="634" t="s">
        <v>25</v>
      </c>
      <c r="W27" s="635" t="e">
        <f t="shared" si="14"/>
        <v>#N/A</v>
      </c>
      <c r="X27" s="636"/>
      <c r="Y27" s="3637"/>
      <c r="Z27" s="637" t="str">
        <f t="shared" si="15"/>
        <v>成新率</v>
      </c>
      <c r="AA27" s="1307" t="e">
        <f t="shared" si="3"/>
        <v>#N/A</v>
      </c>
      <c r="AB27" s="1307" t="e">
        <f t="shared" si="4"/>
        <v>#N/A</v>
      </c>
      <c r="AC27" s="1307" t="e">
        <f t="shared" si="5"/>
        <v>#N/A</v>
      </c>
    </row>
    <row r="28" spans="1:29" ht="15">
      <c r="A28" s="360"/>
      <c r="B28" s="313" t="s">
        <v>2357</v>
      </c>
      <c r="C28" s="350"/>
      <c r="D28" s="325">
        <v>100</v>
      </c>
      <c r="E28" s="350"/>
      <c r="F28" s="351">
        <f>SUMIF(82:82,E28,83:83)-SUMIF(82:82,C28,83:83)+100</f>
        <v>100</v>
      </c>
      <c r="G28" s="350"/>
      <c r="H28" s="325">
        <f>SUMIF(82:82,G28,83:83)-SUMIF(82:82,C28,83:83)+100</f>
        <v>100</v>
      </c>
      <c r="I28" s="350"/>
      <c r="J28" s="325">
        <f>SUMIF(82:82,I28,83:83)-SUMIF(82:82,C28,83:83)+100</f>
        <v>100</v>
      </c>
      <c r="K28" s="498"/>
      <c r="L28" s="3005"/>
      <c r="M28" s="2996"/>
      <c r="N28" s="2996"/>
      <c r="O28" s="3004"/>
      <c r="P28" s="3637"/>
      <c r="Q28" s="1304" t="str">
        <f t="shared" si="11"/>
        <v>物业等级</v>
      </c>
      <c r="R28" s="631" t="s">
        <v>25</v>
      </c>
      <c r="S28" s="632">
        <f t="shared" si="12"/>
        <v>100</v>
      </c>
      <c r="T28" s="631" t="s">
        <v>25</v>
      </c>
      <c r="U28" s="632">
        <f t="shared" si="13"/>
        <v>100</v>
      </c>
      <c r="V28" s="631" t="s">
        <v>25</v>
      </c>
      <c r="W28" s="632">
        <f t="shared" si="14"/>
        <v>100</v>
      </c>
      <c r="X28" s="1305"/>
      <c r="Y28" s="3637"/>
      <c r="Z28" s="1306" t="str">
        <f t="shared" si="15"/>
        <v>物业等级</v>
      </c>
      <c r="AA28" s="1307">
        <f t="shared" si="3"/>
        <v>1</v>
      </c>
      <c r="AB28" s="1307">
        <f t="shared" si="4"/>
        <v>1</v>
      </c>
      <c r="AC28" s="1307">
        <f t="shared" si="5"/>
        <v>1</v>
      </c>
    </row>
    <row r="29" spans="1:29" ht="15">
      <c r="A29" s="360"/>
      <c r="B29" s="313" t="s">
        <v>2378</v>
      </c>
      <c r="C29" s="538"/>
      <c r="D29" s="325">
        <v>100</v>
      </c>
      <c r="E29" s="538"/>
      <c r="F29" s="351">
        <f>SUMIF(84:84,E29,85:85)-SUMIF(84:84,C29,85:85)+100</f>
        <v>100</v>
      </c>
      <c r="G29" s="538"/>
      <c r="H29" s="325">
        <f>SUMIF(84:84,G29,85:85)-SUMIF(84:84,C29,85:85)+100</f>
        <v>100</v>
      </c>
      <c r="I29" s="538"/>
      <c r="J29" s="325">
        <f>SUMIF(84:84,I29,85:85)-SUMIF(84:84,C29,85:85)+100</f>
        <v>100</v>
      </c>
      <c r="K29" s="498"/>
      <c r="L29" s="3005"/>
      <c r="M29" s="2996"/>
      <c r="N29" s="2996"/>
      <c r="O29" s="3004"/>
      <c r="P29" s="3637"/>
      <c r="Q29" s="1304" t="str">
        <f t="shared" si="11"/>
        <v>有无电梯</v>
      </c>
      <c r="R29" s="631" t="s">
        <v>25</v>
      </c>
      <c r="S29" s="632">
        <f t="shared" si="12"/>
        <v>100</v>
      </c>
      <c r="T29" s="631" t="s">
        <v>25</v>
      </c>
      <c r="U29" s="632">
        <f t="shared" si="13"/>
        <v>100</v>
      </c>
      <c r="V29" s="631" t="s">
        <v>25</v>
      </c>
      <c r="W29" s="632">
        <f t="shared" si="14"/>
        <v>100</v>
      </c>
      <c r="X29" s="1305"/>
      <c r="Y29" s="3637"/>
      <c r="Z29" s="1306" t="str">
        <f t="shared" si="15"/>
        <v>有无电梯</v>
      </c>
      <c r="AA29" s="1307">
        <f t="shared" si="3"/>
        <v>1</v>
      </c>
      <c r="AB29" s="1307">
        <f t="shared" si="4"/>
        <v>1</v>
      </c>
      <c r="AC29" s="1307">
        <f t="shared" si="5"/>
        <v>1</v>
      </c>
    </row>
    <row r="30" spans="1:29" ht="15">
      <c r="A30" s="360"/>
      <c r="B30" s="313" t="s">
        <v>2379</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5"/>
      <c r="M30" s="2996"/>
      <c r="N30" s="2996"/>
      <c r="O30" s="3004"/>
      <c r="P30" s="3637"/>
      <c r="Q30" s="1304" t="str">
        <f t="shared" si="11"/>
        <v>建筑面积</v>
      </c>
      <c r="R30" s="631" t="s">
        <v>25</v>
      </c>
      <c r="S30" s="632" t="e">
        <f t="shared" si="12"/>
        <v>#N/A</v>
      </c>
      <c r="T30" s="631" t="s">
        <v>25</v>
      </c>
      <c r="U30" s="632" t="e">
        <f t="shared" si="13"/>
        <v>#N/A</v>
      </c>
      <c r="V30" s="631" t="s">
        <v>25</v>
      </c>
      <c r="W30" s="632" t="e">
        <f t="shared" si="14"/>
        <v>#N/A</v>
      </c>
      <c r="X30" s="1305"/>
      <c r="Y30" s="3637"/>
      <c r="Z30" s="1306" t="str">
        <f t="shared" si="15"/>
        <v>建筑面积</v>
      </c>
      <c r="AA30" s="1307" t="e">
        <f t="shared" si="3"/>
        <v>#N/A</v>
      </c>
      <c r="AB30" s="1307" t="e">
        <f t="shared" si="4"/>
        <v>#N/A</v>
      </c>
      <c r="AC30" s="1307" t="e">
        <f t="shared" si="5"/>
        <v>#N/A</v>
      </c>
    </row>
    <row r="31" spans="1:29" s="25" customFormat="1" ht="15">
      <c r="A31" s="361"/>
      <c r="B31" s="313" t="s">
        <v>2380</v>
      </c>
      <c r="C31" s="538"/>
      <c r="D31" s="29">
        <v>100</v>
      </c>
      <c r="E31" s="538"/>
      <c r="F31" s="351">
        <f>SUMIF(89:89,E31,90:90)-SUMIF(89:89,C31,90:90)+100</f>
        <v>100</v>
      </c>
      <c r="G31" s="538"/>
      <c r="H31" s="325">
        <f>SUMIF(89:89,G31,90:90)-SUMIF(89:89,C31,90:90)+100</f>
        <v>100</v>
      </c>
      <c r="I31" s="538"/>
      <c r="J31" s="325">
        <f>SUMIF(89:89,I31,90:90)-SUMIF(89:89,C31,90:90)+100</f>
        <v>100</v>
      </c>
      <c r="K31" s="498"/>
      <c r="L31" s="2997"/>
      <c r="M31" s="2998"/>
      <c r="N31" s="2998"/>
      <c r="O31" s="2999"/>
      <c r="P31" s="3637"/>
      <c r="Q31" s="1297" t="str">
        <f t="shared" si="11"/>
        <v>是否封闭</v>
      </c>
      <c r="R31" s="627" t="s">
        <v>25</v>
      </c>
      <c r="S31" s="628">
        <f t="shared" si="12"/>
        <v>100</v>
      </c>
      <c r="T31" s="627" t="s">
        <v>25</v>
      </c>
      <c r="U31" s="628">
        <f t="shared" si="13"/>
        <v>100</v>
      </c>
      <c r="V31" s="627" t="s">
        <v>25</v>
      </c>
      <c r="W31" s="628">
        <f t="shared" si="14"/>
        <v>100</v>
      </c>
      <c r="X31" s="629"/>
      <c r="Y31" s="3637"/>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5"/>
      <c r="M32" s="2996"/>
      <c r="N32" s="2996"/>
      <c r="O32" s="3004"/>
      <c r="P32" s="3637" t="s">
        <v>2219</v>
      </c>
      <c r="Q32" s="1304">
        <f t="shared" si="11"/>
        <v>111</v>
      </c>
      <c r="R32" s="631" t="s">
        <v>25</v>
      </c>
      <c r="S32" s="632">
        <f t="shared" si="12"/>
        <v>100</v>
      </c>
      <c r="T32" s="631" t="s">
        <v>25</v>
      </c>
      <c r="U32" s="632">
        <f t="shared" si="13"/>
        <v>100</v>
      </c>
      <c r="V32" s="631" t="s">
        <v>25</v>
      </c>
      <c r="W32" s="632">
        <f t="shared" si="14"/>
        <v>100</v>
      </c>
      <c r="X32" s="1305"/>
      <c r="Y32" s="3637" t="s">
        <v>2219</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5"/>
      <c r="M33" s="2996"/>
      <c r="N33" s="2996"/>
      <c r="O33" s="3004"/>
      <c r="P33" s="3637"/>
      <c r="Q33" s="1304">
        <f t="shared" si="11"/>
        <v>111</v>
      </c>
      <c r="R33" s="631" t="s">
        <v>25</v>
      </c>
      <c r="S33" s="632">
        <f t="shared" si="12"/>
        <v>100</v>
      </c>
      <c r="T33" s="631" t="s">
        <v>25</v>
      </c>
      <c r="U33" s="632">
        <f t="shared" si="13"/>
        <v>100</v>
      </c>
      <c r="V33" s="631" t="s">
        <v>25</v>
      </c>
      <c r="W33" s="632">
        <f t="shared" si="14"/>
        <v>100</v>
      </c>
      <c r="X33" s="1305"/>
      <c r="Y33" s="3637"/>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5"/>
      <c r="M34" s="2996"/>
      <c r="N34" s="2996"/>
      <c r="O34" s="3004"/>
      <c r="P34" s="3637"/>
      <c r="Q34" s="1304">
        <f t="shared" si="11"/>
        <v>111</v>
      </c>
      <c r="R34" s="631" t="s">
        <v>25</v>
      </c>
      <c r="S34" s="632">
        <f t="shared" si="12"/>
        <v>100</v>
      </c>
      <c r="T34" s="631" t="s">
        <v>25</v>
      </c>
      <c r="U34" s="632">
        <f t="shared" si="13"/>
        <v>100</v>
      </c>
      <c r="V34" s="631" t="s">
        <v>25</v>
      </c>
      <c r="W34" s="632">
        <f t="shared" si="14"/>
        <v>100</v>
      </c>
      <c r="X34" s="1305"/>
      <c r="Y34" s="3637"/>
      <c r="Z34" s="1306">
        <f t="shared" si="15"/>
        <v>111</v>
      </c>
      <c r="AA34" s="1307">
        <f t="shared" si="3"/>
        <v>1</v>
      </c>
      <c r="AB34" s="1307">
        <f t="shared" si="4"/>
        <v>1</v>
      </c>
      <c r="AC34" s="1307">
        <f t="shared" si="5"/>
        <v>1</v>
      </c>
    </row>
    <row r="35" spans="1:29" ht="15">
      <c r="A35" s="367" t="s">
        <v>2231</v>
      </c>
      <c r="B35" s="368"/>
      <c r="C35" s="1124" t="s">
        <v>1</v>
      </c>
      <c r="D35" s="1125"/>
      <c r="E35" s="1126"/>
      <c r="F35" s="1127"/>
      <c r="G35" s="1128"/>
      <c r="H35" s="1129"/>
      <c r="I35" s="1126"/>
      <c r="J35" s="1129"/>
      <c r="K35" s="640"/>
      <c r="L35" s="3007"/>
      <c r="N35" s="2996"/>
      <c r="P35" s="3631" t="str">
        <f>A35</f>
        <v>成交单价（元/平方米）</v>
      </c>
      <c r="Q35" s="3631"/>
      <c r="R35" s="3632">
        <f>E35</f>
        <v>0</v>
      </c>
      <c r="S35" s="3632"/>
      <c r="T35" s="3632">
        <f>G35</f>
        <v>0</v>
      </c>
      <c r="U35" s="3632"/>
      <c r="V35" s="3632">
        <f>I35</f>
        <v>0</v>
      </c>
      <c r="W35" s="3632"/>
      <c r="X35" s="618"/>
      <c r="Y35" s="638"/>
      <c r="Z35" s="618"/>
      <c r="AA35" s="618"/>
      <c r="AB35" s="618"/>
      <c r="AC35" s="618"/>
    </row>
    <row r="36" spans="1:29" ht="15.75" thickBot="1">
      <c r="A36" s="374" t="s">
        <v>2314</v>
      </c>
      <c r="B36" s="375"/>
      <c r="C36" s="1130" t="e">
        <f>R37</f>
        <v>#DIV/0!</v>
      </c>
      <c r="D36" s="1767" t="s">
        <v>2687</v>
      </c>
      <c r="E36" s="1131" t="e">
        <f>R36</f>
        <v>#DIV/0!</v>
      </c>
      <c r="F36" s="1769"/>
      <c r="G36" s="1130" t="e">
        <f>T36</f>
        <v>#DIV/0!</v>
      </c>
      <c r="H36" s="1769"/>
      <c r="I36" s="1131" t="e">
        <f>V36</f>
        <v>#DIV/0!</v>
      </c>
      <c r="J36" s="1769"/>
      <c r="K36" s="2481">
        <f>F36+H36+J36</f>
        <v>0</v>
      </c>
      <c r="L36" s="3007"/>
      <c r="N36" s="2996"/>
      <c r="P36" s="3631" t="str">
        <f>A36</f>
        <v>比较价值（元/平方米）</v>
      </c>
      <c r="Q36" s="3631"/>
      <c r="R36" s="3632" t="e">
        <f>IF(E1="售价",ROUND(PRODUCT(R35,AA7:AA34),0),ROUND(PRODUCT(R35,AA7:AA34),1))</f>
        <v>#DIV/0!</v>
      </c>
      <c r="S36" s="3632"/>
      <c r="T36" s="3632" t="e">
        <f>IF(E1="售价",ROUND(PRODUCT(T35,AB7:AB34),0),ROUND(PRODUCT(T35,AB7:AB34),1))</f>
        <v>#DIV/0!</v>
      </c>
      <c r="U36" s="3632"/>
      <c r="V36" s="3632" t="e">
        <f>IF(E1="售价",ROUND(PRODUCT(V35,AC7:AC34),0),ROUND(PRODUCT(V35,AC7:AC34),1))</f>
        <v>#DIV/0!</v>
      </c>
      <c r="W36" s="3632"/>
      <c r="X36" s="618"/>
      <c r="Y36" s="618"/>
      <c r="Z36" s="618"/>
      <c r="AA36" s="618"/>
      <c r="AB36" s="618"/>
      <c r="AC36" s="618"/>
    </row>
    <row r="37" spans="1:29" ht="15.75" thickBot="1">
      <c r="A37" s="378" t="s">
        <v>2337</v>
      </c>
      <c r="B37" s="379"/>
      <c r="C37" s="1132" t="e">
        <f>R37</f>
        <v>#DIV/0!</v>
      </c>
      <c r="D37" s="1132"/>
      <c r="E37" s="1132"/>
      <c r="F37" s="1132"/>
      <c r="G37" s="1132"/>
      <c r="H37" s="1132"/>
      <c r="I37" s="1132"/>
      <c r="J37" s="1132"/>
      <c r="K37" s="641"/>
      <c r="L37" s="3007"/>
      <c r="P37" s="3633" t="str">
        <f>A37</f>
        <v>估价对象XX用房的比较价值（楼面单价，元/平方米）</v>
      </c>
      <c r="Q37" s="3634"/>
      <c r="R37" s="3635" t="e">
        <f>IF(E1="售价",ROUND(IF(D36="简单平均",AVERAGE(R36:W36),R36*F36+T36*H36+V36*J36),0),ROUND(IF(D36="简单平均",AVERAGE(R36:V36),R36*F36+T36*H36+V36*J36),1))</f>
        <v>#DIV/0!</v>
      </c>
      <c r="S37" s="3635"/>
      <c r="T37" s="3635"/>
      <c r="U37" s="3635"/>
      <c r="V37" s="3635"/>
      <c r="W37" s="3635"/>
      <c r="X37" s="618"/>
      <c r="Y37" s="618"/>
      <c r="Z37" s="618"/>
      <c r="AA37" s="618"/>
      <c r="AB37" s="618"/>
      <c r="AC37" s="618"/>
    </row>
    <row r="38" spans="1:29">
      <c r="G38" s="3010"/>
    </row>
    <row r="40" spans="1:29" ht="13.5" customHeight="1">
      <c r="C40" s="383" t="s">
        <v>2316</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2317</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2318</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11"/>
      <c r="L42" s="3008"/>
    </row>
    <row r="43" spans="1:29" s="388" customFormat="1">
      <c r="B43" s="3009"/>
      <c r="C43" s="3012"/>
      <c r="K43" s="3011"/>
      <c r="L43" s="3008"/>
    </row>
    <row r="44" spans="1:29">
      <c r="B44" s="3009"/>
      <c r="C44" s="3012"/>
    </row>
    <row r="45" spans="1:29" ht="21.75" thickBot="1">
      <c r="A45" s="620" t="s">
        <v>2319</v>
      </c>
      <c r="B45" s="618"/>
      <c r="C45" s="621"/>
      <c r="D45" s="621"/>
      <c r="E45" s="621"/>
      <c r="F45" s="622"/>
      <c r="G45" s="622"/>
      <c r="H45" s="621"/>
      <c r="I45" s="621"/>
      <c r="J45" s="621"/>
      <c r="K45" s="623"/>
      <c r="L45" s="624"/>
      <c r="M45" s="621"/>
      <c r="N45" s="3013"/>
      <c r="O45" s="3013"/>
      <c r="P45" s="389"/>
      <c r="Q45" s="390"/>
    </row>
    <row r="46" spans="1:29" s="394" customFormat="1" ht="15">
      <c r="A46" s="391" t="s">
        <v>2201</v>
      </c>
      <c r="B46" s="392"/>
      <c r="C46" s="1158" t="str">
        <f>YEAR(C7)&amp;"-"&amp;MONTH(C7)</f>
        <v>2022-3</v>
      </c>
      <c r="D46" s="1159">
        <f>EDATE(C46,-1)</f>
        <v>44593</v>
      </c>
      <c r="E46" s="1159">
        <f t="shared" ref="E46:O46" si="16">EDATE(D46,-1)</f>
        <v>44562</v>
      </c>
      <c r="F46" s="1159">
        <f t="shared" si="16"/>
        <v>44531</v>
      </c>
      <c r="G46" s="1159">
        <f t="shared" si="16"/>
        <v>44501</v>
      </c>
      <c r="H46" s="1159">
        <f t="shared" si="16"/>
        <v>44470</v>
      </c>
      <c r="I46" s="1159">
        <f t="shared" si="16"/>
        <v>44440</v>
      </c>
      <c r="J46" s="1159">
        <f t="shared" si="16"/>
        <v>44409</v>
      </c>
      <c r="K46" s="1159">
        <f t="shared" si="16"/>
        <v>44378</v>
      </c>
      <c r="L46" s="1159">
        <f t="shared" si="16"/>
        <v>44348</v>
      </c>
      <c r="M46" s="1159">
        <f t="shared" si="16"/>
        <v>44317</v>
      </c>
      <c r="N46" s="1159">
        <f t="shared" si="16"/>
        <v>44287</v>
      </c>
      <c r="O46" s="1159">
        <f t="shared" si="16"/>
        <v>44256</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2239</v>
      </c>
      <c r="B48" s="401"/>
      <c r="C48" s="402"/>
      <c r="D48" s="403"/>
      <c r="E48" s="403"/>
      <c r="F48" s="403"/>
      <c r="G48" s="403"/>
      <c r="H48" s="403"/>
      <c r="I48" s="403"/>
      <c r="J48" s="403"/>
      <c r="K48" s="403"/>
      <c r="L48" s="403"/>
      <c r="M48" s="404"/>
      <c r="N48" s="403"/>
      <c r="O48" s="405"/>
      <c r="P48" s="390"/>
      <c r="Q48" s="390"/>
    </row>
    <row r="49" spans="1:17" s="25" customFormat="1" ht="15">
      <c r="A49" s="406" t="s">
        <v>2203</v>
      </c>
      <c r="B49" s="396"/>
      <c r="C49" s="407" t="s">
        <v>2204</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2242</v>
      </c>
      <c r="B51" s="413" t="s">
        <v>2207</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2210</v>
      </c>
      <c r="C53" s="426" t="s">
        <v>2243</v>
      </c>
      <c r="D53" s="426" t="s">
        <v>2244</v>
      </c>
      <c r="E53" s="426" t="s">
        <v>2245</v>
      </c>
      <c r="F53" s="426" t="s">
        <v>2246</v>
      </c>
      <c r="G53" s="426" t="s">
        <v>2247</v>
      </c>
      <c r="H53" s="426" t="s">
        <v>2248</v>
      </c>
      <c r="I53" s="426" t="s">
        <v>2249</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2212</v>
      </c>
      <c r="B61" s="413" t="s">
        <v>2256</v>
      </c>
      <c r="C61" s="461" t="s">
        <v>2251</v>
      </c>
      <c r="D61" s="461" t="s">
        <v>2252</v>
      </c>
      <c r="E61" s="461" t="s">
        <v>2253</v>
      </c>
      <c r="F61" s="461" t="s">
        <v>2254</v>
      </c>
      <c r="G61" s="461" t="s">
        <v>2255</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2257</v>
      </c>
      <c r="C63" s="466" t="s">
        <v>2251</v>
      </c>
      <c r="D63" s="466" t="s">
        <v>2252</v>
      </c>
      <c r="E63" s="466" t="s">
        <v>2253</v>
      </c>
      <c r="F63" s="466" t="s">
        <v>2254</v>
      </c>
      <c r="G63" s="466" t="s">
        <v>2255</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2329</v>
      </c>
      <c r="C65" s="426" t="s">
        <v>2258</v>
      </c>
      <c r="D65" s="426" t="s">
        <v>2259</v>
      </c>
      <c r="E65" s="426" t="s">
        <v>2260</v>
      </c>
      <c r="F65" s="426" t="s">
        <v>2261</v>
      </c>
      <c r="G65" s="426" t="s">
        <v>2262</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2263</v>
      </c>
      <c r="C67" s="466" t="s">
        <v>2251</v>
      </c>
      <c r="D67" s="466" t="s">
        <v>2252</v>
      </c>
      <c r="E67" s="466" t="s">
        <v>2253</v>
      </c>
      <c r="F67" s="466" t="s">
        <v>2254</v>
      </c>
      <c r="G67" s="466" t="s">
        <v>2255</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2370</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2217</v>
      </c>
      <c r="B77" s="413" t="s">
        <v>2270</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2373</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2374</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2381</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2382</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2383</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2"/>
  <sheetViews>
    <sheetView view="pageBreakPreview" zoomScale="70" zoomScaleNormal="60" zoomScaleSheetLayoutView="70" workbookViewId="0">
      <selection activeCell="M31" sqref="M31"/>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30" customFormat="1" ht="28.5" customHeight="1">
      <c r="A1" s="1921" t="s">
        <v>2384</v>
      </c>
      <c r="B1" s="1922"/>
      <c r="C1" s="1923" t="s">
        <v>2385</v>
      </c>
      <c r="D1" s="1922"/>
      <c r="E1" s="1922"/>
      <c r="F1" s="1924" t="s">
        <v>2186</v>
      </c>
      <c r="G1" s="1922"/>
      <c r="H1" s="1922"/>
      <c r="I1" s="1922"/>
      <c r="J1" s="1922"/>
      <c r="K1" s="1925"/>
      <c r="L1" s="1926"/>
      <c r="M1" s="1922"/>
      <c r="N1" s="1922"/>
      <c r="O1" s="1922"/>
      <c r="P1" s="1927"/>
      <c r="Q1" s="1927"/>
      <c r="R1" s="1927"/>
      <c r="S1" s="1927"/>
      <c r="T1" s="1927"/>
      <c r="U1" s="1927"/>
      <c r="V1" s="1927"/>
      <c r="W1" s="1927"/>
      <c r="X1" s="1927"/>
      <c r="Y1" s="1927"/>
      <c r="Z1" s="1927"/>
      <c r="AA1" s="1927"/>
      <c r="AB1" s="1927"/>
      <c r="AC1" s="1928"/>
      <c r="AD1" s="1929"/>
    </row>
    <row r="2" spans="1:30" s="1930" customFormat="1" ht="28.5" customHeight="1">
      <c r="A2" s="1931" t="s">
        <v>1856</v>
      </c>
      <c r="B2" s="1932" t="e">
        <f>F66</f>
        <v>#DIV/0!</v>
      </c>
      <c r="C2" s="1627" t="s">
        <v>2386</v>
      </c>
      <c r="D2" s="2982"/>
      <c r="E2" s="2982"/>
      <c r="F2" s="2981"/>
      <c r="G2" s="2982"/>
      <c r="H2" s="2982"/>
      <c r="I2" s="2982"/>
      <c r="J2" s="2982"/>
      <c r="K2" s="2983"/>
      <c r="L2" s="2984"/>
      <c r="M2" s="2982"/>
      <c r="N2" s="2982"/>
      <c r="O2" s="2982"/>
      <c r="P2" s="1927"/>
      <c r="Q2" s="1927"/>
      <c r="R2" s="1927"/>
      <c r="S2" s="1927"/>
      <c r="T2" s="1927"/>
      <c r="U2" s="1927"/>
      <c r="V2" s="1927"/>
      <c r="W2" s="1927"/>
      <c r="X2" s="1927"/>
      <c r="Y2" s="1927"/>
      <c r="Z2" s="1927"/>
      <c r="AA2" s="1927"/>
      <c r="AB2" s="1927"/>
      <c r="AC2" s="1928"/>
      <c r="AD2" s="1929"/>
    </row>
    <row r="3" spans="1:30" s="1930" customFormat="1" ht="28.5" customHeight="1" thickBot="1">
      <c r="A3" s="1629" t="s">
        <v>1857</v>
      </c>
      <c r="B3" s="1933" t="e">
        <f>ROUND(B2/'数据-取费表'!B5,0)</f>
        <v>#DIV/0!</v>
      </c>
      <c r="C3" s="1627" t="s">
        <v>2387</v>
      </c>
      <c r="D3" s="2982"/>
      <c r="E3" s="2982"/>
      <c r="F3" s="2981"/>
      <c r="G3" s="2982"/>
      <c r="H3" s="2982"/>
      <c r="I3" s="2982"/>
      <c r="J3" s="2982"/>
      <c r="K3" s="2983"/>
      <c r="L3" s="2984"/>
      <c r="M3" s="2982"/>
      <c r="N3" s="2982"/>
      <c r="O3" s="2982"/>
      <c r="P3" s="1927"/>
      <c r="Q3" s="1927"/>
      <c r="R3" s="1927"/>
      <c r="S3" s="1927"/>
      <c r="T3" s="1927"/>
      <c r="U3" s="1927"/>
      <c r="V3" s="1927"/>
      <c r="W3" s="1927"/>
      <c r="X3" s="1927"/>
      <c r="Y3" s="1927"/>
      <c r="Z3" s="1927"/>
      <c r="AA3" s="1927"/>
      <c r="AB3" s="1934"/>
      <c r="AC3" s="1935"/>
    </row>
    <row r="4" spans="1:30" ht="15">
      <c r="A4" s="1633" t="s">
        <v>2188</v>
      </c>
      <c r="B4" s="1634"/>
      <c r="C4" s="3572" t="s">
        <v>2189</v>
      </c>
      <c r="D4" s="3573"/>
      <c r="E4" s="3574" t="s">
        <v>2190</v>
      </c>
      <c r="F4" s="3575"/>
      <c r="G4" s="3572" t="s">
        <v>2191</v>
      </c>
      <c r="H4" s="3573"/>
      <c r="I4" s="3572" t="s">
        <v>2192</v>
      </c>
      <c r="J4" s="3573"/>
      <c r="K4" s="1936" t="s">
        <v>2193</v>
      </c>
      <c r="L4" s="2967"/>
      <c r="M4" s="2968"/>
      <c r="N4" s="2968"/>
      <c r="O4" s="2968"/>
      <c r="P4" s="3576" t="s">
        <v>2194</v>
      </c>
      <c r="Q4" s="3577"/>
      <c r="R4" s="3560" t="s">
        <v>2190</v>
      </c>
      <c r="S4" s="3561"/>
      <c r="T4" s="3560" t="s">
        <v>2191</v>
      </c>
      <c r="U4" s="3561"/>
      <c r="V4" s="3582" t="s">
        <v>2192</v>
      </c>
      <c r="W4" s="3582"/>
      <c r="X4" s="1636"/>
      <c r="Y4" s="3560" t="s">
        <v>2194</v>
      </c>
      <c r="Z4" s="3561"/>
      <c r="AA4" s="3569" t="s">
        <v>2190</v>
      </c>
      <c r="AB4" s="3570" t="s">
        <v>2191</v>
      </c>
      <c r="AC4" s="3569" t="s">
        <v>2192</v>
      </c>
    </row>
    <row r="5" spans="1:30" ht="15">
      <c r="A5" s="1638"/>
      <c r="B5" s="1639"/>
      <c r="C5" s="3585" t="s">
        <v>2195</v>
      </c>
      <c r="D5" s="3586"/>
      <c r="E5" s="3630" t="s">
        <v>2196</v>
      </c>
      <c r="F5" s="3584"/>
      <c r="G5" s="3585" t="s">
        <v>2197</v>
      </c>
      <c r="H5" s="3586"/>
      <c r="I5" s="3585" t="s">
        <v>2198</v>
      </c>
      <c r="J5" s="3586"/>
      <c r="K5" s="1936"/>
      <c r="L5" s="2967"/>
      <c r="M5" s="2968"/>
      <c r="N5" s="2968"/>
      <c r="O5" s="2968"/>
      <c r="P5" s="3578"/>
      <c r="Q5" s="3579"/>
      <c r="R5" s="3562"/>
      <c r="S5" s="3563"/>
      <c r="T5" s="3562"/>
      <c r="U5" s="3563"/>
      <c r="V5" s="3582"/>
      <c r="W5" s="3582"/>
      <c r="X5" s="1636"/>
      <c r="Y5" s="3562"/>
      <c r="Z5" s="3563"/>
      <c r="AA5" s="3570"/>
      <c r="AB5" s="3570"/>
      <c r="AC5" s="3570"/>
    </row>
    <row r="6" spans="1:30" ht="15.75" thickBot="1">
      <c r="A6" s="1641"/>
      <c r="B6" s="1642"/>
      <c r="C6" s="3587" t="s">
        <v>2199</v>
      </c>
      <c r="D6" s="3588"/>
      <c r="E6" s="3590" t="s">
        <v>2199</v>
      </c>
      <c r="F6" s="3591"/>
      <c r="G6" s="3587" t="s">
        <v>2199</v>
      </c>
      <c r="H6" s="3588"/>
      <c r="I6" s="3587" t="s">
        <v>2199</v>
      </c>
      <c r="J6" s="3588"/>
      <c r="K6" s="1936" t="s">
        <v>2200</v>
      </c>
      <c r="L6" s="2967"/>
      <c r="M6" s="2968"/>
      <c r="N6" s="2968"/>
      <c r="O6" s="2968"/>
      <c r="P6" s="3580"/>
      <c r="Q6" s="3581"/>
      <c r="R6" s="3562"/>
      <c r="S6" s="3563"/>
      <c r="T6" s="3564"/>
      <c r="U6" s="3565"/>
      <c r="V6" s="3582"/>
      <c r="W6" s="3582"/>
      <c r="X6" s="1636"/>
      <c r="Y6" s="3564"/>
      <c r="Z6" s="3565"/>
      <c r="AA6" s="3571"/>
      <c r="AB6" s="3571"/>
      <c r="AC6" s="3571"/>
    </row>
    <row r="7" spans="1:30" s="1655" customFormat="1" ht="15.75" thickBot="1">
      <c r="A7" s="1643" t="s">
        <v>2201</v>
      </c>
      <c r="B7" s="1644"/>
      <c r="C7" s="1645">
        <f>'数据-取费表'!B2</f>
        <v>44645</v>
      </c>
      <c r="D7" s="1646">
        <v>100</v>
      </c>
      <c r="E7" s="1647"/>
      <c r="F7" s="1648">
        <f>SUMIF(70:70,YEAR(E7)&amp;"-"&amp;INT((MONTH(E7)+2)/3),71:71)</f>
        <v>0</v>
      </c>
      <c r="G7" s="1937"/>
      <c r="H7" s="1646">
        <f>SUMIF(70:70,YEAR(G7)&amp;"-"&amp;INT((MONTH(G7)+2)/3),71:71)</f>
        <v>0</v>
      </c>
      <c r="I7" s="1937"/>
      <c r="J7" s="1646">
        <f>SUMIF(70:70,YEAR(I7)&amp;"-"&amp;INT((MONTH(I7)+2)/3),71:71)</f>
        <v>0</v>
      </c>
      <c r="K7" s="1938"/>
      <c r="L7" s="2967"/>
      <c r="M7" s="2940"/>
      <c r="N7" s="2940"/>
      <c r="O7" s="2940"/>
      <c r="P7" s="3558" t="s">
        <v>2202</v>
      </c>
      <c r="Q7" s="3566"/>
      <c r="R7" s="1651" t="s">
        <v>25</v>
      </c>
      <c r="S7" s="1652">
        <f t="shared" ref="S7:S15" si="0">F7</f>
        <v>0</v>
      </c>
      <c r="T7" s="1651" t="s">
        <v>25</v>
      </c>
      <c r="U7" s="1652">
        <f t="shared" ref="U7:U15" si="1">H7</f>
        <v>0</v>
      </c>
      <c r="V7" s="1651" t="s">
        <v>25</v>
      </c>
      <c r="W7" s="1652">
        <f t="shared" ref="W7:W15" si="2">J7</f>
        <v>0</v>
      </c>
      <c r="X7" s="1653"/>
      <c r="Y7" s="3558" t="s">
        <v>2202</v>
      </c>
      <c r="Z7" s="3559"/>
      <c r="AA7" s="1654" t="e">
        <f>D7/F7</f>
        <v>#DIV/0!</v>
      </c>
      <c r="AB7" s="1654" t="e">
        <f>D7/H7</f>
        <v>#DIV/0!</v>
      </c>
      <c r="AC7" s="1654" t="e">
        <f>D7/J7</f>
        <v>#DIV/0!</v>
      </c>
    </row>
    <row r="8" spans="1:30" s="1655" customFormat="1" ht="15.75" thickBot="1">
      <c r="A8" s="1643" t="s">
        <v>2203</v>
      </c>
      <c r="B8" s="1644"/>
      <c r="C8" s="1656" t="s">
        <v>2388</v>
      </c>
      <c r="D8" s="1646">
        <v>100</v>
      </c>
      <c r="E8" s="1656"/>
      <c r="F8" s="1648">
        <f>SUMIF(73:73,E8,74:74)-SUMIF(73:73,C8,74:74)+100</f>
        <v>0</v>
      </c>
      <c r="G8" s="1656"/>
      <c r="H8" s="1646">
        <f>SUMIF(73:73,G8,74:74)-SUMIF(73:73,C8,74:74)+100</f>
        <v>0</v>
      </c>
      <c r="I8" s="1656"/>
      <c r="J8" s="1646">
        <f>SUMIF(73:73,I8,74:74)-SUMIF(73:73,C8,74:74)+100</f>
        <v>0</v>
      </c>
      <c r="K8" s="1938"/>
      <c r="L8" s="2967"/>
      <c r="M8" s="2940"/>
      <c r="N8" s="2940"/>
      <c r="O8" s="2940"/>
      <c r="P8" s="3558" t="s">
        <v>2205</v>
      </c>
      <c r="Q8" s="3559"/>
      <c r="R8" s="1651" t="s">
        <v>25</v>
      </c>
      <c r="S8" s="1652">
        <f t="shared" si="0"/>
        <v>0</v>
      </c>
      <c r="T8" s="1651" t="s">
        <v>25</v>
      </c>
      <c r="U8" s="1652">
        <f t="shared" si="1"/>
        <v>0</v>
      </c>
      <c r="V8" s="1651" t="s">
        <v>25</v>
      </c>
      <c r="W8" s="1652">
        <f t="shared" si="2"/>
        <v>0</v>
      </c>
      <c r="X8" s="1653"/>
      <c r="Y8" s="3558" t="s">
        <v>2205</v>
      </c>
      <c r="Z8" s="3559"/>
      <c r="AA8" s="1654" t="e">
        <f t="shared" ref="AA8:AA45" si="3">D8/F8</f>
        <v>#DIV/0!</v>
      </c>
      <c r="AB8" s="1654" t="e">
        <f t="shared" ref="AB8:AB45" si="4">D8/H8</f>
        <v>#DIV/0!</v>
      </c>
      <c r="AC8" s="1654" t="e">
        <f t="shared" ref="AC8:AC45" si="5">D8/J8</f>
        <v>#DIV/0!</v>
      </c>
    </row>
    <row r="9" spans="1:30" s="1655" customFormat="1">
      <c r="A9" s="1606" t="s">
        <v>2206</v>
      </c>
      <c r="B9" s="1658" t="s">
        <v>2207</v>
      </c>
      <c r="C9" s="1939"/>
      <c r="D9" s="1660">
        <v>100</v>
      </c>
      <c r="E9" s="1939"/>
      <c r="F9" s="1660">
        <f>SUMIF(75:75,E9,76:76)-SUMIF(75:75,C9,76:76)+100</f>
        <v>100</v>
      </c>
      <c r="G9" s="1939"/>
      <c r="H9" s="1660">
        <f>SUMIF(75:75,G9,76:76)-SUMIF(75:75,C9,76:76)+100</f>
        <v>100</v>
      </c>
      <c r="I9" s="1939"/>
      <c r="J9" s="1660">
        <f>SUMIF(75:75,I9,76:76)-SUMIF(75:75,C9,76:76)+100</f>
        <v>100</v>
      </c>
      <c r="K9" s="1938"/>
      <c r="L9" s="2967"/>
      <c r="M9" s="2940"/>
      <c r="N9" s="2940"/>
      <c r="O9" s="3014"/>
      <c r="P9" s="3550" t="s">
        <v>2208</v>
      </c>
      <c r="Q9" s="1605" t="str">
        <f t="shared" ref="Q9:Q15" si="6">B9</f>
        <v>用途</v>
      </c>
      <c r="R9" s="1651" t="s">
        <v>25</v>
      </c>
      <c r="S9" s="1652">
        <f t="shared" si="0"/>
        <v>100</v>
      </c>
      <c r="T9" s="1651" t="s">
        <v>25</v>
      </c>
      <c r="U9" s="1652">
        <f t="shared" si="1"/>
        <v>100</v>
      </c>
      <c r="V9" s="1651" t="s">
        <v>25</v>
      </c>
      <c r="W9" s="1652">
        <f t="shared" si="2"/>
        <v>100</v>
      </c>
      <c r="X9" s="1653"/>
      <c r="Y9" s="3446" t="s">
        <v>2209</v>
      </c>
      <c r="Z9" s="1664" t="str">
        <f t="shared" ref="Z9:Z15" si="7">Q9</f>
        <v>用途</v>
      </c>
      <c r="AA9" s="1654">
        <f t="shared" si="3"/>
        <v>1</v>
      </c>
      <c r="AB9" s="1654">
        <f t="shared" si="4"/>
        <v>1</v>
      </c>
      <c r="AC9" s="1654">
        <f t="shared" si="5"/>
        <v>1</v>
      </c>
    </row>
    <row r="10" spans="1:30" s="1672" customFormat="1" ht="27">
      <c r="A10" s="1665"/>
      <c r="B10" s="1666" t="s">
        <v>2210</v>
      </c>
      <c r="C10" s="1678"/>
      <c r="D10" s="1668">
        <v>100</v>
      </c>
      <c r="E10" s="1730"/>
      <c r="F10" s="1668">
        <f>ROUND(100/'数据-取费表'!B14,0)</f>
        <v>115</v>
      </c>
      <c r="G10" s="1728"/>
      <c r="H10" s="1668">
        <f>ROUND(100/'数据-取费表'!B14,0)</f>
        <v>115</v>
      </c>
      <c r="I10" s="1728"/>
      <c r="J10" s="1668">
        <f>ROUND(100/'数据-取费表'!B14,0)</f>
        <v>115</v>
      </c>
      <c r="K10" s="1940"/>
      <c r="L10" s="2969"/>
      <c r="M10" s="2970"/>
      <c r="N10" s="2970"/>
      <c r="O10" s="3015"/>
      <c r="P10" s="3550"/>
      <c r="Q10" s="1605" t="str">
        <f t="shared" si="6"/>
        <v>土地使用年限（年）</v>
      </c>
      <c r="R10" s="1651" t="s">
        <v>25</v>
      </c>
      <c r="S10" s="1652">
        <f t="shared" si="0"/>
        <v>115</v>
      </c>
      <c r="T10" s="1651" t="s">
        <v>25</v>
      </c>
      <c r="U10" s="1652">
        <f t="shared" si="1"/>
        <v>115</v>
      </c>
      <c r="V10" s="1651" t="s">
        <v>25</v>
      </c>
      <c r="W10" s="1652">
        <f t="shared" si="2"/>
        <v>115</v>
      </c>
      <c r="X10" s="1653"/>
      <c r="Y10" s="3446"/>
      <c r="Z10" s="1664" t="str">
        <f t="shared" si="7"/>
        <v>土地使用年限（年）</v>
      </c>
      <c r="AA10" s="1654">
        <f t="shared" si="3"/>
        <v>0.86956521739130432</v>
      </c>
      <c r="AB10" s="1654">
        <f t="shared" si="4"/>
        <v>0.86956521739130432</v>
      </c>
      <c r="AC10" s="1654">
        <f t="shared" si="5"/>
        <v>0.86956521739130432</v>
      </c>
    </row>
    <row r="11" spans="1:30" ht="15">
      <c r="A11" s="1673"/>
      <c r="B11" s="1666" t="s">
        <v>2211</v>
      </c>
      <c r="C11" s="1674"/>
      <c r="D11" s="1668">
        <v>100</v>
      </c>
      <c r="E11" s="1674"/>
      <c r="F11" s="1668" t="e">
        <f>LOOKUP(E11,80:80,81:81)-LOOKUP(C11,80:80,81:81)+100</f>
        <v>#N/A</v>
      </c>
      <c r="G11" s="1675"/>
      <c r="H11" s="1668" t="e">
        <f>LOOKUP(G11,80:80,81:81)-LOOKUP(C11,80:80,81:81)+100</f>
        <v>#N/A</v>
      </c>
      <c r="I11" s="1674"/>
      <c r="J11" s="1668" t="e">
        <f>LOOKUP(I11,80:80,81:81)-LOOKUP(C11,80:80,81:81)+100</f>
        <v>#N/A</v>
      </c>
      <c r="K11" s="1941"/>
      <c r="L11" s="2971"/>
      <c r="M11" s="2968"/>
      <c r="N11" s="2968"/>
      <c r="O11" s="3016"/>
      <c r="P11" s="3550"/>
      <c r="Q11" s="1605" t="str">
        <f t="shared" si="6"/>
        <v>容积率</v>
      </c>
      <c r="R11" s="1651" t="s">
        <v>25</v>
      </c>
      <c r="S11" s="1652" t="e">
        <f t="shared" si="0"/>
        <v>#N/A</v>
      </c>
      <c r="T11" s="1651" t="s">
        <v>25</v>
      </c>
      <c r="U11" s="1652" t="e">
        <f t="shared" si="1"/>
        <v>#N/A</v>
      </c>
      <c r="V11" s="1651" t="s">
        <v>25</v>
      </c>
      <c r="W11" s="1652" t="e">
        <f t="shared" si="2"/>
        <v>#N/A</v>
      </c>
      <c r="X11" s="1653"/>
      <c r="Y11" s="3446"/>
      <c r="Z11" s="1664" t="str">
        <f t="shared" si="7"/>
        <v>容积率</v>
      </c>
      <c r="AA11" s="1654" t="e">
        <f t="shared" si="3"/>
        <v>#N/A</v>
      </c>
      <c r="AB11" s="1654" t="e">
        <f t="shared" si="4"/>
        <v>#N/A</v>
      </c>
      <c r="AC11" s="1654" t="e">
        <f t="shared" si="5"/>
        <v>#N/A</v>
      </c>
    </row>
    <row r="12" spans="1:30" s="1655" customFormat="1" ht="15">
      <c r="A12" s="1676"/>
      <c r="B12" s="1677" t="s">
        <v>2389</v>
      </c>
      <c r="C12" s="1678"/>
      <c r="D12" s="1679">
        <v>100</v>
      </c>
      <c r="E12" s="1730"/>
      <c r="F12" s="1668">
        <f>SUMIF(82:82,E12,83:83)-SUMIF(82:82,C12,83:83)+100</f>
        <v>100</v>
      </c>
      <c r="G12" s="1728"/>
      <c r="H12" s="1668">
        <f>SUMIF(82:82,G12,83:83)-SUMIF(82:82,C12,83:83)+100</f>
        <v>100</v>
      </c>
      <c r="I12" s="1730"/>
      <c r="J12" s="1668">
        <f>SUMIF(82:82,I12,83:83)-SUMIF(82:82,C12,83:83)+100</f>
        <v>100</v>
      </c>
      <c r="K12" s="1940"/>
      <c r="L12" s="2967"/>
      <c r="M12" s="2940"/>
      <c r="N12" s="2940"/>
      <c r="O12" s="3014"/>
      <c r="P12" s="3550"/>
      <c r="Q12" s="1605" t="str">
        <f t="shared" si="6"/>
        <v>配建</v>
      </c>
      <c r="R12" s="1651" t="s">
        <v>25</v>
      </c>
      <c r="S12" s="1652">
        <f t="shared" si="0"/>
        <v>100</v>
      </c>
      <c r="T12" s="1651" t="s">
        <v>25</v>
      </c>
      <c r="U12" s="1652">
        <f t="shared" si="1"/>
        <v>100</v>
      </c>
      <c r="V12" s="1651" t="s">
        <v>25</v>
      </c>
      <c r="W12" s="1652">
        <f t="shared" si="2"/>
        <v>100</v>
      </c>
      <c r="X12" s="1653"/>
      <c r="Y12" s="3446"/>
      <c r="Z12" s="1664" t="str">
        <f t="shared" si="7"/>
        <v>配建</v>
      </c>
      <c r="AA12" s="1654">
        <f>D12/F12</f>
        <v>1</v>
      </c>
      <c r="AB12" s="1654">
        <f>D12/H12</f>
        <v>1</v>
      </c>
      <c r="AC12" s="1654">
        <f>D12/J12</f>
        <v>1</v>
      </c>
    </row>
    <row r="13" spans="1:30" ht="15">
      <c r="A13" s="1673"/>
      <c r="B13" s="1677">
        <v>111</v>
      </c>
      <c r="C13" s="1681"/>
      <c r="D13" s="1682">
        <v>100</v>
      </c>
      <c r="E13" s="1838"/>
      <c r="F13" s="1668">
        <f>SUMIF(84:84,E13,85:85)-SUMIF(84:84,C13,85:85)+100</f>
        <v>100</v>
      </c>
      <c r="G13" s="1942"/>
      <c r="H13" s="1682">
        <f>SUMIF(84:84,G13,85:85)-SUMIF(84:84,C13,85:85)+100</f>
        <v>100</v>
      </c>
      <c r="I13" s="1942"/>
      <c r="J13" s="1682">
        <f>SUMIF(84:84,I13,85:85)-SUMIF(84:84,C13,85:85)+100</f>
        <v>100</v>
      </c>
      <c r="K13" s="1940"/>
      <c r="L13" s="2972"/>
      <c r="M13" s="2968"/>
      <c r="N13" s="2968"/>
      <c r="O13" s="3016"/>
      <c r="P13" s="3550"/>
      <c r="Q13" s="1605">
        <f t="shared" si="6"/>
        <v>111</v>
      </c>
      <c r="R13" s="1651" t="s">
        <v>25</v>
      </c>
      <c r="S13" s="1652">
        <f t="shared" si="0"/>
        <v>100</v>
      </c>
      <c r="T13" s="1651" t="s">
        <v>25</v>
      </c>
      <c r="U13" s="1652">
        <f t="shared" si="1"/>
        <v>100</v>
      </c>
      <c r="V13" s="1651" t="s">
        <v>25</v>
      </c>
      <c r="W13" s="1652">
        <f t="shared" si="2"/>
        <v>100</v>
      </c>
      <c r="X13" s="1653"/>
      <c r="Y13" s="3446"/>
      <c r="Z13" s="1664">
        <f t="shared" si="7"/>
        <v>111</v>
      </c>
      <c r="AA13" s="1654">
        <f>D13/F13</f>
        <v>1</v>
      </c>
      <c r="AB13" s="1654">
        <f>D13/H13</f>
        <v>1</v>
      </c>
      <c r="AC13" s="1654">
        <f>D13/J13</f>
        <v>1</v>
      </c>
    </row>
    <row r="14" spans="1:30" ht="15.75" thickBot="1">
      <c r="A14" s="1683"/>
      <c r="B14" s="1684">
        <v>111</v>
      </c>
      <c r="C14" s="1685"/>
      <c r="D14" s="1686">
        <v>100</v>
      </c>
      <c r="E14" s="1838"/>
      <c r="F14" s="1686">
        <f>SUMIF(86:86,E14,87:87)-SUMIF(86:86,C14,87:87)+100</f>
        <v>100</v>
      </c>
      <c r="G14" s="1942"/>
      <c r="H14" s="1686">
        <f>SUMIF(86:86,G14,87:87)-SUMIF(86:86,C14,87:87)+100</f>
        <v>100</v>
      </c>
      <c r="I14" s="1942"/>
      <c r="J14" s="1686">
        <f>SUMIF(86:86,I14,87:87)-SUMIF(86:86,C14,87:87)+100</f>
        <v>100</v>
      </c>
      <c r="K14" s="1940"/>
      <c r="L14" s="2972"/>
      <c r="M14" s="2968"/>
      <c r="N14" s="2968"/>
      <c r="O14" s="3016"/>
      <c r="P14" s="3550"/>
      <c r="Q14" s="1605">
        <f t="shared" si="6"/>
        <v>111</v>
      </c>
      <c r="R14" s="1651" t="s">
        <v>25</v>
      </c>
      <c r="S14" s="1652">
        <f t="shared" si="0"/>
        <v>100</v>
      </c>
      <c r="T14" s="1651" t="s">
        <v>25</v>
      </c>
      <c r="U14" s="1652">
        <f t="shared" si="1"/>
        <v>100</v>
      </c>
      <c r="V14" s="1651" t="s">
        <v>25</v>
      </c>
      <c r="W14" s="1652">
        <f t="shared" si="2"/>
        <v>100</v>
      </c>
      <c r="X14" s="1653"/>
      <c r="Y14" s="3446"/>
      <c r="Z14" s="1664">
        <f t="shared" si="7"/>
        <v>111</v>
      </c>
      <c r="AA14" s="1654">
        <f>D14/F14</f>
        <v>1</v>
      </c>
      <c r="AB14" s="1654">
        <f>D14/H14</f>
        <v>1</v>
      </c>
      <c r="AC14" s="1654">
        <f>D14/J14</f>
        <v>1</v>
      </c>
    </row>
    <row r="15" spans="1:30" ht="99.75">
      <c r="A15" s="1633" t="s">
        <v>2212</v>
      </c>
      <c r="B15" s="1943" t="s">
        <v>1646</v>
      </c>
      <c r="C15" s="1944">
        <f>估价对象房地状况!C15</f>
        <v>0</v>
      </c>
      <c r="D15" s="1691">
        <v>100</v>
      </c>
      <c r="E15" s="1692"/>
      <c r="F15" s="1691">
        <f>SUMIF(88:88,E16,89:89)-SUMIF(88:88,C16,89:89)+100</f>
        <v>100</v>
      </c>
      <c r="G15" s="1692"/>
      <c r="H15" s="1691">
        <f>SUMIF(88:88,G16,89:89)-SUMIF(88:88,C16,89:89)+100</f>
        <v>100</v>
      </c>
      <c r="I15" s="1694"/>
      <c r="J15" s="1691">
        <f>SUMIF(88:88,I16,89:89)-SUMIF(88:88,C16,89:89)+100</f>
        <v>100</v>
      </c>
      <c r="K15" s="1941"/>
      <c r="L15" s="2972"/>
      <c r="M15" s="2968"/>
      <c r="N15" s="2968"/>
      <c r="O15" s="3016"/>
      <c r="P15" s="3567" t="s">
        <v>2213</v>
      </c>
      <c r="Q15" s="1586" t="str">
        <f t="shared" si="6"/>
        <v>居住社区成熟度</v>
      </c>
      <c r="R15" s="1696" t="s">
        <v>25</v>
      </c>
      <c r="S15" s="1697">
        <f t="shared" si="0"/>
        <v>100</v>
      </c>
      <c r="T15" s="1696" t="s">
        <v>25</v>
      </c>
      <c r="U15" s="1697">
        <f t="shared" si="1"/>
        <v>100</v>
      </c>
      <c r="V15" s="1696" t="s">
        <v>25</v>
      </c>
      <c r="W15" s="1697">
        <f t="shared" si="2"/>
        <v>100</v>
      </c>
      <c r="X15" s="1636"/>
      <c r="Y15" s="3567" t="s">
        <v>2213</v>
      </c>
      <c r="Z15" s="1698" t="str">
        <f t="shared" si="7"/>
        <v>居住社区成熟度</v>
      </c>
      <c r="AA15" s="1699">
        <f t="shared" si="3"/>
        <v>1</v>
      </c>
      <c r="AB15" s="1699">
        <f t="shared" si="4"/>
        <v>1</v>
      </c>
      <c r="AC15" s="1699">
        <f t="shared" si="5"/>
        <v>1</v>
      </c>
    </row>
    <row r="16" spans="1:30" ht="15">
      <c r="A16" s="1638"/>
      <c r="B16" s="1945"/>
      <c r="C16" s="1946"/>
      <c r="D16" s="1702"/>
      <c r="E16" s="1703"/>
      <c r="F16" s="1702"/>
      <c r="G16" s="1703"/>
      <c r="H16" s="1706"/>
      <c r="I16" s="1705"/>
      <c r="J16" s="1702"/>
      <c r="K16" s="1940"/>
      <c r="L16" s="2972"/>
      <c r="M16" s="2968"/>
      <c r="N16" s="2968"/>
      <c r="O16" s="3016"/>
      <c r="P16" s="3568"/>
      <c r="Q16" s="1586"/>
      <c r="R16" s="1696"/>
      <c r="S16" s="1697"/>
      <c r="T16" s="1696"/>
      <c r="U16" s="1697"/>
      <c r="V16" s="1696"/>
      <c r="W16" s="1697"/>
      <c r="X16" s="1636"/>
      <c r="Y16" s="3568"/>
      <c r="Z16" s="1698"/>
      <c r="AA16" s="1699">
        <v>1</v>
      </c>
      <c r="AB16" s="1699">
        <v>1</v>
      </c>
      <c r="AC16" s="1699">
        <v>1</v>
      </c>
    </row>
    <row r="17" spans="1:29" ht="71.25">
      <c r="A17" s="1638"/>
      <c r="B17" s="1947" t="s">
        <v>2298</v>
      </c>
      <c r="C17" s="1948">
        <f>估价对象房地状况!C16</f>
        <v>0</v>
      </c>
      <c r="D17" s="1706">
        <v>100</v>
      </c>
      <c r="E17" s="1710"/>
      <c r="F17" s="1706">
        <f>SUMIF(90:90,E18,91:91)-SUMIF(90:90,C18,91:91)+100</f>
        <v>100</v>
      </c>
      <c r="G17" s="1710"/>
      <c r="H17" s="1713">
        <f>SUMIF(90:90,G18,91:91)-SUMIF(90:90,C18,91:91)+100</f>
        <v>100</v>
      </c>
      <c r="I17" s="1712"/>
      <c r="J17" s="1713">
        <f>SUMIF(90:90,I18,91:91)-SUMIF(90:90,C18,91:91)+100</f>
        <v>100</v>
      </c>
      <c r="K17" s="1941"/>
      <c r="L17" s="2972"/>
      <c r="M17" s="2968"/>
      <c r="N17" s="2968"/>
      <c r="O17" s="3016"/>
      <c r="P17" s="3568"/>
      <c r="Q17" s="1586" t="str">
        <f>B17</f>
        <v>商业繁华度</v>
      </c>
      <c r="R17" s="1696" t="s">
        <v>25</v>
      </c>
      <c r="S17" s="1697">
        <f>F17</f>
        <v>100</v>
      </c>
      <c r="T17" s="1696" t="s">
        <v>25</v>
      </c>
      <c r="U17" s="1697">
        <f>H17</f>
        <v>100</v>
      </c>
      <c r="V17" s="1696" t="s">
        <v>25</v>
      </c>
      <c r="W17" s="1697">
        <f>J17</f>
        <v>100</v>
      </c>
      <c r="X17" s="1636"/>
      <c r="Y17" s="3568"/>
      <c r="Z17" s="1698" t="str">
        <f>Q17</f>
        <v>商业繁华度</v>
      </c>
      <c r="AA17" s="1699">
        <f t="shared" si="3"/>
        <v>1</v>
      </c>
      <c r="AB17" s="1699">
        <f t="shared" si="4"/>
        <v>1</v>
      </c>
      <c r="AC17" s="1699">
        <f t="shared" si="5"/>
        <v>1</v>
      </c>
    </row>
    <row r="18" spans="1:29" ht="15">
      <c r="A18" s="1638"/>
      <c r="B18" s="1949"/>
      <c r="C18" s="1950"/>
      <c r="D18" s="1706"/>
      <c r="E18" s="1716"/>
      <c r="F18" s="1706"/>
      <c r="G18" s="1716"/>
      <c r="H18" s="1702"/>
      <c r="I18" s="1717"/>
      <c r="J18" s="1702"/>
      <c r="K18" s="1940"/>
      <c r="L18" s="2972"/>
      <c r="M18" s="2968"/>
      <c r="N18" s="2968"/>
      <c r="O18" s="3016"/>
      <c r="P18" s="3568"/>
      <c r="Q18" s="1586"/>
      <c r="R18" s="1696"/>
      <c r="S18" s="1697"/>
      <c r="T18" s="1696"/>
      <c r="U18" s="1697"/>
      <c r="V18" s="1696"/>
      <c r="W18" s="1697"/>
      <c r="X18" s="1636"/>
      <c r="Y18" s="3568"/>
      <c r="Z18" s="1698"/>
      <c r="AA18" s="1699">
        <v>1</v>
      </c>
      <c r="AB18" s="1699">
        <v>1</v>
      </c>
      <c r="AC18" s="1699">
        <v>1</v>
      </c>
    </row>
    <row r="19" spans="1:29" ht="71.25">
      <c r="A19" s="1638"/>
      <c r="B19" s="1947" t="s">
        <v>2327</v>
      </c>
      <c r="C19" s="1948" t="str">
        <f>估价对象房地状况!C17</f>
        <v>较好</v>
      </c>
      <c r="D19" s="1713">
        <v>100</v>
      </c>
      <c r="E19" s="1718"/>
      <c r="F19" s="1713">
        <f>SUMIF(92:92,E20,93:93)-SUMIF(92:92,C20,93:93)+100</f>
        <v>100</v>
      </c>
      <c r="G19" s="1718"/>
      <c r="H19" s="1706">
        <f>SUMIF(92:92,G20,93:93)-SUMIF(92:92,C20,93:93)+100</f>
        <v>100</v>
      </c>
      <c r="I19" s="1720"/>
      <c r="J19" s="1706">
        <f>SUMIF(92:92,I20,93:93)-SUMIF(92:92,C20,93:93)+100</f>
        <v>100</v>
      </c>
      <c r="K19" s="1941"/>
      <c r="L19" s="2972"/>
      <c r="M19" s="2968"/>
      <c r="N19" s="2968"/>
      <c r="O19" s="3016"/>
      <c r="P19" s="3568"/>
      <c r="Q19" s="1586" t="str">
        <f>B19</f>
        <v>办公集聚程度</v>
      </c>
      <c r="R19" s="1696" t="s">
        <v>25</v>
      </c>
      <c r="S19" s="1697">
        <f>F19</f>
        <v>100</v>
      </c>
      <c r="T19" s="1696" t="s">
        <v>25</v>
      </c>
      <c r="U19" s="1697">
        <f>H19</f>
        <v>100</v>
      </c>
      <c r="V19" s="1696" t="s">
        <v>25</v>
      </c>
      <c r="W19" s="1697">
        <f>J19</f>
        <v>100</v>
      </c>
      <c r="X19" s="1636"/>
      <c r="Y19" s="3568"/>
      <c r="Z19" s="1698" t="str">
        <f>Q19</f>
        <v>办公集聚程度</v>
      </c>
      <c r="AA19" s="1699">
        <f t="shared" si="3"/>
        <v>1</v>
      </c>
      <c r="AB19" s="1699">
        <f t="shared" si="4"/>
        <v>1</v>
      </c>
      <c r="AC19" s="1699">
        <f t="shared" si="5"/>
        <v>1</v>
      </c>
    </row>
    <row r="20" spans="1:29" ht="15">
      <c r="A20" s="1638"/>
      <c r="B20" s="1949"/>
      <c r="C20" s="1946"/>
      <c r="D20" s="1702"/>
      <c r="E20" s="1703"/>
      <c r="F20" s="1702"/>
      <c r="G20" s="1703"/>
      <c r="H20" s="1702"/>
      <c r="I20" s="1705"/>
      <c r="J20" s="1702"/>
      <c r="K20" s="1940"/>
      <c r="L20" s="2972"/>
      <c r="M20" s="2968"/>
      <c r="N20" s="2968"/>
      <c r="O20" s="3016"/>
      <c r="P20" s="3568"/>
      <c r="Q20" s="1586"/>
      <c r="R20" s="1696"/>
      <c r="S20" s="1697"/>
      <c r="T20" s="1696"/>
      <c r="U20" s="1697"/>
      <c r="V20" s="1696"/>
      <c r="W20" s="1697"/>
      <c r="X20" s="1636"/>
      <c r="Y20" s="3568"/>
      <c r="Z20" s="1698"/>
      <c r="AA20" s="1699">
        <v>1</v>
      </c>
      <c r="AB20" s="1699">
        <v>1</v>
      </c>
      <c r="AC20" s="1699">
        <v>1</v>
      </c>
    </row>
    <row r="21" spans="1:29" ht="85.5">
      <c r="A21" s="1638"/>
      <c r="B21" s="1947" t="s">
        <v>2350</v>
      </c>
      <c r="C21" s="1951" t="str">
        <f>估价对象房地状况!C18</f>
        <v>较好</v>
      </c>
      <c r="D21" s="1706">
        <v>100</v>
      </c>
      <c r="E21" s="1710"/>
      <c r="F21" s="1713">
        <f>SUMIF(94:94,E22,95:95)-SUMIF(94:94,C22,95:95)+100</f>
        <v>100</v>
      </c>
      <c r="G21" s="1710"/>
      <c r="H21" s="1706">
        <f>SUMIF(94:94,G22,95:95)-SUMIF(94:94,C22,95:95)+100</f>
        <v>100</v>
      </c>
      <c r="I21" s="1712"/>
      <c r="J21" s="1706">
        <f>SUMIF(94:94,I22,95:95)-SUMIF(94:94,C22,95:95)+100</f>
        <v>100</v>
      </c>
      <c r="K21" s="1941"/>
      <c r="L21" s="2972"/>
      <c r="M21" s="2968"/>
      <c r="N21" s="2968"/>
      <c r="O21" s="3016"/>
      <c r="P21" s="3568"/>
      <c r="Q21" s="1586" t="str">
        <f>B21</f>
        <v>交通便捷度</v>
      </c>
      <c r="R21" s="1696" t="s">
        <v>25</v>
      </c>
      <c r="S21" s="1697">
        <f>F21</f>
        <v>100</v>
      </c>
      <c r="T21" s="1696" t="s">
        <v>25</v>
      </c>
      <c r="U21" s="1697">
        <f>H21</f>
        <v>100</v>
      </c>
      <c r="V21" s="1696" t="s">
        <v>25</v>
      </c>
      <c r="W21" s="1697">
        <f>J21</f>
        <v>100</v>
      </c>
      <c r="X21" s="1636"/>
      <c r="Y21" s="3568"/>
      <c r="Z21" s="1698" t="str">
        <f>Q21</f>
        <v>交通便捷度</v>
      </c>
      <c r="AA21" s="1699">
        <f t="shared" si="3"/>
        <v>1</v>
      </c>
      <c r="AB21" s="1699">
        <f t="shared" si="4"/>
        <v>1</v>
      </c>
      <c r="AC21" s="1699">
        <f t="shared" si="5"/>
        <v>1</v>
      </c>
    </row>
    <row r="22" spans="1:29" ht="15">
      <c r="A22" s="1638"/>
      <c r="B22" s="1952"/>
      <c r="C22" s="1946"/>
      <c r="D22" s="1706"/>
      <c r="E22" s="1703"/>
      <c r="F22" s="1702"/>
      <c r="G22" s="1703"/>
      <c r="H22" s="1702"/>
      <c r="I22" s="1705"/>
      <c r="J22" s="1702"/>
      <c r="K22" s="1940"/>
      <c r="L22" s="2972"/>
      <c r="M22" s="2968"/>
      <c r="N22" s="2968"/>
      <c r="O22" s="3016"/>
      <c r="P22" s="3568"/>
      <c r="Q22" s="1586"/>
      <c r="R22" s="1696"/>
      <c r="S22" s="1697"/>
      <c r="T22" s="1696"/>
      <c r="U22" s="1697"/>
      <c r="V22" s="1696"/>
      <c r="W22" s="1697"/>
      <c r="X22" s="1636"/>
      <c r="Y22" s="3568"/>
      <c r="Z22" s="1698"/>
      <c r="AA22" s="1699">
        <v>1</v>
      </c>
      <c r="AB22" s="1699">
        <v>1</v>
      </c>
      <c r="AC22" s="1699">
        <v>1</v>
      </c>
    </row>
    <row r="23" spans="1:29" ht="15">
      <c r="A23" s="1638"/>
      <c r="B23" s="1428" t="s">
        <v>2390</v>
      </c>
      <c r="C23" s="1953" t="str">
        <f>估价对象房地状况!C19</f>
        <v>较一致</v>
      </c>
      <c r="D23" s="1713">
        <v>100</v>
      </c>
      <c r="E23" s="1710"/>
      <c r="F23" s="1713">
        <f>SUMIF(96:96,E24,97:97)-SUMIF(96:96,C24,97:97)+100</f>
        <v>100</v>
      </c>
      <c r="G23" s="1712"/>
      <c r="H23" s="1713">
        <f>SUMIF(96:96,G24,97:97)-SUMIF(96:96,C24,97:97)+100</f>
        <v>100</v>
      </c>
      <c r="I23" s="1712"/>
      <c r="J23" s="1713">
        <f>SUMIF(96:96,I24,97:97)-SUMIF(96:96,C24,97:97)+100</f>
        <v>100</v>
      </c>
      <c r="K23" s="1941"/>
      <c r="L23" s="2972"/>
      <c r="M23" s="2968"/>
      <c r="N23" s="2968"/>
      <c r="O23" s="3016"/>
      <c r="P23" s="3568"/>
      <c r="Q23" s="1586" t="str">
        <f t="shared" ref="Q23:Q37" si="8">B23</f>
        <v>区域土地利用方向</v>
      </c>
      <c r="R23" s="1696" t="s">
        <v>25</v>
      </c>
      <c r="S23" s="1697">
        <f>F23</f>
        <v>100</v>
      </c>
      <c r="T23" s="1696" t="s">
        <v>25</v>
      </c>
      <c r="U23" s="1697">
        <f>H23</f>
        <v>100</v>
      </c>
      <c r="V23" s="1696" t="s">
        <v>25</v>
      </c>
      <c r="W23" s="1697">
        <f>J23</f>
        <v>100</v>
      </c>
      <c r="X23" s="1636"/>
      <c r="Y23" s="3568"/>
      <c r="Z23" s="1698" t="str">
        <f>Q23</f>
        <v>区域土地利用方向</v>
      </c>
      <c r="AA23" s="1699">
        <f t="shared" si="3"/>
        <v>1</v>
      </c>
      <c r="AB23" s="1699">
        <f t="shared" si="4"/>
        <v>1</v>
      </c>
      <c r="AC23" s="1699">
        <f t="shared" si="5"/>
        <v>1</v>
      </c>
    </row>
    <row r="24" spans="1:29" ht="15">
      <c r="A24" s="1638"/>
      <c r="B24" s="1429"/>
      <c r="C24" s="1954"/>
      <c r="D24" s="1702"/>
      <c r="E24" s="1703"/>
      <c r="F24" s="1702"/>
      <c r="G24" s="1705"/>
      <c r="H24" s="1702"/>
      <c r="I24" s="1705"/>
      <c r="J24" s="1702"/>
      <c r="K24" s="1955"/>
      <c r="L24" s="2972"/>
      <c r="M24" s="2968"/>
      <c r="N24" s="2968"/>
      <c r="O24" s="3016"/>
      <c r="P24" s="3568"/>
      <c r="Q24" s="1586"/>
      <c r="R24" s="1696"/>
      <c r="S24" s="1697"/>
      <c r="T24" s="1696"/>
      <c r="U24" s="1697"/>
      <c r="V24" s="1696"/>
      <c r="W24" s="1697"/>
      <c r="X24" s="1636"/>
      <c r="Y24" s="3568"/>
      <c r="Z24" s="1698"/>
      <c r="AA24" s="1699"/>
      <c r="AB24" s="1699"/>
      <c r="AC24" s="1699"/>
    </row>
    <row r="25" spans="1:29" ht="57">
      <c r="A25" s="1638"/>
      <c r="B25" s="1952" t="s">
        <v>2391</v>
      </c>
      <c r="C25" s="1948" t="str">
        <f>估价对象房地状况!C20</f>
        <v>较好</v>
      </c>
      <c r="D25" s="1706">
        <v>100</v>
      </c>
      <c r="E25" s="1710"/>
      <c r="F25" s="1706">
        <f>SUMIF(98:98,E26,99:99)-SUMIF(98:98,C26,99:99)+100</f>
        <v>100</v>
      </c>
      <c r="G25" s="1710"/>
      <c r="H25" s="1706">
        <f>SUMIF(98:98,G26,99:99)-SUMIF(98:98,C26,99:99)+100</f>
        <v>100</v>
      </c>
      <c r="I25" s="1712"/>
      <c r="J25" s="1706">
        <f>SUMIF(98:98,I26,99:99)-SUMIF(98:98,C26,99:99)+100</f>
        <v>100</v>
      </c>
      <c r="K25" s="1941"/>
      <c r="L25" s="2972"/>
      <c r="M25" s="2968"/>
      <c r="N25" s="2968"/>
      <c r="O25" s="3016"/>
      <c r="P25" s="3568"/>
      <c r="Q25" s="1586" t="str">
        <f t="shared" si="8"/>
        <v>自然及人文环境状况</v>
      </c>
      <c r="R25" s="1696" t="s">
        <v>25</v>
      </c>
      <c r="S25" s="1697">
        <f>F25</f>
        <v>100</v>
      </c>
      <c r="T25" s="1696" t="s">
        <v>25</v>
      </c>
      <c r="U25" s="1697">
        <f>H25</f>
        <v>100</v>
      </c>
      <c r="V25" s="1696" t="s">
        <v>25</v>
      </c>
      <c r="W25" s="1697">
        <f>J25</f>
        <v>100</v>
      </c>
      <c r="X25" s="1636"/>
      <c r="Y25" s="3568"/>
      <c r="Z25" s="1698" t="str">
        <f>Q25</f>
        <v>自然及人文环境状况</v>
      </c>
      <c r="AA25" s="1699">
        <f t="shared" si="3"/>
        <v>1</v>
      </c>
      <c r="AB25" s="1699">
        <f t="shared" si="4"/>
        <v>1</v>
      </c>
      <c r="AC25" s="1699">
        <f t="shared" si="5"/>
        <v>1</v>
      </c>
    </row>
    <row r="26" spans="1:29" ht="15">
      <c r="A26" s="1638"/>
      <c r="B26" s="1949"/>
      <c r="C26" s="1946"/>
      <c r="D26" s="1702"/>
      <c r="E26" s="1946"/>
      <c r="F26" s="1702"/>
      <c r="G26" s="1946"/>
      <c r="H26" s="1702"/>
      <c r="I26" s="1701"/>
      <c r="J26" s="1702"/>
      <c r="K26" s="1940"/>
      <c r="L26" s="2972"/>
      <c r="M26" s="2968"/>
      <c r="N26" s="2968"/>
      <c r="O26" s="3016"/>
      <c r="P26" s="3568"/>
      <c r="Q26" s="1586"/>
      <c r="R26" s="1696"/>
      <c r="S26" s="1697"/>
      <c r="T26" s="1696"/>
      <c r="U26" s="1697"/>
      <c r="V26" s="1696"/>
      <c r="W26" s="1697"/>
      <c r="X26" s="1636"/>
      <c r="Y26" s="3568"/>
      <c r="Z26" s="1698"/>
      <c r="AA26" s="1699">
        <v>1</v>
      </c>
      <c r="AB26" s="1699">
        <v>1</v>
      </c>
      <c r="AC26" s="1699">
        <v>1</v>
      </c>
    </row>
    <row r="27" spans="1:29" ht="42.75">
      <c r="A27" s="1638"/>
      <c r="B27" s="1952" t="s">
        <v>2299</v>
      </c>
      <c r="C27" s="1951" t="str">
        <f>估价对象房地状况!C21</f>
        <v>较好</v>
      </c>
      <c r="D27" s="1706">
        <v>100</v>
      </c>
      <c r="E27" s="1710"/>
      <c r="F27" s="1706">
        <f>SUMIF(100:100,E28,101:101)-SUMIF(100:100,C28,101:101)+100</f>
        <v>100</v>
      </c>
      <c r="G27" s="1710"/>
      <c r="H27" s="1706">
        <f>SUMIF(100:100,G28,101:101)-SUMIF(100:100,C28,101:101)+100</f>
        <v>100</v>
      </c>
      <c r="I27" s="1712"/>
      <c r="J27" s="1706">
        <f>SUMIF(100:100,I28,101:101)-SUMIF(100:100,C28,101:101)+100</f>
        <v>100</v>
      </c>
      <c r="K27" s="1956"/>
      <c r="L27" s="2972"/>
      <c r="M27" s="2968"/>
      <c r="N27" s="2968"/>
      <c r="O27" s="3016"/>
      <c r="P27" s="3568"/>
      <c r="Q27" s="1605" t="str">
        <f t="shared" ref="Q27" si="9">B27</f>
        <v>公共配套设施</v>
      </c>
      <c r="R27" s="1651" t="s">
        <v>25</v>
      </c>
      <c r="S27" s="1652">
        <f>F27</f>
        <v>100</v>
      </c>
      <c r="T27" s="1651" t="s">
        <v>25</v>
      </c>
      <c r="U27" s="1652">
        <f>H27</f>
        <v>100</v>
      </c>
      <c r="V27" s="1651" t="s">
        <v>25</v>
      </c>
      <c r="W27" s="1652">
        <f>J27</f>
        <v>100</v>
      </c>
      <c r="X27" s="1636"/>
      <c r="Y27" s="3568"/>
      <c r="Z27" s="1664" t="str">
        <f>Q27</f>
        <v>公共配套设施</v>
      </c>
      <c r="AA27" s="1699">
        <f>D27/F27</f>
        <v>1</v>
      </c>
      <c r="AB27" s="1699">
        <f>D27/H27</f>
        <v>1</v>
      </c>
      <c r="AC27" s="1699">
        <f>D27/J27</f>
        <v>1</v>
      </c>
    </row>
    <row r="28" spans="1:29" ht="15">
      <c r="A28" s="1638"/>
      <c r="B28" s="1949"/>
      <c r="C28" s="1957"/>
      <c r="D28" s="1702"/>
      <c r="E28" s="1957"/>
      <c r="F28" s="1702"/>
      <c r="G28" s="1957"/>
      <c r="H28" s="1702"/>
      <c r="I28" s="1957"/>
      <c r="J28" s="1702"/>
      <c r="K28" s="1940"/>
      <c r="L28" s="2972"/>
      <c r="M28" s="2968"/>
      <c r="N28" s="2968"/>
      <c r="O28" s="3016"/>
      <c r="P28" s="3568"/>
      <c r="Q28" s="1586"/>
      <c r="R28" s="1696"/>
      <c r="S28" s="1697"/>
      <c r="T28" s="1696"/>
      <c r="U28" s="1697"/>
      <c r="V28" s="1696"/>
      <c r="W28" s="1697"/>
      <c r="X28" s="1636"/>
      <c r="Y28" s="3568"/>
      <c r="Z28" s="1664"/>
      <c r="AA28" s="1699">
        <v>1</v>
      </c>
      <c r="AB28" s="1699">
        <v>1</v>
      </c>
      <c r="AC28" s="1699">
        <v>1</v>
      </c>
    </row>
    <row r="29" spans="1:29" s="1655" customFormat="1" ht="28.5">
      <c r="A29" s="1958"/>
      <c r="B29" s="1952" t="s">
        <v>2300</v>
      </c>
      <c r="C29" s="1959" t="str">
        <f>估价对象房地状况!C22</f>
        <v>七通</v>
      </c>
      <c r="D29" s="1706">
        <v>100</v>
      </c>
      <c r="E29" s="1710"/>
      <c r="F29" s="1706">
        <f>SUMIF(102:102,E30,103:103)-SUMIF(102:102,C30,103:103)+100</f>
        <v>100</v>
      </c>
      <c r="G29" s="1710"/>
      <c r="H29" s="1706">
        <f>SUMIF(102:102,G30,103:103)-SUMIF(102:102,C30,103:103)+100</f>
        <v>100</v>
      </c>
      <c r="I29" s="1712"/>
      <c r="J29" s="1706">
        <f>SUMIF(102:102,I30,103:103)-SUMIF(102:102,C30,103:103)+100</f>
        <v>100</v>
      </c>
      <c r="K29" s="1956"/>
      <c r="L29" s="2967"/>
      <c r="M29" s="2940"/>
      <c r="N29" s="2940"/>
      <c r="O29" s="3014"/>
      <c r="P29" s="3568"/>
      <c r="Q29" s="1605" t="str">
        <f t="shared" si="8"/>
        <v>基础设施水平</v>
      </c>
      <c r="R29" s="1651" t="s">
        <v>25</v>
      </c>
      <c r="S29" s="1652">
        <f>F29</f>
        <v>100</v>
      </c>
      <c r="T29" s="1651" t="s">
        <v>25</v>
      </c>
      <c r="U29" s="1652">
        <f>H29</f>
        <v>100</v>
      </c>
      <c r="V29" s="1651" t="s">
        <v>25</v>
      </c>
      <c r="W29" s="1652">
        <f>J29</f>
        <v>100</v>
      </c>
      <c r="X29" s="1653"/>
      <c r="Y29" s="3568"/>
      <c r="Z29" s="1664" t="str">
        <f>Q29</f>
        <v>基础设施水平</v>
      </c>
      <c r="AA29" s="1699">
        <f>D29/F29</f>
        <v>1</v>
      </c>
      <c r="AB29" s="1699">
        <f>D29/H29</f>
        <v>1</v>
      </c>
      <c r="AC29" s="1699">
        <f>D29/J29</f>
        <v>1</v>
      </c>
    </row>
    <row r="30" spans="1:29" s="1655" customFormat="1" ht="15">
      <c r="A30" s="1958"/>
      <c r="B30" s="1949"/>
      <c r="C30" s="1957"/>
      <c r="D30" s="1702"/>
      <c r="E30" s="1957"/>
      <c r="F30" s="1702"/>
      <c r="G30" s="1957"/>
      <c r="H30" s="1702"/>
      <c r="I30" s="1957"/>
      <c r="J30" s="1702"/>
      <c r="K30" s="1940"/>
      <c r="L30" s="2967"/>
      <c r="M30" s="2940"/>
      <c r="N30" s="2940"/>
      <c r="O30" s="3014"/>
      <c r="P30" s="3568"/>
      <c r="Q30" s="1605"/>
      <c r="R30" s="1651"/>
      <c r="S30" s="1652"/>
      <c r="T30" s="1651"/>
      <c r="U30" s="1652"/>
      <c r="V30" s="1651"/>
      <c r="W30" s="1652"/>
      <c r="X30" s="1653"/>
      <c r="Y30" s="3568"/>
      <c r="Z30" s="1664"/>
      <c r="AA30" s="1699">
        <v>1</v>
      </c>
      <c r="AB30" s="1699">
        <v>1</v>
      </c>
      <c r="AC30" s="1699">
        <v>1</v>
      </c>
    </row>
    <row r="31" spans="1:29" ht="15">
      <c r="A31" s="1638"/>
      <c r="B31" s="1949" t="s">
        <v>2301</v>
      </c>
      <c r="C31" s="1954"/>
      <c r="D31" s="1682">
        <v>100</v>
      </c>
      <c r="E31" s="1954"/>
      <c r="F31" s="1682">
        <f>SUMIF(104:104,E31,105:105)-SUMIF(104:104,C31,105:105)+100</f>
        <v>100</v>
      </c>
      <c r="G31" s="1954"/>
      <c r="H31" s="1682">
        <f>SUMIF(104:104,G31,105:105)-SUMIF(104:104,C31,105:105)+100</f>
        <v>100</v>
      </c>
      <c r="I31" s="1954"/>
      <c r="J31" s="1682">
        <f>SUMIF(104:104,I31,105:105)-SUMIF(104:104,C31,105:105)+100</f>
        <v>100</v>
      </c>
      <c r="K31" s="1941"/>
      <c r="L31" s="2972"/>
      <c r="M31" s="2968"/>
      <c r="N31" s="2968"/>
      <c r="O31" s="3016"/>
      <c r="P31" s="3568"/>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568"/>
      <c r="Z31" s="1698" t="str">
        <f t="shared" ref="Z31:Z45" si="13">Q31</f>
        <v>临街状况</v>
      </c>
      <c r="AA31" s="1699">
        <f t="shared" si="3"/>
        <v>1</v>
      </c>
      <c r="AB31" s="1699">
        <f t="shared" si="4"/>
        <v>1</v>
      </c>
      <c r="AC31" s="1699">
        <f t="shared" si="5"/>
        <v>1</v>
      </c>
    </row>
    <row r="32" spans="1:29" ht="27">
      <c r="A32" s="1638"/>
      <c r="B32" s="1952" t="s">
        <v>2331</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1"/>
      <c r="L32" s="2972"/>
      <c r="M32" s="2968"/>
      <c r="N32" s="2968"/>
      <c r="O32" s="3016"/>
      <c r="P32" s="3568"/>
      <c r="Q32" s="1586" t="str">
        <f t="shared" si="8"/>
        <v>毗邻道路的类型与等级</v>
      </c>
      <c r="R32" s="1696" t="s">
        <v>25</v>
      </c>
      <c r="S32" s="1697">
        <f t="shared" si="10"/>
        <v>100</v>
      </c>
      <c r="T32" s="1696" t="s">
        <v>25</v>
      </c>
      <c r="U32" s="1697">
        <f t="shared" si="11"/>
        <v>100</v>
      </c>
      <c r="V32" s="1696" t="s">
        <v>25</v>
      </c>
      <c r="W32" s="1697">
        <f t="shared" si="12"/>
        <v>100</v>
      </c>
      <c r="X32" s="1636"/>
      <c r="Y32" s="3568"/>
      <c r="Z32" s="1698" t="str">
        <f t="shared" si="13"/>
        <v>毗邻道路的类型与等级</v>
      </c>
      <c r="AA32" s="1699">
        <f t="shared" si="3"/>
        <v>1</v>
      </c>
      <c r="AB32" s="1699">
        <f t="shared" si="4"/>
        <v>1</v>
      </c>
      <c r="AC32" s="1699">
        <f t="shared" si="5"/>
        <v>1</v>
      </c>
    </row>
    <row r="33" spans="1:29" ht="15">
      <c r="A33" s="1638"/>
      <c r="B33" s="1949"/>
      <c r="C33" s="1946"/>
      <c r="D33" s="1702"/>
      <c r="E33" s="1946"/>
      <c r="F33" s="1702"/>
      <c r="G33" s="1946"/>
      <c r="H33" s="1702"/>
      <c r="I33" s="1701"/>
      <c r="J33" s="1702"/>
      <c r="K33" s="1960"/>
      <c r="L33" s="2972"/>
      <c r="M33" s="2968"/>
      <c r="N33" s="2968"/>
      <c r="O33" s="3016"/>
      <c r="P33" s="3568"/>
      <c r="Q33" s="1586"/>
      <c r="R33" s="1696"/>
      <c r="S33" s="1697"/>
      <c r="T33" s="1696"/>
      <c r="U33" s="1697"/>
      <c r="V33" s="1696"/>
      <c r="W33" s="1697"/>
      <c r="X33" s="1636"/>
      <c r="Y33" s="3568"/>
      <c r="Z33" s="1698"/>
      <c r="AA33" s="1699">
        <v>1</v>
      </c>
      <c r="AB33" s="1699">
        <v>1</v>
      </c>
      <c r="AC33" s="1699">
        <v>1</v>
      </c>
    </row>
    <row r="34" spans="1:29" ht="15">
      <c r="A34" s="1638"/>
      <c r="B34" s="1961" t="s">
        <v>2392</v>
      </c>
      <c r="C34" s="1954"/>
      <c r="D34" s="1682">
        <v>100</v>
      </c>
      <c r="E34" s="1954"/>
      <c r="F34" s="1682">
        <f>SUMIF(108:108,E34,109:109)-SUMIF(108:108,C34,109:109)+100</f>
        <v>100</v>
      </c>
      <c r="G34" s="1954"/>
      <c r="H34" s="1682">
        <f>SUMIF(108:108,G34,109:109)-SUMIF(108:108,C34,109:109)+100</f>
        <v>100</v>
      </c>
      <c r="I34" s="1962"/>
      <c r="J34" s="1682">
        <f>SUMIF(108:108,I34,109:109)-SUMIF(108:108,C34,109:109)+100</f>
        <v>100</v>
      </c>
      <c r="K34" s="1963"/>
      <c r="L34" s="2972"/>
      <c r="M34" s="2968"/>
      <c r="N34" s="2968"/>
      <c r="O34" s="3016"/>
      <c r="P34" s="3568"/>
      <c r="Q34" s="1586" t="str">
        <f t="shared" si="8"/>
        <v>土地级别</v>
      </c>
      <c r="R34" s="1696" t="s">
        <v>25</v>
      </c>
      <c r="S34" s="1697">
        <f t="shared" si="10"/>
        <v>100</v>
      </c>
      <c r="T34" s="1696" t="s">
        <v>25</v>
      </c>
      <c r="U34" s="1697">
        <f t="shared" si="11"/>
        <v>100</v>
      </c>
      <c r="V34" s="1696" t="s">
        <v>25</v>
      </c>
      <c r="W34" s="1697">
        <f t="shared" si="12"/>
        <v>100</v>
      </c>
      <c r="X34" s="1636"/>
      <c r="Y34" s="3568"/>
      <c r="Z34" s="1698" t="str">
        <f t="shared" si="13"/>
        <v>土地级别</v>
      </c>
      <c r="AA34" s="1699">
        <f t="shared" si="3"/>
        <v>1</v>
      </c>
      <c r="AB34" s="1699">
        <f t="shared" si="4"/>
        <v>1</v>
      </c>
      <c r="AC34" s="1699">
        <f t="shared" si="5"/>
        <v>1</v>
      </c>
    </row>
    <row r="35" spans="1:29" ht="15">
      <c r="A35" s="1638"/>
      <c r="B35" s="1964">
        <v>111</v>
      </c>
      <c r="C35" s="1750"/>
      <c r="D35" s="1682">
        <v>100</v>
      </c>
      <c r="E35" s="1750"/>
      <c r="F35" s="1682">
        <f>SUMIF(110:110,E35,111:111)-SUMIF(110:110,C35,111:111)+100</f>
        <v>100</v>
      </c>
      <c r="G35" s="1750"/>
      <c r="H35" s="1682">
        <f>SUMIF(110:110,G35,111:111)-SUMIF(110:110,C35,111:111)+100</f>
        <v>100</v>
      </c>
      <c r="I35" s="1942"/>
      <c r="J35" s="1682">
        <f>SUMIF(110:110,I35,111:111)-SUMIF(110:110,C35,111:111)+100</f>
        <v>100</v>
      </c>
      <c r="K35" s="1960"/>
      <c r="L35" s="2972"/>
      <c r="M35" s="2968"/>
      <c r="N35" s="2968"/>
      <c r="O35" s="3016"/>
      <c r="P35" s="3568"/>
      <c r="Q35" s="1586">
        <f t="shared" si="8"/>
        <v>111</v>
      </c>
      <c r="R35" s="1696" t="s">
        <v>25</v>
      </c>
      <c r="S35" s="1697">
        <f t="shared" si="10"/>
        <v>100</v>
      </c>
      <c r="T35" s="1696" t="s">
        <v>25</v>
      </c>
      <c r="U35" s="1697">
        <f t="shared" si="11"/>
        <v>100</v>
      </c>
      <c r="V35" s="1696" t="s">
        <v>25</v>
      </c>
      <c r="W35" s="1697">
        <f t="shared" si="12"/>
        <v>100</v>
      </c>
      <c r="X35" s="1636"/>
      <c r="Y35" s="3568"/>
      <c r="Z35" s="1698">
        <f t="shared" si="13"/>
        <v>111</v>
      </c>
      <c r="AA35" s="1699">
        <f t="shared" si="3"/>
        <v>1</v>
      </c>
      <c r="AB35" s="1699">
        <f t="shared" si="4"/>
        <v>1</v>
      </c>
      <c r="AC35" s="1699">
        <f t="shared" si="5"/>
        <v>1</v>
      </c>
    </row>
    <row r="36" spans="1:29" ht="15">
      <c r="A36" s="1965"/>
      <c r="B36" s="1966">
        <v>111</v>
      </c>
      <c r="C36" s="1750"/>
      <c r="D36" s="1682">
        <v>100</v>
      </c>
      <c r="E36" s="1750"/>
      <c r="F36" s="1682">
        <f>SUMIF(112:112,E37,113:113)-SUMIF(112:112,C37,113:113)+100</f>
        <v>100</v>
      </c>
      <c r="G36" s="1750"/>
      <c r="H36" s="1682">
        <f>SUMIF(112:112,G36,113:113)-SUMIF(112:112,C36,113:113)+100</f>
        <v>100</v>
      </c>
      <c r="I36" s="1942"/>
      <c r="J36" s="1682">
        <f>SUMIF(112:112,I36,113:113)-SUMIF(112:112,C36,113:113)+100</f>
        <v>100</v>
      </c>
      <c r="K36" s="1960"/>
      <c r="L36" s="2972"/>
      <c r="M36" s="2968"/>
      <c r="N36" s="2968"/>
      <c r="O36" s="3016"/>
      <c r="P36" s="3555" t="s">
        <v>2219</v>
      </c>
      <c r="Q36" s="1586">
        <f t="shared" si="8"/>
        <v>111</v>
      </c>
      <c r="R36" s="1696" t="s">
        <v>25</v>
      </c>
      <c r="S36" s="1697">
        <f t="shared" si="10"/>
        <v>100</v>
      </c>
      <c r="T36" s="1696" t="s">
        <v>25</v>
      </c>
      <c r="U36" s="1697">
        <f t="shared" si="11"/>
        <v>100</v>
      </c>
      <c r="V36" s="1696" t="s">
        <v>25</v>
      </c>
      <c r="W36" s="1697">
        <f t="shared" si="12"/>
        <v>100</v>
      </c>
      <c r="X36" s="1636"/>
      <c r="Y36" s="3556" t="s">
        <v>2219</v>
      </c>
      <c r="Z36" s="1698">
        <f t="shared" si="13"/>
        <v>111</v>
      </c>
      <c r="AA36" s="1699">
        <f t="shared" si="3"/>
        <v>1</v>
      </c>
      <c r="AB36" s="1699">
        <f t="shared" si="4"/>
        <v>1</v>
      </c>
      <c r="AC36" s="1699">
        <f t="shared" si="5"/>
        <v>1</v>
      </c>
    </row>
    <row r="37" spans="1:29" s="1742" customFormat="1" ht="15.75" thickBot="1">
      <c r="A37" s="1967"/>
      <c r="B37" s="1968">
        <v>111</v>
      </c>
      <c r="C37" s="1969"/>
      <c r="D37" s="1970">
        <v>100</v>
      </c>
      <c r="E37" s="1969"/>
      <c r="F37" s="1686">
        <f>SUMIF(114:114,E37,115:115)-SUMIF(114:114,C37,115:115)+100</f>
        <v>100</v>
      </c>
      <c r="G37" s="1969"/>
      <c r="H37" s="1686">
        <f>SUMIF(114:114,G37,115:115)-SUMIF(114:114,C37,115:115)+100</f>
        <v>100</v>
      </c>
      <c r="I37" s="1971"/>
      <c r="J37" s="1686">
        <f>SUMIF(114:114,I37,115:115)-SUMIF(114:114,C37,115:115)+100</f>
        <v>100</v>
      </c>
      <c r="K37" s="1960"/>
      <c r="L37" s="2971"/>
      <c r="M37" s="2030"/>
      <c r="N37" s="2030"/>
      <c r="O37" s="3017"/>
      <c r="P37" s="3556"/>
      <c r="Q37" s="1586">
        <f t="shared" si="8"/>
        <v>111</v>
      </c>
      <c r="R37" s="1738" t="s">
        <v>25</v>
      </c>
      <c r="S37" s="1739">
        <f t="shared" si="10"/>
        <v>100</v>
      </c>
      <c r="T37" s="1738" t="s">
        <v>25</v>
      </c>
      <c r="U37" s="1739">
        <f t="shared" si="11"/>
        <v>100</v>
      </c>
      <c r="V37" s="1738" t="s">
        <v>25</v>
      </c>
      <c r="W37" s="1739">
        <f t="shared" si="12"/>
        <v>100</v>
      </c>
      <c r="X37" s="1740"/>
      <c r="Y37" s="3556"/>
      <c r="Z37" s="1741">
        <f t="shared" si="13"/>
        <v>111</v>
      </c>
      <c r="AA37" s="1699">
        <f t="shared" si="3"/>
        <v>1</v>
      </c>
      <c r="AB37" s="1699">
        <f t="shared" si="4"/>
        <v>1</v>
      </c>
      <c r="AC37" s="1699">
        <f t="shared" si="5"/>
        <v>1</v>
      </c>
    </row>
    <row r="38" spans="1:29" ht="15">
      <c r="A38" s="1633" t="s">
        <v>2217</v>
      </c>
      <c r="B38" s="1714" t="s">
        <v>2393</v>
      </c>
      <c r="C38" s="1972"/>
      <c r="D38" s="1733">
        <v>100</v>
      </c>
      <c r="E38" s="1972"/>
      <c r="F38" s="1733" t="e">
        <f>LOOKUP(E38,117:117,118:118)-LOOKUP(C38,117:117,118:118)+100</f>
        <v>#N/A</v>
      </c>
      <c r="G38" s="1972"/>
      <c r="H38" s="1733" t="e">
        <f>LOOKUP(G38,117:117,118:118)-LOOKUP(C38,117:117,118:118)+100</f>
        <v>#N/A</v>
      </c>
      <c r="I38" s="1820"/>
      <c r="J38" s="1733" t="e">
        <f>LOOKUP(I38,117:117,118:118)-LOOKUP(C38,117:117,118:118)+100</f>
        <v>#N/A</v>
      </c>
      <c r="K38" s="1960"/>
      <c r="L38" s="2972"/>
      <c r="M38" s="2968"/>
      <c r="N38" s="2968"/>
      <c r="O38" s="3016"/>
      <c r="P38" s="3556"/>
      <c r="Q38" s="1586" t="str">
        <f>B38</f>
        <v>宗地面积</v>
      </c>
      <c r="R38" s="1696" t="s">
        <v>25</v>
      </c>
      <c r="S38" s="1697" t="e">
        <f t="shared" si="10"/>
        <v>#N/A</v>
      </c>
      <c r="T38" s="1696" t="s">
        <v>25</v>
      </c>
      <c r="U38" s="1697" t="e">
        <f t="shared" si="11"/>
        <v>#N/A</v>
      </c>
      <c r="V38" s="1696" t="s">
        <v>25</v>
      </c>
      <c r="W38" s="1697" t="e">
        <f t="shared" si="12"/>
        <v>#N/A</v>
      </c>
      <c r="X38" s="1636"/>
      <c r="Y38" s="3556"/>
      <c r="Z38" s="1698" t="str">
        <f t="shared" si="13"/>
        <v>宗地面积</v>
      </c>
      <c r="AA38" s="1699" t="e">
        <f t="shared" si="3"/>
        <v>#N/A</v>
      </c>
      <c r="AB38" s="1699" t="e">
        <f t="shared" si="4"/>
        <v>#N/A</v>
      </c>
      <c r="AC38" s="1699" t="e">
        <f t="shared" si="5"/>
        <v>#N/A</v>
      </c>
    </row>
    <row r="39" spans="1:29" ht="15">
      <c r="A39" s="1743"/>
      <c r="B39" s="1666" t="s">
        <v>2394</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3"/>
      <c r="L39" s="2972"/>
      <c r="M39" s="2968"/>
      <c r="N39" s="2968"/>
      <c r="O39" s="3016"/>
      <c r="P39" s="3556"/>
      <c r="Q39" s="1586" t="str">
        <f t="shared" ref="Q39:Q45" si="14">B39</f>
        <v>宗地形状</v>
      </c>
      <c r="R39" s="1696" t="s">
        <v>25</v>
      </c>
      <c r="S39" s="1697">
        <f t="shared" si="10"/>
        <v>100</v>
      </c>
      <c r="T39" s="1696" t="s">
        <v>25</v>
      </c>
      <c r="U39" s="1697">
        <f t="shared" si="11"/>
        <v>100</v>
      </c>
      <c r="V39" s="1696" t="s">
        <v>25</v>
      </c>
      <c r="W39" s="1697">
        <f t="shared" si="12"/>
        <v>100</v>
      </c>
      <c r="X39" s="1636"/>
      <c r="Y39" s="3556"/>
      <c r="Z39" s="1698" t="str">
        <f t="shared" si="13"/>
        <v>宗地形状</v>
      </c>
      <c r="AA39" s="1699">
        <f t="shared" si="3"/>
        <v>1</v>
      </c>
      <c r="AB39" s="1699">
        <f t="shared" si="4"/>
        <v>1</v>
      </c>
      <c r="AC39" s="1699">
        <f t="shared" si="5"/>
        <v>1</v>
      </c>
    </row>
    <row r="40" spans="1:29" ht="15">
      <c r="A40" s="1743"/>
      <c r="B40" s="1666" t="s">
        <v>2395</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3"/>
      <c r="L40" s="2972"/>
      <c r="M40" s="2968"/>
      <c r="N40" s="2968"/>
      <c r="O40" s="3016"/>
      <c r="P40" s="3556"/>
      <c r="Q40" s="1586" t="str">
        <f t="shared" si="14"/>
        <v>临街宽度及深度</v>
      </c>
      <c r="R40" s="1696" t="s">
        <v>25</v>
      </c>
      <c r="S40" s="1697">
        <f t="shared" si="10"/>
        <v>100</v>
      </c>
      <c r="T40" s="1696" t="s">
        <v>25</v>
      </c>
      <c r="U40" s="1697">
        <f t="shared" si="11"/>
        <v>100</v>
      </c>
      <c r="V40" s="1696" t="s">
        <v>25</v>
      </c>
      <c r="W40" s="1697">
        <f t="shared" si="12"/>
        <v>100</v>
      </c>
      <c r="X40" s="1636"/>
      <c r="Y40" s="3556"/>
      <c r="Z40" s="1698" t="str">
        <f t="shared" si="13"/>
        <v>临街宽度及深度</v>
      </c>
      <c r="AA40" s="1699">
        <f t="shared" si="3"/>
        <v>1</v>
      </c>
      <c r="AB40" s="1699">
        <f t="shared" si="4"/>
        <v>1</v>
      </c>
      <c r="AC40" s="1699">
        <f t="shared" si="5"/>
        <v>1</v>
      </c>
    </row>
    <row r="41" spans="1:29" s="1655" customFormat="1" ht="15">
      <c r="A41" s="1746"/>
      <c r="B41" s="1666" t="s">
        <v>2396</v>
      </c>
      <c r="C41" s="1973"/>
      <c r="D41" s="1668">
        <v>100</v>
      </c>
      <c r="E41" s="1973"/>
      <c r="F41" s="1682">
        <f>SUMIF(123:123,E41,124:124)-SUMIF(123:123,C41,124:124)+100</f>
        <v>100</v>
      </c>
      <c r="G41" s="1973"/>
      <c r="H41" s="1682">
        <f>SUMIF(123:123,G41,124:124)-SUMIF(123:123,C41,124:124)+100</f>
        <v>100</v>
      </c>
      <c r="I41" s="1973"/>
      <c r="J41" s="1682">
        <f>SUMIF(123:123,I41,124:124)-SUMIF(123:123,C41,124:124)+100</f>
        <v>100</v>
      </c>
      <c r="K41" s="1963"/>
      <c r="L41" s="2967"/>
      <c r="M41" s="2940"/>
      <c r="N41" s="2940"/>
      <c r="O41" s="3014"/>
      <c r="P41" s="3556"/>
      <c r="Q41" s="1586" t="str">
        <f t="shared" si="14"/>
        <v>宗地开发程度</v>
      </c>
      <c r="R41" s="1651" t="s">
        <v>25</v>
      </c>
      <c r="S41" s="1652">
        <f t="shared" si="10"/>
        <v>100</v>
      </c>
      <c r="T41" s="1651" t="s">
        <v>25</v>
      </c>
      <c r="U41" s="1652">
        <f t="shared" si="11"/>
        <v>100</v>
      </c>
      <c r="V41" s="1651" t="s">
        <v>25</v>
      </c>
      <c r="W41" s="1652">
        <f t="shared" si="12"/>
        <v>100</v>
      </c>
      <c r="X41" s="1653"/>
      <c r="Y41" s="3556"/>
      <c r="Z41" s="1664" t="str">
        <f t="shared" si="13"/>
        <v>宗地开发程度</v>
      </c>
      <c r="AA41" s="1654">
        <f t="shared" si="3"/>
        <v>1</v>
      </c>
      <c r="AB41" s="1654">
        <f t="shared" si="4"/>
        <v>1</v>
      </c>
      <c r="AC41" s="1654">
        <f t="shared" si="5"/>
        <v>1</v>
      </c>
    </row>
    <row r="42" spans="1:29" ht="15">
      <c r="A42" s="1743"/>
      <c r="B42" s="1666" t="s">
        <v>2397</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3"/>
      <c r="L42" s="2972"/>
      <c r="M42" s="2968"/>
      <c r="N42" s="2968"/>
      <c r="O42" s="3016"/>
      <c r="P42" s="3556" t="s">
        <v>2219</v>
      </c>
      <c r="Q42" s="1586" t="str">
        <f t="shared" si="14"/>
        <v>工程地质条件</v>
      </c>
      <c r="R42" s="1696" t="s">
        <v>25</v>
      </c>
      <c r="S42" s="1697">
        <f t="shared" si="10"/>
        <v>100</v>
      </c>
      <c r="T42" s="1696" t="s">
        <v>25</v>
      </c>
      <c r="U42" s="1697">
        <f t="shared" si="11"/>
        <v>100</v>
      </c>
      <c r="V42" s="1696" t="s">
        <v>25</v>
      </c>
      <c r="W42" s="1697">
        <f t="shared" si="12"/>
        <v>100</v>
      </c>
      <c r="X42" s="1636"/>
      <c r="Y42" s="3556" t="s">
        <v>2219</v>
      </c>
      <c r="Z42" s="1698" t="str">
        <f t="shared" si="13"/>
        <v>工程地质条件</v>
      </c>
      <c r="AA42" s="1699">
        <f t="shared" si="3"/>
        <v>1</v>
      </c>
      <c r="AB42" s="1699">
        <f t="shared" si="4"/>
        <v>1</v>
      </c>
      <c r="AC42" s="1699">
        <f t="shared" si="5"/>
        <v>1</v>
      </c>
    </row>
    <row r="43" spans="1:29" ht="15">
      <c r="A43" s="1743"/>
      <c r="B43" s="1974">
        <v>111</v>
      </c>
      <c r="C43" s="1942"/>
      <c r="D43" s="1682">
        <v>100</v>
      </c>
      <c r="E43" s="1942"/>
      <c r="F43" s="1682">
        <f>SUMIF(127:127,E43,128:128)-SUMIF(127:127,C43,128:128)+100</f>
        <v>100</v>
      </c>
      <c r="G43" s="1942"/>
      <c r="H43" s="1682">
        <f>SUMIF(127:127,G43,128:128)-SUMIF(127:127,C43,128:128)+100</f>
        <v>100</v>
      </c>
      <c r="I43" s="1838"/>
      <c r="J43" s="1682">
        <f>SUMIF(127:127,I43,128:128)-SUMIF(127:127,C43,128:128)+100</f>
        <v>100</v>
      </c>
      <c r="K43" s="1960"/>
      <c r="L43" s="2972"/>
      <c r="M43" s="2968"/>
      <c r="N43" s="2968"/>
      <c r="O43" s="3016"/>
      <c r="P43" s="3556"/>
      <c r="Q43" s="1586">
        <f t="shared" si="14"/>
        <v>111</v>
      </c>
      <c r="R43" s="1696" t="s">
        <v>25</v>
      </c>
      <c r="S43" s="1697">
        <f t="shared" si="10"/>
        <v>100</v>
      </c>
      <c r="T43" s="1696" t="s">
        <v>25</v>
      </c>
      <c r="U43" s="1697">
        <f t="shared" si="11"/>
        <v>100</v>
      </c>
      <c r="V43" s="1696" t="s">
        <v>25</v>
      </c>
      <c r="W43" s="1697">
        <f t="shared" si="12"/>
        <v>100</v>
      </c>
      <c r="X43" s="1636"/>
      <c r="Y43" s="3556"/>
      <c r="Z43" s="1698">
        <f t="shared" si="13"/>
        <v>111</v>
      </c>
      <c r="AA43" s="1699">
        <f t="shared" si="3"/>
        <v>1</v>
      </c>
      <c r="AB43" s="1699">
        <f t="shared" si="4"/>
        <v>1</v>
      </c>
      <c r="AC43" s="1699">
        <f t="shared" si="5"/>
        <v>1</v>
      </c>
    </row>
    <row r="44" spans="1:29" ht="15">
      <c r="A44" s="1743"/>
      <c r="B44" s="1974">
        <v>111</v>
      </c>
      <c r="C44" s="1942"/>
      <c r="D44" s="1682">
        <v>100</v>
      </c>
      <c r="E44" s="1942"/>
      <c r="F44" s="1682">
        <f>SUMIF(129:129,E44,130:130)-SUMIF(129:129,C44,130:130)+100</f>
        <v>100</v>
      </c>
      <c r="G44" s="1942"/>
      <c r="H44" s="1682">
        <f>SUMIF(129:129,G44,130:130)-SUMIF(129:129,C44,130:130)+100</f>
        <v>100</v>
      </c>
      <c r="I44" s="1838"/>
      <c r="J44" s="1682">
        <f>SUMIF(129:129,I44,130:130)-SUMIF(129:129,C44,130:130)+100</f>
        <v>100</v>
      </c>
      <c r="K44" s="1960"/>
      <c r="L44" s="2972"/>
      <c r="M44" s="2968"/>
      <c r="N44" s="2968"/>
      <c r="O44" s="3016"/>
      <c r="P44" s="3556"/>
      <c r="Q44" s="1586">
        <f t="shared" si="14"/>
        <v>111</v>
      </c>
      <c r="R44" s="1696" t="s">
        <v>25</v>
      </c>
      <c r="S44" s="1697">
        <f t="shared" si="10"/>
        <v>100</v>
      </c>
      <c r="T44" s="1696" t="s">
        <v>25</v>
      </c>
      <c r="U44" s="1697">
        <f t="shared" si="11"/>
        <v>100</v>
      </c>
      <c r="V44" s="1696" t="s">
        <v>25</v>
      </c>
      <c r="W44" s="1697">
        <f t="shared" si="12"/>
        <v>100</v>
      </c>
      <c r="X44" s="1636"/>
      <c r="Y44" s="3556"/>
      <c r="Z44" s="1698">
        <f t="shared" si="13"/>
        <v>111</v>
      </c>
      <c r="AA44" s="1699">
        <f t="shared" si="3"/>
        <v>1</v>
      </c>
      <c r="AB44" s="1699">
        <f t="shared" si="4"/>
        <v>1</v>
      </c>
      <c r="AC44" s="1699">
        <f t="shared" si="5"/>
        <v>1</v>
      </c>
    </row>
    <row r="45" spans="1:29" s="1742" customFormat="1" ht="15.75" thickBot="1">
      <c r="A45" s="1735"/>
      <c r="B45" s="1974">
        <v>111</v>
      </c>
      <c r="C45" s="1975"/>
      <c r="D45" s="3118">
        <v>100</v>
      </c>
      <c r="E45" s="1942"/>
      <c r="F45" s="1686">
        <f>SUMIF(131:131,E45,132:132)-SUMIF(131:131,C45,132:132)+100</f>
        <v>100</v>
      </c>
      <c r="G45" s="1942"/>
      <c r="H45" s="1686">
        <f>SUMIF(131:131,G45,132:132)-SUMIF(131:131,C45,132:132)+100</f>
        <v>100</v>
      </c>
      <c r="I45" s="1942"/>
      <c r="J45" s="1686">
        <f>SUMIF(131:131,I45,132:132)-SUMIF(131:131,C45,132:132)+100</f>
        <v>100</v>
      </c>
      <c r="K45" s="1976"/>
      <c r="L45" s="2971"/>
      <c r="M45" s="2030"/>
      <c r="N45" s="2030"/>
      <c r="O45" s="3017"/>
      <c r="P45" s="3556"/>
      <c r="Q45" s="1586">
        <f t="shared" si="14"/>
        <v>111</v>
      </c>
      <c r="R45" s="1738" t="s">
        <v>25</v>
      </c>
      <c r="S45" s="1739">
        <f t="shared" si="10"/>
        <v>100</v>
      </c>
      <c r="T45" s="1738" t="s">
        <v>25</v>
      </c>
      <c r="U45" s="1739">
        <f t="shared" si="11"/>
        <v>100</v>
      </c>
      <c r="V45" s="1738" t="s">
        <v>25</v>
      </c>
      <c r="W45" s="1739">
        <f t="shared" si="12"/>
        <v>100</v>
      </c>
      <c r="X45" s="1740"/>
      <c r="Y45" s="3556"/>
      <c r="Z45" s="1741">
        <f t="shared" si="13"/>
        <v>111</v>
      </c>
      <c r="AA45" s="1699">
        <f t="shared" si="3"/>
        <v>1</v>
      </c>
      <c r="AB45" s="1699">
        <f t="shared" si="4"/>
        <v>1</v>
      </c>
      <c r="AC45" s="1699">
        <f t="shared" si="5"/>
        <v>1</v>
      </c>
    </row>
    <row r="46" spans="1:29" ht="15">
      <c r="A46" s="1752" t="s">
        <v>2361</v>
      </c>
      <c r="B46" s="1977" t="s">
        <v>2398</v>
      </c>
      <c r="C46" s="1978" t="s">
        <v>1</v>
      </c>
      <c r="D46" s="1979"/>
      <c r="E46" s="1980"/>
      <c r="F46" s="1981"/>
      <c r="G46" s="1982"/>
      <c r="H46" s="1983"/>
      <c r="I46" s="1980"/>
      <c r="J46" s="1983"/>
      <c r="K46" s="1984"/>
      <c r="L46" s="2973"/>
      <c r="N46" s="2968"/>
      <c r="P46" s="3550" t="str">
        <f>A46</f>
        <v>成交单价</v>
      </c>
      <c r="Q46" s="3550"/>
      <c r="R46" s="3582">
        <f>E46</f>
        <v>0</v>
      </c>
      <c r="S46" s="3582"/>
      <c r="T46" s="3582">
        <f>G46</f>
        <v>0</v>
      </c>
      <c r="U46" s="3582"/>
      <c r="V46" s="3582">
        <f>I46</f>
        <v>0</v>
      </c>
      <c r="W46" s="3582"/>
      <c r="X46" s="1762"/>
      <c r="Y46" s="1763"/>
      <c r="Z46" s="1762"/>
      <c r="AA46" s="1762"/>
      <c r="AB46" s="1762"/>
      <c r="AC46" s="1762"/>
    </row>
    <row r="47" spans="1:29" ht="15.75" thickBot="1">
      <c r="A47" s="1764" t="s">
        <v>2314</v>
      </c>
      <c r="B47" s="1985"/>
      <c r="C47" s="1986" t="e">
        <f>R48</f>
        <v>#DIV/0!</v>
      </c>
      <c r="D47" s="1767" t="s">
        <v>2687</v>
      </c>
      <c r="E47" s="1986" t="e">
        <f>R47</f>
        <v>#DIV/0!</v>
      </c>
      <c r="F47" s="1769"/>
      <c r="G47" s="1987" t="e">
        <f>T47</f>
        <v>#DIV/0!</v>
      </c>
      <c r="H47" s="1769"/>
      <c r="I47" s="1986" t="e">
        <f>V47</f>
        <v>#DIV/0!</v>
      </c>
      <c r="J47" s="1769"/>
      <c r="K47" s="2481">
        <f>F47+H47+J47</f>
        <v>0</v>
      </c>
      <c r="L47" s="2973"/>
      <c r="P47" s="3550" t="str">
        <f>A47</f>
        <v>比较价值（元/平方米）</v>
      </c>
      <c r="Q47" s="3550"/>
      <c r="R47" s="3673" t="e">
        <f>ROUND(PRODUCT(R46,AA7:AA45),0)</f>
        <v>#DIV/0!</v>
      </c>
      <c r="S47" s="3673"/>
      <c r="T47" s="3673" t="e">
        <f>ROUND(PRODUCT(T46,AB7:AB45),0)</f>
        <v>#DIV/0!</v>
      </c>
      <c r="U47" s="3673"/>
      <c r="V47" s="3673" t="e">
        <f>ROUND(PRODUCT(V46,AC7:AC45),0)</f>
        <v>#DIV/0!</v>
      </c>
      <c r="W47" s="3673"/>
      <c r="X47" s="1762"/>
      <c r="Y47" s="1762"/>
      <c r="Z47" s="1762"/>
      <c r="AA47" s="1762"/>
      <c r="AB47" s="1762"/>
      <c r="AC47" s="1762"/>
    </row>
    <row r="48" spans="1:29" ht="15.75" thickBot="1">
      <c r="A48" s="1770" t="s">
        <v>2337</v>
      </c>
      <c r="B48" s="1771"/>
      <c r="C48" s="1988" t="e">
        <f>R48</f>
        <v>#DIV/0!</v>
      </c>
      <c r="D48" s="1988"/>
      <c r="E48" s="1988"/>
      <c r="F48" s="1988"/>
      <c r="G48" s="1988"/>
      <c r="H48" s="1988"/>
      <c r="I48" s="1988"/>
      <c r="J48" s="1988"/>
      <c r="K48" s="1989"/>
      <c r="L48" s="2973"/>
      <c r="P48" s="3552" t="str">
        <f>A48</f>
        <v>估价对象XX用房的比较价值（楼面单价，元/平方米）</v>
      </c>
      <c r="Q48" s="3553"/>
      <c r="R48" s="3674" t="e">
        <f>ROUND(IF(D47="简单平均",AVERAGE(R47:W47),R47*F47+T47*H47+V47*J47),0)</f>
        <v>#DIV/0!</v>
      </c>
      <c r="S48" s="3674"/>
      <c r="T48" s="3674"/>
      <c r="U48" s="3674"/>
      <c r="V48" s="3674"/>
      <c r="W48" s="3674"/>
      <c r="X48" s="1762"/>
      <c r="Y48" s="1762"/>
      <c r="Z48" s="1762"/>
      <c r="AA48" s="1762"/>
      <c r="AB48" s="1762"/>
      <c r="AC48" s="1762"/>
    </row>
    <row r="49" spans="1:14">
      <c r="G49" s="2977"/>
    </row>
    <row r="51" spans="1:14" ht="13.5" customHeight="1">
      <c r="C51" s="383" t="s">
        <v>2316</v>
      </c>
      <c r="D51" s="1778"/>
      <c r="E51" s="1779" t="e">
        <f>IF(E46&lt;E47,E47/E46-1,E46/E47-1)</f>
        <v>#DIV/0!</v>
      </c>
      <c r="F51" s="1780" t="e">
        <f>IF(OR(E51&gt;=0.3,E51&lt;=-0.3),"超过30%","")</f>
        <v>#DIV/0!</v>
      </c>
      <c r="G51" s="1779" t="e">
        <f>IF(G46&lt;G47,G47/G46-1,G46/G47-1)</f>
        <v>#DIV/0!</v>
      </c>
      <c r="H51" s="1780" t="e">
        <f>IF(OR(G51&gt;=0.3,G51&lt;=-0.3),"超过30%","")</f>
        <v>#DIV/0!</v>
      </c>
      <c r="I51" s="1779" t="e">
        <f>IF(I46&lt;I47,I47/I46-1,I46/I47-1)</f>
        <v>#DIV/0!</v>
      </c>
      <c r="J51" s="1780" t="e">
        <f>IF(OR(I51&gt;=0.3,I51&lt;=-0.3),"超过30%","")</f>
        <v>#DIV/0!</v>
      </c>
    </row>
    <row r="52" spans="1:14" ht="13.5" customHeight="1">
      <c r="C52" s="383" t="s">
        <v>2317</v>
      </c>
      <c r="D52" s="1781"/>
      <c r="E52" s="1779" t="e">
        <f>IF(E47&lt;G47,G47/E47-1,E47/G47-1)</f>
        <v>#DIV/0!</v>
      </c>
      <c r="F52" s="1780" t="e">
        <f>IF(OR(E52&gt;=0.2,E52&lt;=-0.2),"超过20%","")</f>
        <v>#DIV/0!</v>
      </c>
      <c r="G52" s="1779" t="e">
        <f>IF(G47&lt;I47,I47/G47-1,G47/I47-1)</f>
        <v>#DIV/0!</v>
      </c>
      <c r="H52" s="1780" t="e">
        <f>IF(OR(G52&gt;=0.2,G52&lt;=-0.2),"超过20%","")</f>
        <v>#DIV/0!</v>
      </c>
      <c r="I52" s="1779" t="e">
        <f>IF(I47&lt;E47,E47/I47-1,I47/E47-1)</f>
        <v>#DIV/0!</v>
      </c>
      <c r="J52" s="1780" t="e">
        <f>IF(OR(I52&gt;=0.2,I52&lt;=-0.2),"超过20%","")</f>
        <v>#DIV/0!</v>
      </c>
    </row>
    <row r="53" spans="1:14" s="1784" customFormat="1" ht="13.5" customHeight="1">
      <c r="C53" s="383" t="s">
        <v>2318</v>
      </c>
      <c r="D53" s="1781"/>
      <c r="E53" s="1779" t="e">
        <f>IF(E46&lt;G46,G46/E46-1,E46/G46-1)</f>
        <v>#DIV/0!</v>
      </c>
      <c r="F53" s="1780" t="e">
        <f>IF(OR(E53&gt;=0.3,E53&lt;=-0.3),"超过30%","")</f>
        <v>#DIV/0!</v>
      </c>
      <c r="G53" s="1779" t="e">
        <f>IF(G46&lt;I46,I46/G46-1,G46/I46-1)</f>
        <v>#DIV/0!</v>
      </c>
      <c r="H53" s="1780" t="e">
        <f>IF(OR(G53&gt;=0.3,G53&lt;=-0.3),"超过30%","")</f>
        <v>#DIV/0!</v>
      </c>
      <c r="I53" s="1779" t="e">
        <f>IF(I46&lt;E46,E46/I46-1,I46/E46-1)</f>
        <v>#DIV/0!</v>
      </c>
      <c r="J53" s="1780" t="e">
        <f>IF(OR(I53&gt;=0.3,I53&lt;=-0.3),"超过30%","")</f>
        <v>#DIV/0!</v>
      </c>
      <c r="K53" s="2980"/>
      <c r="L53" s="2974"/>
    </row>
    <row r="54" spans="1:14" s="1784" customFormat="1" ht="15" thickBot="1">
      <c r="B54" s="2978"/>
      <c r="C54" s="2979"/>
      <c r="K54" s="2980"/>
      <c r="L54" s="2974"/>
    </row>
    <row r="55" spans="1:14" ht="27">
      <c r="A55" s="564" t="s">
        <v>2399</v>
      </c>
      <c r="B55" s="1990" t="s">
        <v>2400</v>
      </c>
      <c r="C55" s="1991" t="s">
        <v>2401</v>
      </c>
      <c r="D55" s="1992" t="s">
        <v>2402</v>
      </c>
      <c r="E55" s="1993" t="s">
        <v>2403</v>
      </c>
      <c r="F55" s="1994" t="s">
        <v>2404</v>
      </c>
      <c r="G55" s="1889" t="s">
        <v>2405</v>
      </c>
      <c r="H55" s="1889" t="str">
        <f>项目基本情况!G8</f>
        <v>XX</v>
      </c>
      <c r="I55" s="1564" t="s">
        <v>2406</v>
      </c>
      <c r="J55" s="1995"/>
      <c r="K55" s="1776"/>
    </row>
    <row r="56" spans="1:14" s="2002" customFormat="1">
      <c r="A56" s="1996" t="s">
        <v>2407</v>
      </c>
      <c r="B56" s="1997" t="e">
        <f>C48</f>
        <v>#DIV/0!</v>
      </c>
      <c r="C56" s="280">
        <v>1</v>
      </c>
      <c r="D56" s="1998">
        <v>1</v>
      </c>
      <c r="E56" s="1999">
        <v>120</v>
      </c>
      <c r="F56" s="2000" t="e">
        <f t="shared" ref="F56:F65" si="15">ROUND(B56*E56,0)</f>
        <v>#DIV/0!</v>
      </c>
      <c r="G56" s="2001">
        <v>1</v>
      </c>
      <c r="H56" s="2001">
        <v>1</v>
      </c>
      <c r="I56" s="1784"/>
      <c r="J56" s="1784"/>
      <c r="K56" s="2980"/>
      <c r="L56" s="2974"/>
      <c r="M56" s="1784"/>
      <c r="N56" s="1784"/>
    </row>
    <row r="57" spans="1:14" s="2002" customFormat="1">
      <c r="A57" s="2003" t="s">
        <v>2408</v>
      </c>
      <c r="B57" s="2004" t="e">
        <f>ROUND($C$48*C57*D57,0)</f>
        <v>#DIV/0!</v>
      </c>
      <c r="C57" s="50">
        <f>IF($C$55="北京市系数",G57,H57)</f>
        <v>0</v>
      </c>
      <c r="D57" s="2005">
        <v>0.25</v>
      </c>
      <c r="E57" s="1999">
        <v>0</v>
      </c>
      <c r="F57" s="2000" t="e">
        <f t="shared" si="15"/>
        <v>#DIV/0!</v>
      </c>
      <c r="G57" s="2001">
        <f>SUMIF(修正!$A$45:$A$56,项目基本情况!$F$9,修正!B45:B56)</f>
        <v>0</v>
      </c>
      <c r="H57" s="2006"/>
      <c r="I57" s="1637"/>
      <c r="J57" s="1880"/>
      <c r="K57" s="1881"/>
      <c r="L57" s="1881"/>
      <c r="M57" s="1637"/>
      <c r="N57" s="1637"/>
    </row>
    <row r="58" spans="1:14" s="2002" customFormat="1">
      <c r="A58" s="2003" t="s">
        <v>2409</v>
      </c>
      <c r="B58" s="2004" t="e">
        <f t="shared" ref="B58:B65" si="16">ROUND($C$48*C58*D58,0)</f>
        <v>#DIV/0!</v>
      </c>
      <c r="C58" s="50">
        <f t="shared" ref="C58:C65" si="17">IF($C$55="北京市系数",G58,H58)</f>
        <v>0</v>
      </c>
      <c r="D58" s="2005">
        <v>0.25</v>
      </c>
      <c r="E58" s="1999">
        <v>0</v>
      </c>
      <c r="F58" s="2000" t="e">
        <f t="shared" si="15"/>
        <v>#DIV/0!</v>
      </c>
      <c r="G58" s="2001">
        <f>SUMIF(修正!$A$45:$A$56,项目基本情况!$F$9,修正!C45:C56)</f>
        <v>0</v>
      </c>
      <c r="H58" s="2006"/>
      <c r="I58" s="1784"/>
      <c r="J58" s="1784"/>
      <c r="K58" s="2980"/>
      <c r="L58" s="2974"/>
      <c r="M58" s="1784"/>
      <c r="N58" s="1784"/>
    </row>
    <row r="59" spans="1:14" s="2002" customFormat="1">
      <c r="A59" s="2003" t="s">
        <v>2410</v>
      </c>
      <c r="B59" s="2004" t="e">
        <f t="shared" si="16"/>
        <v>#DIV/0!</v>
      </c>
      <c r="C59" s="50">
        <f t="shared" si="17"/>
        <v>0</v>
      </c>
      <c r="D59" s="2005">
        <v>0.25</v>
      </c>
      <c r="E59" s="1999">
        <v>0</v>
      </c>
      <c r="F59" s="2000" t="e">
        <f t="shared" si="15"/>
        <v>#DIV/0!</v>
      </c>
      <c r="G59" s="2001">
        <f>SUMIF(修正!$A$45:$A$56,项目基本情况!$F$9,修正!D45:D56)</f>
        <v>0</v>
      </c>
      <c r="H59" s="2006"/>
      <c r="I59" s="1637"/>
      <c r="J59" s="1880"/>
      <c r="K59" s="1881"/>
      <c r="L59" s="1881"/>
      <c r="M59" s="1637"/>
      <c r="N59" s="1637"/>
    </row>
    <row r="60" spans="1:14" s="2002" customFormat="1">
      <c r="A60" s="2003" t="s">
        <v>2411</v>
      </c>
      <c r="B60" s="2004" t="e">
        <f t="shared" si="16"/>
        <v>#DIV/0!</v>
      </c>
      <c r="C60" s="50">
        <f t="shared" si="17"/>
        <v>0</v>
      </c>
      <c r="D60" s="2005">
        <v>0.25</v>
      </c>
      <c r="E60" s="1999">
        <v>0</v>
      </c>
      <c r="F60" s="2000" t="e">
        <f t="shared" si="15"/>
        <v>#DIV/0!</v>
      </c>
      <c r="G60" s="2001">
        <f>SUMIF(修正!$A$45:$A$56,项目基本情况!$F$9,修正!E45:E56)</f>
        <v>0</v>
      </c>
      <c r="H60" s="2006"/>
      <c r="I60" s="1784"/>
      <c r="J60" s="1784"/>
      <c r="K60" s="2980"/>
      <c r="L60" s="2974"/>
      <c r="M60" s="1784"/>
      <c r="N60" s="1784"/>
    </row>
    <row r="61" spans="1:14" s="2002" customFormat="1">
      <c r="A61" s="2003" t="s">
        <v>2412</v>
      </c>
      <c r="B61" s="2004" t="e">
        <f t="shared" si="16"/>
        <v>#DIV/0!</v>
      </c>
      <c r="C61" s="50">
        <f t="shared" si="17"/>
        <v>0</v>
      </c>
      <c r="D61" s="2005">
        <v>0.25</v>
      </c>
      <c r="E61" s="1999">
        <v>0</v>
      </c>
      <c r="F61" s="2000" t="e">
        <f t="shared" si="15"/>
        <v>#DIV/0!</v>
      </c>
      <c r="G61" s="2001">
        <f>SUMIF(修正!A45:A56,项目基本情况!F9,修正!F45:F56)</f>
        <v>0</v>
      </c>
      <c r="H61" s="2006"/>
      <c r="I61" s="1637"/>
      <c r="J61" s="1880"/>
      <c r="K61" s="1881"/>
      <c r="L61" s="1881"/>
      <c r="M61" s="1637"/>
      <c r="N61" s="1637"/>
    </row>
    <row r="62" spans="1:14" s="2002" customFormat="1">
      <c r="A62" s="2003" t="s">
        <v>2413</v>
      </c>
      <c r="B62" s="2004" t="e">
        <f t="shared" si="16"/>
        <v>#DIV/0!</v>
      </c>
      <c r="C62" s="50">
        <f t="shared" si="17"/>
        <v>0</v>
      </c>
      <c r="D62" s="2005">
        <v>0.25</v>
      </c>
      <c r="E62" s="1999">
        <v>0</v>
      </c>
      <c r="F62" s="2000" t="e">
        <f t="shared" si="15"/>
        <v>#DIV/0!</v>
      </c>
      <c r="G62" s="2001">
        <f>SUMIF(修正!A45:A56,项目基本情况!F9,修正!G45:G56)</f>
        <v>0</v>
      </c>
      <c r="H62" s="2006"/>
      <c r="I62" s="1784"/>
      <c r="J62" s="1784"/>
      <c r="K62" s="2980"/>
      <c r="L62" s="2974"/>
      <c r="M62" s="1784"/>
      <c r="N62" s="1784"/>
    </row>
    <row r="63" spans="1:14" s="2002" customFormat="1">
      <c r="A63" s="2003" t="s">
        <v>2414</v>
      </c>
      <c r="B63" s="2004" t="e">
        <f t="shared" si="16"/>
        <v>#DIV/0!</v>
      </c>
      <c r="C63" s="50">
        <f>IF($C$55="北京市系数",G63,H63)</f>
        <v>0</v>
      </c>
      <c r="D63" s="2005">
        <v>0.25</v>
      </c>
      <c r="E63" s="1999">
        <v>0</v>
      </c>
      <c r="F63" s="2000" t="e">
        <f t="shared" si="15"/>
        <v>#DIV/0!</v>
      </c>
      <c r="G63" s="2001">
        <f>SUMIF(修正!A45:A56,项目基本情况!F9,修正!H45:H56)</f>
        <v>0</v>
      </c>
      <c r="H63" s="2006"/>
      <c r="I63" s="1637"/>
      <c r="J63" s="1880"/>
      <c r="K63" s="1881"/>
      <c r="L63" s="1881"/>
      <c r="M63" s="1637"/>
      <c r="N63" s="1637"/>
    </row>
    <row r="64" spans="1:14" s="2002" customFormat="1">
      <c r="A64" s="2003" t="s">
        <v>2415</v>
      </c>
      <c r="B64" s="2004" t="e">
        <f t="shared" si="16"/>
        <v>#DIV/0!</v>
      </c>
      <c r="C64" s="50">
        <f t="shared" si="17"/>
        <v>0</v>
      </c>
      <c r="D64" s="2005">
        <v>0.25</v>
      </c>
      <c r="E64" s="1999">
        <v>0</v>
      </c>
      <c r="F64" s="2000" t="e">
        <f t="shared" si="15"/>
        <v>#DIV/0!</v>
      </c>
      <c r="G64" s="2001">
        <f>G63</f>
        <v>0</v>
      </c>
      <c r="H64" s="2006"/>
      <c r="I64" s="1784"/>
      <c r="J64" s="1784"/>
      <c r="K64" s="2980"/>
      <c r="L64" s="2974"/>
      <c r="M64" s="1784"/>
      <c r="N64" s="1784"/>
    </row>
    <row r="65" spans="1:17" s="2002" customFormat="1">
      <c r="A65" s="2003" t="s">
        <v>2416</v>
      </c>
      <c r="B65" s="2004" t="e">
        <f t="shared" si="16"/>
        <v>#DIV/0!</v>
      </c>
      <c r="C65" s="50">
        <f t="shared" si="17"/>
        <v>0</v>
      </c>
      <c r="D65" s="2005">
        <v>0.25</v>
      </c>
      <c r="E65" s="1999">
        <v>0</v>
      </c>
      <c r="F65" s="2000" t="e">
        <f t="shared" si="15"/>
        <v>#DIV/0!</v>
      </c>
      <c r="G65" s="2001">
        <f>G63</f>
        <v>0</v>
      </c>
      <c r="H65" s="2006"/>
      <c r="I65" s="1637"/>
      <c r="J65" s="1880"/>
      <c r="K65" s="1881"/>
      <c r="L65" s="1881"/>
      <c r="M65" s="1637"/>
      <c r="N65" s="1637"/>
    </row>
    <row r="66" spans="1:17" s="2002" customFormat="1" ht="13.5" thickBot="1">
      <c r="A66" s="2007" t="s">
        <v>2417</v>
      </c>
      <c r="B66" s="2008" t="s">
        <v>39</v>
      </c>
      <c r="C66" s="2008" t="s">
        <v>40</v>
      </c>
      <c r="D66" s="2008" t="s">
        <v>36</v>
      </c>
      <c r="E66" s="2008">
        <f>SUM(E56:E65)</f>
        <v>120</v>
      </c>
      <c r="F66" s="2009" t="e">
        <f>SUM(F56:F65)</f>
        <v>#DIV/0!</v>
      </c>
      <c r="G66" s="2010"/>
      <c r="H66" s="2010"/>
      <c r="I66" s="3018"/>
      <c r="J66" s="3018"/>
      <c r="K66" s="3018"/>
    </row>
    <row r="67" spans="1:17">
      <c r="A67" s="1761"/>
      <c r="B67" s="1785"/>
      <c r="C67" s="1786"/>
      <c r="D67" s="1761"/>
      <c r="E67" s="1761"/>
      <c r="F67" s="1761"/>
      <c r="G67" s="1761"/>
      <c r="H67" s="1761"/>
      <c r="I67" s="1761"/>
      <c r="J67" s="1761"/>
      <c r="K67" s="1775"/>
      <c r="L67" s="1776"/>
      <c r="M67" s="1761"/>
      <c r="N67" s="1761"/>
      <c r="O67" s="1761"/>
    </row>
    <row r="68" spans="1:17" s="2012" customFormat="1">
      <c r="A68" s="1762"/>
      <c r="B68" s="2011"/>
      <c r="C68" s="2011" t="str">
        <f>YEAR(C7)&amp;"-"&amp;MONTH(C7)&amp;"-1"</f>
        <v>2022-3-1</v>
      </c>
      <c r="D68" s="2011">
        <f>EDATE(C68,-3)</f>
        <v>44531</v>
      </c>
      <c r="E68" s="2011">
        <f t="shared" ref="E68:O68" si="18">EDATE(D68,-3)</f>
        <v>44440</v>
      </c>
      <c r="F68" s="2011">
        <f t="shared" si="18"/>
        <v>44348</v>
      </c>
      <c r="G68" s="2011">
        <f t="shared" si="18"/>
        <v>44256</v>
      </c>
      <c r="H68" s="2011">
        <f t="shared" si="18"/>
        <v>44166</v>
      </c>
      <c r="I68" s="2011">
        <f t="shared" si="18"/>
        <v>44075</v>
      </c>
      <c r="J68" s="2011">
        <f t="shared" si="18"/>
        <v>43983</v>
      </c>
      <c r="K68" s="2011">
        <f t="shared" si="18"/>
        <v>43891</v>
      </c>
      <c r="L68" s="2011">
        <f t="shared" si="18"/>
        <v>43800</v>
      </c>
      <c r="M68" s="2011">
        <f t="shared" si="18"/>
        <v>43709</v>
      </c>
      <c r="N68" s="2011">
        <f t="shared" si="18"/>
        <v>43617</v>
      </c>
      <c r="O68" s="2011">
        <f t="shared" si="18"/>
        <v>43525</v>
      </c>
    </row>
    <row r="69" spans="1:17" ht="21.75" thickBot="1">
      <c r="A69" s="1787" t="s">
        <v>2319</v>
      </c>
      <c r="B69" s="1762"/>
      <c r="C69" s="1788"/>
      <c r="D69" s="1788"/>
      <c r="E69" s="1788"/>
      <c r="F69" s="1788"/>
      <c r="G69" s="1788"/>
      <c r="H69" s="1788"/>
      <c r="I69" s="2013"/>
      <c r="J69" s="2013"/>
      <c r="K69" s="2014"/>
      <c r="L69" s="2015"/>
      <c r="M69" s="2013"/>
      <c r="N69" s="2013"/>
      <c r="O69" s="2013"/>
      <c r="P69" s="2016"/>
      <c r="Q69" s="1792"/>
    </row>
    <row r="70" spans="1:17" s="2021" customFormat="1" ht="15">
      <c r="A70" s="2017" t="s">
        <v>2418</v>
      </c>
      <c r="B70" s="2018"/>
      <c r="C70" s="2019" t="str">
        <f>YEAR(C68)&amp;"-"&amp;ROUNDUP(MONTH(C68)/3,0)</f>
        <v>2022-1</v>
      </c>
      <c r="D70" s="2019" t="str">
        <f>YEAR(D68)&amp;"-"&amp;ROUNDUP(MONTH(D68)/3,0)</f>
        <v>2021-4</v>
      </c>
      <c r="E70" s="2019" t="str">
        <f t="shared" ref="E70:O70" si="19">YEAR(E68)&amp;"-"&amp;ROUNDUP(MONTH(E68)/3,0)</f>
        <v>2021-3</v>
      </c>
      <c r="F70" s="2019" t="str">
        <f t="shared" si="19"/>
        <v>2021-2</v>
      </c>
      <c r="G70" s="2019" t="str">
        <f t="shared" si="19"/>
        <v>2021-1</v>
      </c>
      <c r="H70" s="2019" t="str">
        <f t="shared" si="19"/>
        <v>2020-4</v>
      </c>
      <c r="I70" s="2019" t="str">
        <f t="shared" si="19"/>
        <v>2020-3</v>
      </c>
      <c r="J70" s="2019" t="str">
        <f t="shared" si="19"/>
        <v>2020-2</v>
      </c>
      <c r="K70" s="2019" t="str">
        <f t="shared" si="19"/>
        <v>2020-1</v>
      </c>
      <c r="L70" s="2019" t="str">
        <f t="shared" si="19"/>
        <v>2019-4</v>
      </c>
      <c r="M70" s="2019" t="str">
        <f t="shared" si="19"/>
        <v>2019-3</v>
      </c>
      <c r="N70" s="2019" t="str">
        <f t="shared" si="19"/>
        <v>2019-2</v>
      </c>
      <c r="O70" s="2019" t="str">
        <f t="shared" si="19"/>
        <v>2019-1</v>
      </c>
      <c r="P70" s="2020"/>
    </row>
    <row r="71" spans="1:17" s="1655" customFormat="1" ht="29.25" customHeight="1">
      <c r="A71" s="2022" t="s">
        <v>2419</v>
      </c>
      <c r="B71" s="2023" t="str">
        <f>"北京市平均增长率"&amp;TEXT(SUMIF(基准地价修正!N21:N25,A71,基准地价修正!P21:P25),"0.00%")</f>
        <v>北京市平均增长率1.03%</v>
      </c>
      <c r="C71" s="1876">
        <v>100</v>
      </c>
      <c r="D71" s="1872"/>
      <c r="E71" s="1872"/>
      <c r="F71" s="1872"/>
      <c r="G71" s="1872"/>
      <c r="H71" s="1872"/>
      <c r="I71" s="1872"/>
      <c r="J71" s="1872"/>
      <c r="K71" s="1872"/>
      <c r="L71" s="1872"/>
      <c r="M71" s="2024"/>
      <c r="N71" s="1872"/>
      <c r="O71" s="2025"/>
      <c r="P71" s="1792"/>
    </row>
    <row r="72" spans="1:17" s="1655" customFormat="1" ht="15.75" thickBot="1">
      <c r="A72" s="1805" t="s">
        <v>2239</v>
      </c>
      <c r="B72" s="1806"/>
      <c r="C72" s="1807"/>
      <c r="D72" s="1808"/>
      <c r="E72" s="1808"/>
      <c r="F72" s="1808"/>
      <c r="G72" s="1808"/>
      <c r="H72" s="1808"/>
      <c r="I72" s="1808"/>
      <c r="J72" s="1808"/>
      <c r="K72" s="1808"/>
      <c r="L72" s="1808"/>
      <c r="M72" s="1809"/>
      <c r="N72" s="1808"/>
      <c r="O72" s="2026"/>
      <c r="P72" s="1792"/>
      <c r="Q72" s="1792"/>
    </row>
    <row r="73" spans="1:17" s="1655" customFormat="1" ht="15">
      <c r="A73" s="1810" t="s">
        <v>2203</v>
      </c>
      <c r="B73" s="1800"/>
      <c r="C73" s="1811" t="s">
        <v>2204</v>
      </c>
      <c r="D73" s="409"/>
      <c r="E73" s="409"/>
      <c r="F73" s="409"/>
      <c r="G73" s="409"/>
      <c r="H73" s="409"/>
      <c r="I73" s="409"/>
      <c r="J73" s="409"/>
      <c r="K73" s="409"/>
      <c r="L73" s="409"/>
      <c r="M73" s="1812"/>
      <c r="N73" s="2985"/>
      <c r="O73" s="2985"/>
      <c r="P73" s="2027"/>
      <c r="Q73" s="1792"/>
    </row>
    <row r="74" spans="1:17" s="1655" customFormat="1" ht="15.75" thickBot="1">
      <c r="A74" s="1810"/>
      <c r="B74" s="1800"/>
      <c r="C74" s="1801">
        <v>100</v>
      </c>
      <c r="D74" s="1802"/>
      <c r="E74" s="1802"/>
      <c r="F74" s="1802"/>
      <c r="G74" s="1802"/>
      <c r="H74" s="1802"/>
      <c r="I74" s="1802"/>
      <c r="J74" s="1802"/>
      <c r="K74" s="1802"/>
      <c r="L74" s="1802"/>
      <c r="M74" s="1816"/>
      <c r="N74" s="2985"/>
      <c r="O74" s="2985"/>
      <c r="P74" s="1792"/>
      <c r="Q74" s="1792"/>
    </row>
    <row r="75" spans="1:17">
      <c r="A75" s="1817" t="s">
        <v>2242</v>
      </c>
      <c r="B75" s="1818" t="s">
        <v>2207</v>
      </c>
      <c r="C75" s="1820"/>
      <c r="D75" s="1820"/>
      <c r="E75" s="1820"/>
      <c r="F75" s="1820"/>
      <c r="G75" s="1820"/>
      <c r="H75" s="1820"/>
      <c r="I75" s="1820"/>
      <c r="J75" s="1820"/>
      <c r="K75" s="417"/>
      <c r="L75" s="417"/>
      <c r="M75" s="1821"/>
      <c r="N75" s="2986"/>
      <c r="O75" s="2986"/>
      <c r="P75" s="2028"/>
      <c r="Q75" s="1792"/>
    </row>
    <row r="76" spans="1:17" ht="15.75" thickBot="1">
      <c r="A76" s="1824"/>
      <c r="B76" s="1825"/>
      <c r="C76" s="1826"/>
      <c r="D76" s="1826"/>
      <c r="E76" s="1826"/>
      <c r="F76" s="1826"/>
      <c r="G76" s="1826"/>
      <c r="H76" s="1826"/>
      <c r="I76" s="1826"/>
      <c r="J76" s="1826"/>
      <c r="K76" s="1826"/>
      <c r="L76" s="1826"/>
      <c r="M76" s="1827"/>
      <c r="N76" s="2987"/>
      <c r="O76" s="2987"/>
      <c r="P76" s="2028"/>
      <c r="Q76" s="1792"/>
    </row>
    <row r="77" spans="1:17" ht="27.75" thickTop="1">
      <c r="A77" s="1824"/>
      <c r="B77" s="1829" t="s">
        <v>2210</v>
      </c>
      <c r="C77" s="1830"/>
      <c r="D77" s="1830"/>
      <c r="E77" s="1830"/>
      <c r="F77" s="1830"/>
      <c r="G77" s="1830"/>
      <c r="H77" s="1830"/>
      <c r="I77" s="1830"/>
      <c r="J77" s="1830"/>
      <c r="K77" s="428"/>
      <c r="L77" s="428"/>
      <c r="M77" s="1831"/>
      <c r="N77" s="2986"/>
      <c r="O77" s="2986"/>
      <c r="P77" s="2028"/>
      <c r="Q77" s="1792"/>
    </row>
    <row r="78" spans="1:17" ht="15.75" thickBot="1">
      <c r="A78" s="1824"/>
      <c r="B78" s="1832"/>
      <c r="C78" s="1833"/>
      <c r="D78" s="1833"/>
      <c r="E78" s="1833"/>
      <c r="F78" s="1833"/>
      <c r="G78" s="1833"/>
      <c r="H78" s="1833"/>
      <c r="I78" s="1833"/>
      <c r="J78" s="1833"/>
      <c r="K78" s="1833"/>
      <c r="L78" s="1833"/>
      <c r="M78" s="1834"/>
      <c r="N78" s="2987"/>
      <c r="O78" s="2987"/>
      <c r="P78" s="2028"/>
      <c r="Q78" s="1792"/>
    </row>
    <row r="79" spans="1:17" ht="15.75" thickTop="1">
      <c r="A79" s="1824"/>
      <c r="B79" s="1835" t="s">
        <v>2211</v>
      </c>
      <c r="C79" s="1836" t="str">
        <f>C80&amp;"（含）"&amp;"-"&amp;D80</f>
        <v>（含）-</v>
      </c>
      <c r="D79" s="1836" t="str">
        <f t="shared" ref="D79:L79" si="20">D80&amp;"（含）"&amp;"-"&amp;E80</f>
        <v>（含）-</v>
      </c>
      <c r="E79" s="1836" t="str">
        <f t="shared" si="20"/>
        <v>（含）-</v>
      </c>
      <c r="F79" s="1836" t="str">
        <f t="shared" si="20"/>
        <v>（含）-</v>
      </c>
      <c r="G79" s="1836" t="str">
        <f t="shared" si="20"/>
        <v>（含）-</v>
      </c>
      <c r="H79" s="1836" t="str">
        <f t="shared" si="20"/>
        <v>（含）-</v>
      </c>
      <c r="I79" s="1836" t="str">
        <f t="shared" si="20"/>
        <v>（含）-</v>
      </c>
      <c r="J79" s="1836" t="str">
        <f t="shared" si="20"/>
        <v>（含）-</v>
      </c>
      <c r="K79" s="1836" t="str">
        <f t="shared" si="20"/>
        <v>（含）-</v>
      </c>
      <c r="L79" s="1836" t="str">
        <f t="shared" si="20"/>
        <v>（含）-</v>
      </c>
      <c r="M79" s="1702" t="str">
        <f>M80&amp;"（含）"&amp;"-"&amp;P80</f>
        <v>（含）-</v>
      </c>
      <c r="N79" s="2987"/>
      <c r="O79" s="2987"/>
      <c r="P79" s="2028"/>
      <c r="Q79" s="1792"/>
    </row>
    <row r="80" spans="1:17" ht="15">
      <c r="A80" s="1824"/>
      <c r="B80" s="1837"/>
      <c r="C80" s="1838"/>
      <c r="D80" s="1838"/>
      <c r="E80" s="1838"/>
      <c r="F80" s="1838"/>
      <c r="G80" s="1838"/>
      <c r="H80" s="1838"/>
      <c r="I80" s="1838"/>
      <c r="J80" s="1838"/>
      <c r="K80" s="438"/>
      <c r="L80" s="438"/>
      <c r="M80" s="1839"/>
      <c r="N80" s="2986"/>
      <c r="O80" s="2986"/>
      <c r="P80" s="2028"/>
      <c r="Q80" s="1792"/>
    </row>
    <row r="81" spans="1:17" ht="15.75" thickBot="1">
      <c r="A81" s="1824"/>
      <c r="B81" s="1825"/>
      <c r="C81" s="1833">
        <v>100</v>
      </c>
      <c r="D81" s="1833">
        <f t="shared" ref="D81:M81" si="21">IF($B$46="单位面积地价",C81+$K11,C81-$K11)</f>
        <v>100</v>
      </c>
      <c r="E81" s="1833">
        <f t="shared" si="21"/>
        <v>100</v>
      </c>
      <c r="F81" s="1833">
        <f t="shared" si="21"/>
        <v>100</v>
      </c>
      <c r="G81" s="1833">
        <f t="shared" si="21"/>
        <v>100</v>
      </c>
      <c r="H81" s="1833">
        <f t="shared" si="21"/>
        <v>100</v>
      </c>
      <c r="I81" s="1833">
        <f t="shared" si="21"/>
        <v>100</v>
      </c>
      <c r="J81" s="1833">
        <f t="shared" si="21"/>
        <v>100</v>
      </c>
      <c r="K81" s="1833">
        <f t="shared" si="21"/>
        <v>100</v>
      </c>
      <c r="L81" s="1833">
        <f t="shared" si="21"/>
        <v>100</v>
      </c>
      <c r="M81" s="1833">
        <f t="shared" si="21"/>
        <v>100</v>
      </c>
      <c r="N81" s="2987"/>
      <c r="O81" s="2987"/>
      <c r="P81" s="2028"/>
      <c r="Q81" s="1792"/>
    </row>
    <row r="82" spans="1:17" s="1742" customFormat="1" ht="15.75" thickTop="1">
      <c r="A82" s="1840"/>
      <c r="B82" s="1829" t="str">
        <f>B12</f>
        <v>配建</v>
      </c>
      <c r="C82" s="468"/>
      <c r="D82" s="468"/>
      <c r="E82" s="468"/>
      <c r="F82" s="468"/>
      <c r="G82" s="468"/>
      <c r="H82" s="443"/>
      <c r="I82" s="443"/>
      <c r="J82" s="443"/>
      <c r="K82" s="443"/>
      <c r="L82" s="443"/>
      <c r="M82" s="1841"/>
      <c r="N82" s="2988"/>
      <c r="O82" s="2988"/>
      <c r="P82" s="2029"/>
      <c r="Q82" s="1844"/>
    </row>
    <row r="83" spans="1:17" s="1742" customFormat="1" ht="15.75" thickBot="1">
      <c r="A83" s="1840"/>
      <c r="B83" s="1832"/>
      <c r="C83" s="1845"/>
      <c r="D83" s="1826"/>
      <c r="E83" s="1826"/>
      <c r="F83" s="1826"/>
      <c r="G83" s="1826"/>
      <c r="H83" s="1826"/>
      <c r="I83" s="1826"/>
      <c r="J83" s="1826"/>
      <c r="K83" s="1826"/>
      <c r="L83" s="1826"/>
      <c r="M83" s="1827"/>
      <c r="N83" s="2987"/>
      <c r="O83" s="2987"/>
      <c r="P83" s="2029"/>
      <c r="Q83" s="1844"/>
    </row>
    <row r="84" spans="1:17" s="1742" customFormat="1" ht="15.75" thickTop="1">
      <c r="A84" s="1840"/>
      <c r="B84" s="1829">
        <f>B13</f>
        <v>111</v>
      </c>
      <c r="C84" s="468"/>
      <c r="D84" s="468"/>
      <c r="E84" s="468"/>
      <c r="F84" s="468"/>
      <c r="G84" s="468"/>
      <c r="H84" s="443"/>
      <c r="I84" s="443"/>
      <c r="J84" s="443"/>
      <c r="K84" s="443"/>
      <c r="L84" s="443"/>
      <c r="M84" s="1841"/>
      <c r="N84" s="2988"/>
      <c r="O84" s="2988"/>
      <c r="P84" s="2030"/>
      <c r="Q84" s="1847"/>
    </row>
    <row r="85" spans="1:17" s="1742" customFormat="1" ht="15.75" thickBot="1">
      <c r="A85" s="1840"/>
      <c r="B85" s="1832"/>
      <c r="C85" s="1845"/>
      <c r="D85" s="1845"/>
      <c r="E85" s="1845"/>
      <c r="F85" s="1845"/>
      <c r="G85" s="1845"/>
      <c r="H85" s="1848"/>
      <c r="I85" s="1848"/>
      <c r="J85" s="1848"/>
      <c r="K85" s="1848"/>
      <c r="L85" s="1848"/>
      <c r="M85" s="1849"/>
      <c r="N85" s="2988"/>
      <c r="O85" s="2988"/>
      <c r="P85" s="2029"/>
      <c r="Q85" s="1844"/>
    </row>
    <row r="86" spans="1:17" s="1742" customFormat="1" ht="15.75" thickTop="1">
      <c r="A86" s="1840"/>
      <c r="B86" s="1835">
        <f>B14</f>
        <v>111</v>
      </c>
      <c r="C86" s="409"/>
      <c r="D86" s="409"/>
      <c r="E86" s="409"/>
      <c r="F86" s="409"/>
      <c r="G86" s="409"/>
      <c r="H86" s="453"/>
      <c r="I86" s="453"/>
      <c r="J86" s="453"/>
      <c r="K86" s="453"/>
      <c r="L86" s="453"/>
      <c r="M86" s="1850"/>
      <c r="N86" s="2988"/>
      <c r="O86" s="2988"/>
      <c r="P86" s="2029"/>
      <c r="Q86" s="1844"/>
    </row>
    <row r="87" spans="1:17" s="1742" customFormat="1" ht="15.75" thickBot="1">
      <c r="A87" s="1851"/>
      <c r="B87" s="1852"/>
      <c r="C87" s="1853"/>
      <c r="D87" s="1853"/>
      <c r="E87" s="1853"/>
      <c r="F87" s="1853"/>
      <c r="G87" s="1853"/>
      <c r="H87" s="1854"/>
      <c r="I87" s="1854"/>
      <c r="J87" s="1854"/>
      <c r="K87" s="1854"/>
      <c r="L87" s="1854"/>
      <c r="M87" s="1855"/>
      <c r="N87" s="2988"/>
      <c r="O87" s="2988"/>
      <c r="P87" s="2029"/>
      <c r="Q87" s="1844"/>
    </row>
    <row r="88" spans="1:17">
      <c r="A88" s="1817" t="s">
        <v>2212</v>
      </c>
      <c r="B88" s="1818" t="s">
        <v>2250</v>
      </c>
      <c r="C88" s="1856" t="s">
        <v>2251</v>
      </c>
      <c r="D88" s="1856" t="s">
        <v>2252</v>
      </c>
      <c r="E88" s="1856" t="s">
        <v>2253</v>
      </c>
      <c r="F88" s="1856" t="s">
        <v>2254</v>
      </c>
      <c r="G88" s="1856" t="s">
        <v>2255</v>
      </c>
      <c r="H88" s="1819"/>
      <c r="I88" s="1819"/>
      <c r="J88" s="1819"/>
      <c r="K88" s="463"/>
      <c r="L88" s="463"/>
      <c r="M88" s="1857"/>
      <c r="N88" s="2986"/>
      <c r="O88" s="2986"/>
      <c r="P88" s="2028"/>
      <c r="Q88" s="1792"/>
    </row>
    <row r="89" spans="1:17" ht="15.75" thickBot="1">
      <c r="A89" s="1824"/>
      <c r="B89" s="1832"/>
      <c r="C89" s="1833">
        <v>100</v>
      </c>
      <c r="D89" s="1833">
        <f>C89-$K15</f>
        <v>100</v>
      </c>
      <c r="E89" s="1833">
        <f>D89-$K15</f>
        <v>100</v>
      </c>
      <c r="F89" s="1833">
        <f>E89-$K15</f>
        <v>100</v>
      </c>
      <c r="G89" s="1833">
        <f>F89-$K15</f>
        <v>100</v>
      </c>
      <c r="H89" s="1833"/>
      <c r="I89" s="1833"/>
      <c r="J89" s="1833"/>
      <c r="K89" s="1833"/>
      <c r="L89" s="1833"/>
      <c r="M89" s="1834"/>
      <c r="N89" s="2987"/>
      <c r="O89" s="2987"/>
      <c r="P89" s="2028"/>
      <c r="Q89" s="1792"/>
    </row>
    <row r="90" spans="1:17" ht="15.75" thickTop="1">
      <c r="A90" s="1824"/>
      <c r="B90" s="1829" t="s">
        <v>2420</v>
      </c>
      <c r="C90" s="579" t="s">
        <v>2251</v>
      </c>
      <c r="D90" s="579" t="s">
        <v>2252</v>
      </c>
      <c r="E90" s="579" t="s">
        <v>2253</v>
      </c>
      <c r="F90" s="579" t="s">
        <v>2254</v>
      </c>
      <c r="G90" s="579" t="s">
        <v>2255</v>
      </c>
      <c r="H90" s="1830"/>
      <c r="I90" s="1830"/>
      <c r="J90" s="1830"/>
      <c r="K90" s="428"/>
      <c r="L90" s="428"/>
      <c r="M90" s="1831"/>
      <c r="N90" s="2986"/>
      <c r="O90" s="2986"/>
      <c r="P90" s="2028"/>
      <c r="Q90" s="1792"/>
    </row>
    <row r="91" spans="1:17" ht="15.75" thickBot="1">
      <c r="A91" s="1824"/>
      <c r="B91" s="1832"/>
      <c r="C91" s="1833">
        <v>100</v>
      </c>
      <c r="D91" s="1833">
        <f>C91-$K17</f>
        <v>100</v>
      </c>
      <c r="E91" s="1833">
        <f>D91-$K17</f>
        <v>100</v>
      </c>
      <c r="F91" s="1833">
        <f>E91-$K17</f>
        <v>100</v>
      </c>
      <c r="G91" s="1833">
        <f>F91-$K17</f>
        <v>100</v>
      </c>
      <c r="H91" s="1833"/>
      <c r="I91" s="1833"/>
      <c r="J91" s="1833"/>
      <c r="K91" s="1833"/>
      <c r="L91" s="1833"/>
      <c r="M91" s="1834"/>
      <c r="N91" s="2987"/>
      <c r="O91" s="2987"/>
      <c r="P91" s="2028"/>
      <c r="Q91" s="1792"/>
    </row>
    <row r="92" spans="1:17" ht="15.75" thickTop="1">
      <c r="A92" s="1824"/>
      <c r="B92" s="1829" t="s">
        <v>2338</v>
      </c>
      <c r="C92" s="579" t="s">
        <v>2251</v>
      </c>
      <c r="D92" s="579" t="s">
        <v>2252</v>
      </c>
      <c r="E92" s="579" t="s">
        <v>2253</v>
      </c>
      <c r="F92" s="579" t="s">
        <v>2254</v>
      </c>
      <c r="G92" s="579" t="s">
        <v>2255</v>
      </c>
      <c r="H92" s="1830"/>
      <c r="I92" s="1830"/>
      <c r="J92" s="1830"/>
      <c r="K92" s="428"/>
      <c r="L92" s="428"/>
      <c r="M92" s="1831"/>
      <c r="N92" s="2986"/>
      <c r="O92" s="2986"/>
      <c r="P92" s="2028"/>
      <c r="Q92" s="1792"/>
    </row>
    <row r="93" spans="1:17" ht="15.75" thickBot="1">
      <c r="A93" s="1824"/>
      <c r="B93" s="1832"/>
      <c r="C93" s="1833">
        <v>100</v>
      </c>
      <c r="D93" s="1833">
        <f>C93-$K19</f>
        <v>100</v>
      </c>
      <c r="E93" s="1833">
        <f>D93-$K19</f>
        <v>100</v>
      </c>
      <c r="F93" s="1833">
        <f>E93-$K19</f>
        <v>100</v>
      </c>
      <c r="G93" s="1833">
        <f>F93-$K19</f>
        <v>100</v>
      </c>
      <c r="H93" s="1833"/>
      <c r="I93" s="1833"/>
      <c r="J93" s="1833"/>
      <c r="K93" s="1833"/>
      <c r="L93" s="1833"/>
      <c r="M93" s="1834"/>
      <c r="N93" s="2987"/>
      <c r="O93" s="2987"/>
      <c r="P93" s="2028"/>
      <c r="Q93" s="1792"/>
    </row>
    <row r="94" spans="1:17" ht="15.75" thickTop="1">
      <c r="A94" s="1824"/>
      <c r="B94" s="1829" t="s">
        <v>2256</v>
      </c>
      <c r="C94" s="579" t="s">
        <v>2251</v>
      </c>
      <c r="D94" s="579" t="s">
        <v>2252</v>
      </c>
      <c r="E94" s="579" t="s">
        <v>2253</v>
      </c>
      <c r="F94" s="579" t="s">
        <v>2254</v>
      </c>
      <c r="G94" s="579" t="s">
        <v>2255</v>
      </c>
      <c r="H94" s="1830"/>
      <c r="I94" s="1830"/>
      <c r="J94" s="1830"/>
      <c r="K94" s="428"/>
      <c r="L94" s="428"/>
      <c r="M94" s="1831"/>
      <c r="N94" s="2986"/>
      <c r="O94" s="2986"/>
      <c r="P94" s="2028"/>
      <c r="Q94" s="1792"/>
    </row>
    <row r="95" spans="1:17" ht="15.75" thickBot="1">
      <c r="A95" s="1824"/>
      <c r="B95" s="1832"/>
      <c r="C95" s="1833">
        <v>100</v>
      </c>
      <c r="D95" s="1833">
        <f>C95-$K21</f>
        <v>100</v>
      </c>
      <c r="E95" s="1833">
        <f>D95-$K21</f>
        <v>100</v>
      </c>
      <c r="F95" s="1833">
        <f>E95-$K21</f>
        <v>100</v>
      </c>
      <c r="G95" s="1833">
        <f>F95-$K21</f>
        <v>100</v>
      </c>
      <c r="H95" s="1833"/>
      <c r="I95" s="1833"/>
      <c r="J95" s="1833"/>
      <c r="K95" s="1833"/>
      <c r="L95" s="1833"/>
      <c r="M95" s="1834"/>
      <c r="N95" s="2987"/>
      <c r="O95" s="2987"/>
      <c r="P95" s="2028"/>
      <c r="Q95" s="1792"/>
    </row>
    <row r="96" spans="1:17" s="1655" customFormat="1" ht="15.75" thickTop="1">
      <c r="A96" s="1860"/>
      <c r="B96" s="1829" t="s">
        <v>2421</v>
      </c>
      <c r="C96" s="579" t="s">
        <v>2251</v>
      </c>
      <c r="D96" s="579" t="s">
        <v>2252</v>
      </c>
      <c r="E96" s="579" t="s">
        <v>2253</v>
      </c>
      <c r="F96" s="579" t="s">
        <v>2254</v>
      </c>
      <c r="G96" s="579" t="s">
        <v>2255</v>
      </c>
      <c r="H96" s="579"/>
      <c r="I96" s="579"/>
      <c r="J96" s="579"/>
      <c r="K96" s="579"/>
      <c r="L96" s="579"/>
      <c r="M96" s="2031"/>
      <c r="N96" s="2985"/>
      <c r="O96" s="2985"/>
      <c r="P96" s="2028"/>
      <c r="Q96" s="1792"/>
    </row>
    <row r="97" spans="1:17" s="1655" customFormat="1" ht="15.75" thickBot="1">
      <c r="A97" s="1860"/>
      <c r="B97" s="1832"/>
      <c r="C97" s="1862">
        <v>100</v>
      </c>
      <c r="D97" s="1833">
        <f>C97-$K23</f>
        <v>100</v>
      </c>
      <c r="E97" s="1833">
        <f>D97-$K23</f>
        <v>100</v>
      </c>
      <c r="F97" s="1833">
        <f>E97-$K23</f>
        <v>100</v>
      </c>
      <c r="G97" s="1833">
        <f>F97-$K23</f>
        <v>100</v>
      </c>
      <c r="H97" s="1833"/>
      <c r="I97" s="1833"/>
      <c r="J97" s="1833"/>
      <c r="K97" s="1833"/>
      <c r="L97" s="1833"/>
      <c r="M97" s="1834"/>
      <c r="N97" s="2987"/>
      <c r="O97" s="2987"/>
      <c r="P97" s="2028"/>
      <c r="Q97" s="1792"/>
    </row>
    <row r="98" spans="1:17" s="1655" customFormat="1" ht="27.75" thickTop="1">
      <c r="A98" s="1860"/>
      <c r="B98" s="1829" t="s">
        <v>2422</v>
      </c>
      <c r="C98" s="1856" t="s">
        <v>2251</v>
      </c>
      <c r="D98" s="1856" t="s">
        <v>2252</v>
      </c>
      <c r="E98" s="1856" t="s">
        <v>2253</v>
      </c>
      <c r="F98" s="1856" t="s">
        <v>2254</v>
      </c>
      <c r="G98" s="1856" t="s">
        <v>2255</v>
      </c>
      <c r="H98" s="579"/>
      <c r="I98" s="579"/>
      <c r="J98" s="579"/>
      <c r="K98" s="579"/>
      <c r="L98" s="579"/>
      <c r="M98" s="2031"/>
      <c r="N98" s="2985"/>
      <c r="O98" s="2985"/>
      <c r="P98" s="2028"/>
      <c r="Q98" s="1792"/>
    </row>
    <row r="99" spans="1:17" s="1655" customFormat="1" ht="15.75" thickBot="1">
      <c r="A99" s="1860"/>
      <c r="B99" s="1832"/>
      <c r="C99" s="1833">
        <v>100</v>
      </c>
      <c r="D99" s="1833">
        <f>C99-$K25</f>
        <v>100</v>
      </c>
      <c r="E99" s="1833">
        <f>D99-$K25</f>
        <v>100</v>
      </c>
      <c r="F99" s="1833">
        <f>E99-$K25</f>
        <v>100</v>
      </c>
      <c r="G99" s="1833">
        <f>F99-$K25</f>
        <v>100</v>
      </c>
      <c r="H99" s="1833"/>
      <c r="I99" s="1833"/>
      <c r="J99" s="1833"/>
      <c r="K99" s="1833"/>
      <c r="L99" s="1833"/>
      <c r="M99" s="1834"/>
      <c r="N99" s="2987"/>
      <c r="O99" s="2987"/>
      <c r="P99" s="2028"/>
      <c r="Q99" s="1792"/>
    </row>
    <row r="100" spans="1:17" s="1655" customFormat="1" ht="15.75" thickTop="1">
      <c r="A100" s="1860"/>
      <c r="B100" s="1835" t="s">
        <v>2299</v>
      </c>
      <c r="C100" s="1856" t="s">
        <v>2251</v>
      </c>
      <c r="D100" s="1856" t="s">
        <v>2252</v>
      </c>
      <c r="E100" s="1856" t="s">
        <v>2253</v>
      </c>
      <c r="F100" s="1856" t="s">
        <v>2254</v>
      </c>
      <c r="G100" s="1856" t="s">
        <v>2255</v>
      </c>
      <c r="H100" s="1830"/>
      <c r="I100" s="1830"/>
      <c r="J100" s="1830"/>
      <c r="K100" s="1830"/>
      <c r="L100" s="1830"/>
      <c r="M100" s="1858"/>
      <c r="N100" s="2987"/>
      <c r="O100" s="2987"/>
      <c r="P100" s="2028"/>
      <c r="Q100" s="1792"/>
    </row>
    <row r="101" spans="1:17" s="1655" customFormat="1" ht="15.75" thickBot="1">
      <c r="A101" s="1860"/>
      <c r="B101" s="1835"/>
      <c r="C101" s="1833">
        <v>100</v>
      </c>
      <c r="D101" s="1833">
        <f>C101-$K27</f>
        <v>100</v>
      </c>
      <c r="E101" s="1833">
        <f>D101-$K27</f>
        <v>100</v>
      </c>
      <c r="F101" s="1833">
        <f>E101-$K27</f>
        <v>100</v>
      </c>
      <c r="G101" s="1833">
        <f>F101-$K27</f>
        <v>100</v>
      </c>
      <c r="H101" s="1859"/>
      <c r="I101" s="1859"/>
      <c r="J101" s="1859"/>
      <c r="K101" s="1859"/>
      <c r="L101" s="1859"/>
      <c r="M101" s="1706"/>
      <c r="N101" s="2987"/>
      <c r="O101" s="2987"/>
      <c r="P101" s="2028"/>
      <c r="Q101" s="1792"/>
    </row>
    <row r="102" spans="1:17" s="1742" customFormat="1" ht="15.75" thickTop="1">
      <c r="A102" s="1840"/>
      <c r="B102" s="1829" t="s">
        <v>2300</v>
      </c>
      <c r="C102" s="1830" t="s">
        <v>2258</v>
      </c>
      <c r="D102" s="1830" t="s">
        <v>2259</v>
      </c>
      <c r="E102" s="1830" t="s">
        <v>2260</v>
      </c>
      <c r="F102" s="1830" t="s">
        <v>2261</v>
      </c>
      <c r="G102" s="1830" t="s">
        <v>2262</v>
      </c>
      <c r="H102" s="489"/>
      <c r="I102" s="489"/>
      <c r="J102" s="489"/>
      <c r="K102" s="489"/>
      <c r="L102" s="489"/>
      <c r="M102" s="1875"/>
      <c r="N102" s="2988"/>
      <c r="O102" s="2988"/>
      <c r="P102" s="2029"/>
      <c r="Q102" s="1844"/>
    </row>
    <row r="103" spans="1:17" s="1742" customFormat="1" ht="15.75" thickBot="1">
      <c r="A103" s="1840"/>
      <c r="B103" s="1832"/>
      <c r="C103" s="1833">
        <v>100</v>
      </c>
      <c r="D103" s="1833">
        <f>C103-$K29</f>
        <v>100</v>
      </c>
      <c r="E103" s="1833">
        <f>D103-$K29</f>
        <v>100</v>
      </c>
      <c r="F103" s="1833">
        <f>E103-$K29</f>
        <v>100</v>
      </c>
      <c r="G103" s="1833">
        <f>F103-$K29</f>
        <v>100</v>
      </c>
      <c r="H103" s="1878"/>
      <c r="I103" s="1878"/>
      <c r="J103" s="1878"/>
      <c r="K103" s="1878"/>
      <c r="L103" s="1878"/>
      <c r="M103" s="1879"/>
      <c r="N103" s="2988"/>
      <c r="O103" s="2988"/>
      <c r="P103" s="2029"/>
      <c r="Q103" s="1844"/>
    </row>
    <row r="104" spans="1:17" ht="15.75" thickTop="1">
      <c r="A104" s="1824"/>
      <c r="B104" s="1829" t="str">
        <f>B31</f>
        <v>临街状况</v>
      </c>
      <c r="C104" s="1830" t="s">
        <v>2423</v>
      </c>
      <c r="D104" s="1830" t="s">
        <v>2424</v>
      </c>
      <c r="E104" s="1830" t="s">
        <v>2425</v>
      </c>
      <c r="F104" s="1830" t="s">
        <v>2426</v>
      </c>
      <c r="G104" s="1830"/>
      <c r="H104" s="1830"/>
      <c r="I104" s="1830"/>
      <c r="J104" s="1830"/>
      <c r="K104" s="428"/>
      <c r="L104" s="428"/>
      <c r="M104" s="1831"/>
      <c r="N104" s="2986"/>
      <c r="O104" s="2986"/>
      <c r="P104" s="2028"/>
      <c r="Q104" s="1792"/>
    </row>
    <row r="105" spans="1:17" ht="15.75" thickBot="1">
      <c r="A105" s="1824"/>
      <c r="B105" s="1832"/>
      <c r="C105" s="1833">
        <v>100</v>
      </c>
      <c r="D105" s="1833">
        <f>C105-$K31</f>
        <v>100</v>
      </c>
      <c r="E105" s="1833">
        <f t="shared" ref="E105:M105" si="22">D105-$K31</f>
        <v>100</v>
      </c>
      <c r="F105" s="1833">
        <f t="shared" si="22"/>
        <v>100</v>
      </c>
      <c r="G105" s="1833">
        <f t="shared" si="22"/>
        <v>100</v>
      </c>
      <c r="H105" s="1833">
        <f t="shared" si="22"/>
        <v>100</v>
      </c>
      <c r="I105" s="1833">
        <f t="shared" si="22"/>
        <v>100</v>
      </c>
      <c r="J105" s="1833">
        <f t="shared" si="22"/>
        <v>100</v>
      </c>
      <c r="K105" s="1833">
        <f t="shared" si="22"/>
        <v>100</v>
      </c>
      <c r="L105" s="1833">
        <f t="shared" si="22"/>
        <v>100</v>
      </c>
      <c r="M105" s="1833">
        <f t="shared" si="22"/>
        <v>100</v>
      </c>
      <c r="N105" s="2987"/>
      <c r="O105" s="2987"/>
      <c r="P105" s="2028"/>
      <c r="Q105" s="1792"/>
    </row>
    <row r="106" spans="1:17" ht="27.75" thickTop="1">
      <c r="A106" s="1824"/>
      <c r="B106" s="1829" t="s">
        <v>2331</v>
      </c>
      <c r="C106" s="468"/>
      <c r="D106" s="468"/>
      <c r="E106" s="468"/>
      <c r="F106" s="468"/>
      <c r="G106" s="468"/>
      <c r="H106" s="1548"/>
      <c r="I106" s="1548"/>
      <c r="J106" s="1548"/>
      <c r="K106" s="473"/>
      <c r="L106" s="473"/>
      <c r="M106" s="1864"/>
      <c r="N106" s="2986"/>
      <c r="O106" s="2986"/>
      <c r="P106" s="2028"/>
      <c r="Q106" s="1792"/>
    </row>
    <row r="107" spans="1:17" ht="15.75" thickBot="1">
      <c r="A107" s="1824"/>
      <c r="B107" s="1832"/>
      <c r="C107" s="1833">
        <v>100</v>
      </c>
      <c r="D107" s="1833">
        <f>C107-$K32</f>
        <v>100</v>
      </c>
      <c r="E107" s="1833">
        <f t="shared" ref="E107:M107" si="23">D107-$K32</f>
        <v>100</v>
      </c>
      <c r="F107" s="1833">
        <f t="shared" si="23"/>
        <v>100</v>
      </c>
      <c r="G107" s="1833">
        <f t="shared" si="23"/>
        <v>100</v>
      </c>
      <c r="H107" s="1833">
        <f t="shared" si="23"/>
        <v>100</v>
      </c>
      <c r="I107" s="1833">
        <f t="shared" si="23"/>
        <v>100</v>
      </c>
      <c r="J107" s="1833">
        <f t="shared" si="23"/>
        <v>100</v>
      </c>
      <c r="K107" s="1833">
        <f t="shared" si="23"/>
        <v>100</v>
      </c>
      <c r="L107" s="1833">
        <f t="shared" si="23"/>
        <v>100</v>
      </c>
      <c r="M107" s="1833">
        <f t="shared" si="23"/>
        <v>100</v>
      </c>
      <c r="N107" s="2987"/>
      <c r="O107" s="2987"/>
      <c r="P107" s="2028"/>
      <c r="Q107" s="1792"/>
    </row>
    <row r="108" spans="1:17" ht="15.75" thickTop="1">
      <c r="A108" s="1824"/>
      <c r="B108" s="1829" t="s">
        <v>2392</v>
      </c>
      <c r="C108" s="1548"/>
      <c r="D108" s="1548"/>
      <c r="E108" s="1548"/>
      <c r="F108" s="1548"/>
      <c r="G108" s="1548"/>
      <c r="H108" s="1548"/>
      <c r="I108" s="1548"/>
      <c r="J108" s="1548"/>
      <c r="K108" s="473"/>
      <c r="L108" s="473"/>
      <c r="M108" s="1864"/>
      <c r="N108" s="2986"/>
      <c r="O108" s="2986"/>
      <c r="P108" s="2028"/>
      <c r="Q108" s="1792"/>
    </row>
    <row r="109" spans="1:17" ht="15.75" thickBot="1">
      <c r="A109" s="1824"/>
      <c r="B109" s="1832"/>
      <c r="C109" s="1833">
        <v>100</v>
      </c>
      <c r="D109" s="1833">
        <f>C109-$K34</f>
        <v>100</v>
      </c>
      <c r="E109" s="1833">
        <f t="shared" ref="E109:M109" si="24">D109-$K34</f>
        <v>100</v>
      </c>
      <c r="F109" s="1833">
        <f t="shared" si="24"/>
        <v>100</v>
      </c>
      <c r="G109" s="1833">
        <f t="shared" si="24"/>
        <v>100</v>
      </c>
      <c r="H109" s="1833">
        <f t="shared" si="24"/>
        <v>100</v>
      </c>
      <c r="I109" s="1833">
        <f t="shared" si="24"/>
        <v>100</v>
      </c>
      <c r="J109" s="1833">
        <f t="shared" si="24"/>
        <v>100</v>
      </c>
      <c r="K109" s="1833">
        <f t="shared" si="24"/>
        <v>100</v>
      </c>
      <c r="L109" s="1833">
        <f t="shared" si="24"/>
        <v>100</v>
      </c>
      <c r="M109" s="1833">
        <f t="shared" si="24"/>
        <v>100</v>
      </c>
      <c r="N109" s="2987"/>
      <c r="O109" s="2987"/>
      <c r="P109" s="2028"/>
      <c r="Q109" s="1792"/>
    </row>
    <row r="110" spans="1:17" ht="15.75" thickTop="1">
      <c r="A110" s="1824"/>
      <c r="B110" s="1835">
        <f>B35</f>
        <v>111</v>
      </c>
      <c r="C110" s="468"/>
      <c r="D110" s="468"/>
      <c r="E110" s="468"/>
      <c r="F110" s="468"/>
      <c r="G110" s="1865"/>
      <c r="H110" s="1865"/>
      <c r="I110" s="1865"/>
      <c r="J110" s="1865"/>
      <c r="K110" s="477"/>
      <c r="L110" s="477"/>
      <c r="M110" s="1866"/>
      <c r="N110" s="2986"/>
      <c r="O110" s="2986"/>
      <c r="P110" s="2028"/>
      <c r="Q110" s="1792"/>
    </row>
    <row r="111" spans="1:17" ht="15.75" thickBot="1">
      <c r="A111" s="1824"/>
      <c r="B111" s="1852"/>
      <c r="C111" s="1845"/>
      <c r="D111" s="1845"/>
      <c r="E111" s="1845"/>
      <c r="F111" s="1845"/>
      <c r="G111" s="1868"/>
      <c r="H111" s="1868"/>
      <c r="I111" s="1868"/>
      <c r="J111" s="1868"/>
      <c r="K111" s="1868"/>
      <c r="L111" s="1868"/>
      <c r="M111" s="1869"/>
      <c r="N111" s="2987"/>
      <c r="O111" s="2987"/>
      <c r="P111" s="2028"/>
      <c r="Q111" s="1792"/>
    </row>
    <row r="112" spans="1:17" ht="15" thickTop="1">
      <c r="A112" s="1965"/>
      <c r="B112" s="1829">
        <f>B36</f>
        <v>111</v>
      </c>
      <c r="C112" s="409"/>
      <c r="D112" s="409"/>
      <c r="E112" s="409"/>
      <c r="F112" s="409"/>
      <c r="G112" s="1548"/>
      <c r="H112" s="1548"/>
      <c r="I112" s="1548"/>
      <c r="J112" s="1548"/>
      <c r="K112" s="473"/>
      <c r="L112" s="473"/>
      <c r="M112" s="1864"/>
      <c r="N112" s="2986"/>
      <c r="O112" s="2986"/>
      <c r="P112" s="2028"/>
      <c r="Q112" s="1792"/>
    </row>
    <row r="113" spans="1:17" ht="15.75" thickBot="1">
      <c r="A113" s="1824"/>
      <c r="B113" s="1832"/>
      <c r="C113" s="1853"/>
      <c r="D113" s="1853"/>
      <c r="E113" s="1853"/>
      <c r="F113" s="1853"/>
      <c r="G113" s="1826"/>
      <c r="H113" s="1826"/>
      <c r="I113" s="1826"/>
      <c r="J113" s="1826"/>
      <c r="K113" s="1826"/>
      <c r="L113" s="1826"/>
      <c r="M113" s="1827"/>
      <c r="N113" s="2987"/>
      <c r="O113" s="2987"/>
      <c r="P113" s="2028"/>
      <c r="Q113" s="1792"/>
    </row>
    <row r="114" spans="1:17" s="1742" customFormat="1" ht="15" thickTop="1">
      <c r="A114" s="1870"/>
      <c r="B114" s="1871">
        <f>B37</f>
        <v>111</v>
      </c>
      <c r="C114" s="1872"/>
      <c r="D114" s="1872"/>
      <c r="E114" s="1872"/>
      <c r="F114" s="1872"/>
      <c r="G114" s="1872"/>
      <c r="H114" s="1872"/>
      <c r="I114" s="1872"/>
      <c r="J114" s="485"/>
      <c r="K114" s="485"/>
      <c r="L114" s="485"/>
      <c r="M114" s="1873"/>
      <c r="N114" s="2988"/>
      <c r="O114" s="2988"/>
      <c r="P114" s="2029"/>
      <c r="Q114" s="1844"/>
    </row>
    <row r="115" spans="1:17" s="1742" customFormat="1" ht="15.75" thickBot="1">
      <c r="A115" s="1840"/>
      <c r="B115" s="1835"/>
      <c r="C115" s="1802"/>
      <c r="D115" s="2032"/>
      <c r="E115" s="2032"/>
      <c r="F115" s="2032"/>
      <c r="G115" s="2032"/>
      <c r="H115" s="2032"/>
      <c r="I115" s="2032"/>
      <c r="J115" s="2032"/>
      <c r="K115" s="2032"/>
      <c r="L115" s="2032"/>
      <c r="M115" s="2033"/>
      <c r="N115" s="2987"/>
      <c r="O115" s="2987"/>
      <c r="P115" s="2029"/>
      <c r="Q115" s="1844"/>
    </row>
    <row r="116" spans="1:17">
      <c r="A116" s="1817" t="s">
        <v>2217</v>
      </c>
      <c r="B116" s="1818" t="s">
        <v>2427</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4" t="str">
        <f>M117&amp;"(含)"&amp;"-"&amp;P117</f>
        <v>(含)-</v>
      </c>
      <c r="N116" s="2986"/>
      <c r="O116" s="2986"/>
      <c r="P116" s="2028"/>
      <c r="Q116" s="1792"/>
    </row>
    <row r="117" spans="1:17" ht="15">
      <c r="A117" s="1824"/>
      <c r="B117" s="1835"/>
      <c r="C117" s="1872"/>
      <c r="D117" s="1872"/>
      <c r="E117" s="1872"/>
      <c r="F117" s="1872"/>
      <c r="G117" s="1872"/>
      <c r="H117" s="1872"/>
      <c r="I117" s="1872"/>
      <c r="J117" s="485"/>
      <c r="K117" s="485"/>
      <c r="L117" s="485"/>
      <c r="M117" s="1873"/>
      <c r="N117" s="2986"/>
      <c r="O117" s="2986"/>
      <c r="P117" s="2028"/>
      <c r="Q117" s="1792"/>
    </row>
    <row r="118" spans="1:17" ht="15.75" thickBot="1">
      <c r="A118" s="1824"/>
      <c r="B118" s="1832"/>
      <c r="C118" s="1853"/>
      <c r="D118" s="1868"/>
      <c r="E118" s="1868"/>
      <c r="F118" s="1868"/>
      <c r="G118" s="1868"/>
      <c r="H118" s="1868"/>
      <c r="I118" s="1868"/>
      <c r="J118" s="1868"/>
      <c r="K118" s="1868"/>
      <c r="L118" s="1868"/>
      <c r="M118" s="1869"/>
      <c r="N118" s="2987"/>
      <c r="O118" s="2987"/>
      <c r="P118" s="2028"/>
      <c r="Q118" s="1792"/>
    </row>
    <row r="119" spans="1:17" ht="15" thickTop="1">
      <c r="A119" s="1874"/>
      <c r="B119" s="1829" t="s">
        <v>2428</v>
      </c>
      <c r="C119" s="1548"/>
      <c r="D119" s="1548"/>
      <c r="E119" s="1548"/>
      <c r="F119" s="1548"/>
      <c r="G119" s="1548"/>
      <c r="H119" s="1548"/>
      <c r="I119" s="1548"/>
      <c r="J119" s="1548"/>
      <c r="K119" s="473"/>
      <c r="L119" s="473"/>
      <c r="M119" s="1864"/>
      <c r="N119" s="2986"/>
      <c r="O119" s="2986"/>
      <c r="P119" s="2028"/>
      <c r="Q119" s="1792"/>
    </row>
    <row r="120" spans="1:17" ht="15.75" thickBot="1">
      <c r="A120" s="1824"/>
      <c r="B120" s="1832"/>
      <c r="C120" s="1833">
        <v>100</v>
      </c>
      <c r="D120" s="1833">
        <f t="shared" ref="D120:M120" si="26">C120-$K39</f>
        <v>100</v>
      </c>
      <c r="E120" s="1833">
        <f t="shared" si="26"/>
        <v>100</v>
      </c>
      <c r="F120" s="1833">
        <f t="shared" si="26"/>
        <v>100</v>
      </c>
      <c r="G120" s="1833">
        <f t="shared" si="26"/>
        <v>100</v>
      </c>
      <c r="H120" s="1833">
        <f t="shared" si="26"/>
        <v>100</v>
      </c>
      <c r="I120" s="1833">
        <f t="shared" si="26"/>
        <v>100</v>
      </c>
      <c r="J120" s="1833">
        <f t="shared" si="26"/>
        <v>100</v>
      </c>
      <c r="K120" s="1833">
        <f t="shared" si="26"/>
        <v>100</v>
      </c>
      <c r="L120" s="1833">
        <f t="shared" si="26"/>
        <v>100</v>
      </c>
      <c r="M120" s="1834">
        <f t="shared" si="26"/>
        <v>100</v>
      </c>
      <c r="N120" s="2987"/>
      <c r="O120" s="2987"/>
      <c r="P120" s="2028"/>
      <c r="Q120" s="1792"/>
    </row>
    <row r="121" spans="1:17" ht="15" thickTop="1">
      <c r="A121" s="1874"/>
      <c r="B121" s="1829" t="s">
        <v>2429</v>
      </c>
      <c r="C121" s="468"/>
      <c r="D121" s="468"/>
      <c r="E121" s="468"/>
      <c r="F121" s="1548"/>
      <c r="G121" s="1548"/>
      <c r="H121" s="1548"/>
      <c r="I121" s="1548"/>
      <c r="J121" s="1548"/>
      <c r="K121" s="473"/>
      <c r="L121" s="473"/>
      <c r="M121" s="1864"/>
      <c r="N121" s="2986"/>
      <c r="O121" s="2986"/>
      <c r="P121" s="2028"/>
      <c r="Q121" s="1792"/>
    </row>
    <row r="122" spans="1:17" ht="15.75" thickBot="1">
      <c r="A122" s="1824"/>
      <c r="B122" s="1832"/>
      <c r="C122" s="1833">
        <v>100</v>
      </c>
      <c r="D122" s="1833">
        <f t="shared" ref="D122:M122" si="27">C122-$K40</f>
        <v>100</v>
      </c>
      <c r="E122" s="1833">
        <f t="shared" si="27"/>
        <v>100</v>
      </c>
      <c r="F122" s="1833">
        <f t="shared" si="27"/>
        <v>100</v>
      </c>
      <c r="G122" s="1833">
        <f t="shared" si="27"/>
        <v>100</v>
      </c>
      <c r="H122" s="1833">
        <f t="shared" si="27"/>
        <v>100</v>
      </c>
      <c r="I122" s="1833">
        <f t="shared" si="27"/>
        <v>100</v>
      </c>
      <c r="J122" s="1833">
        <f t="shared" si="27"/>
        <v>100</v>
      </c>
      <c r="K122" s="1833">
        <f t="shared" si="27"/>
        <v>100</v>
      </c>
      <c r="L122" s="1833">
        <f t="shared" si="27"/>
        <v>100</v>
      </c>
      <c r="M122" s="1834">
        <f t="shared" si="27"/>
        <v>100</v>
      </c>
      <c r="N122" s="2987"/>
      <c r="O122" s="2987"/>
      <c r="P122" s="2028"/>
      <c r="Q122" s="1792"/>
    </row>
    <row r="123" spans="1:17" s="1742" customFormat="1" ht="15" thickTop="1">
      <c r="A123" s="1870"/>
      <c r="B123" s="1829" t="s">
        <v>2430</v>
      </c>
      <c r="C123" s="468"/>
      <c r="D123" s="468"/>
      <c r="E123" s="468"/>
      <c r="F123" s="468"/>
      <c r="G123" s="468"/>
      <c r="H123" s="1548"/>
      <c r="I123" s="1548"/>
      <c r="J123" s="1548"/>
      <c r="K123" s="473"/>
      <c r="L123" s="473"/>
      <c r="M123" s="1864"/>
      <c r="N123" s="2988"/>
      <c r="O123" s="2988"/>
      <c r="P123" s="2029"/>
      <c r="Q123" s="1844"/>
    </row>
    <row r="124" spans="1:17" s="1742" customFormat="1" ht="15.75" thickBot="1">
      <c r="A124" s="1840"/>
      <c r="B124" s="1832"/>
      <c r="C124" s="1833">
        <v>100</v>
      </c>
      <c r="D124" s="1833">
        <f>C124-$K41</f>
        <v>100</v>
      </c>
      <c r="E124" s="1833">
        <f t="shared" ref="E124:M124" si="28">D124-$K41</f>
        <v>100</v>
      </c>
      <c r="F124" s="1833">
        <f t="shared" si="28"/>
        <v>100</v>
      </c>
      <c r="G124" s="1833">
        <f t="shared" si="28"/>
        <v>100</v>
      </c>
      <c r="H124" s="1833">
        <f t="shared" si="28"/>
        <v>100</v>
      </c>
      <c r="I124" s="1833">
        <f t="shared" si="28"/>
        <v>100</v>
      </c>
      <c r="J124" s="1833">
        <f t="shared" si="28"/>
        <v>100</v>
      </c>
      <c r="K124" s="1833">
        <f t="shared" si="28"/>
        <v>100</v>
      </c>
      <c r="L124" s="1833">
        <f t="shared" si="28"/>
        <v>100</v>
      </c>
      <c r="M124" s="1834">
        <f t="shared" si="28"/>
        <v>100</v>
      </c>
      <c r="N124" s="2988"/>
      <c r="O124" s="2988"/>
      <c r="P124" s="2029"/>
      <c r="Q124" s="1844"/>
    </row>
    <row r="125" spans="1:17" ht="15" thickTop="1">
      <c r="A125" s="1874"/>
      <c r="B125" s="1829" t="s">
        <v>2431</v>
      </c>
      <c r="C125" s="468"/>
      <c r="D125" s="468"/>
      <c r="E125" s="1548"/>
      <c r="F125" s="1548"/>
      <c r="G125" s="1548"/>
      <c r="H125" s="1548"/>
      <c r="I125" s="1548"/>
      <c r="J125" s="1548"/>
      <c r="K125" s="473"/>
      <c r="L125" s="473"/>
      <c r="M125" s="1864"/>
      <c r="N125" s="2986"/>
      <c r="O125" s="2986"/>
      <c r="P125" s="2028"/>
      <c r="Q125" s="1792"/>
    </row>
    <row r="126" spans="1:17" ht="15.75" thickBot="1">
      <c r="A126" s="1824"/>
      <c r="B126" s="1832"/>
      <c r="C126" s="1833">
        <v>100</v>
      </c>
      <c r="D126" s="1833">
        <f t="shared" ref="D126:M126" si="29">C126-$K42</f>
        <v>100</v>
      </c>
      <c r="E126" s="1833">
        <f t="shared" si="29"/>
        <v>100</v>
      </c>
      <c r="F126" s="1833">
        <f t="shared" si="29"/>
        <v>100</v>
      </c>
      <c r="G126" s="1833">
        <f t="shared" si="29"/>
        <v>100</v>
      </c>
      <c r="H126" s="1833">
        <f t="shared" si="29"/>
        <v>100</v>
      </c>
      <c r="I126" s="1833">
        <f t="shared" si="29"/>
        <v>100</v>
      </c>
      <c r="J126" s="1833">
        <f t="shared" si="29"/>
        <v>100</v>
      </c>
      <c r="K126" s="1833">
        <f t="shared" si="29"/>
        <v>100</v>
      </c>
      <c r="L126" s="1833">
        <f t="shared" si="29"/>
        <v>100</v>
      </c>
      <c r="M126" s="1834">
        <f t="shared" si="29"/>
        <v>100</v>
      </c>
      <c r="N126" s="2987"/>
      <c r="O126" s="2987"/>
      <c r="P126" s="2028"/>
      <c r="Q126" s="1792"/>
    </row>
    <row r="127" spans="1:17" ht="15" thickTop="1">
      <c r="A127" s="1874"/>
      <c r="B127" s="1829">
        <f>B43</f>
        <v>111</v>
      </c>
      <c r="C127" s="468"/>
      <c r="D127" s="468"/>
      <c r="E127" s="468"/>
      <c r="F127" s="468"/>
      <c r="G127" s="468"/>
      <c r="H127" s="1548"/>
      <c r="I127" s="1548"/>
      <c r="J127" s="1548"/>
      <c r="K127" s="473"/>
      <c r="L127" s="473"/>
      <c r="M127" s="1864"/>
      <c r="N127" s="2986"/>
      <c r="O127" s="2986"/>
      <c r="P127" s="2028"/>
      <c r="Q127" s="1792"/>
    </row>
    <row r="128" spans="1:17" ht="15.75" thickBot="1">
      <c r="A128" s="1824"/>
      <c r="B128" s="1832"/>
      <c r="C128" s="1845"/>
      <c r="D128" s="1845"/>
      <c r="E128" s="1845"/>
      <c r="F128" s="1845"/>
      <c r="G128" s="1826"/>
      <c r="H128" s="1826"/>
      <c r="I128" s="1826"/>
      <c r="J128" s="1826"/>
      <c r="K128" s="1826"/>
      <c r="L128" s="1826"/>
      <c r="M128" s="1827"/>
      <c r="N128" s="2987"/>
      <c r="O128" s="2987"/>
      <c r="P128" s="2028"/>
      <c r="Q128" s="1792"/>
    </row>
    <row r="129" spans="1:17" ht="15" thickTop="1">
      <c r="A129" s="1874"/>
      <c r="B129" s="1829">
        <f>B44</f>
        <v>111</v>
      </c>
      <c r="C129" s="409"/>
      <c r="D129" s="409"/>
      <c r="E129" s="409"/>
      <c r="F129" s="409"/>
      <c r="G129" s="1548"/>
      <c r="H129" s="1548"/>
      <c r="I129" s="1548"/>
      <c r="J129" s="1548"/>
      <c r="K129" s="473"/>
      <c r="L129" s="473"/>
      <c r="M129" s="1864"/>
      <c r="N129" s="2986"/>
      <c r="O129" s="2986"/>
      <c r="P129" s="2028"/>
      <c r="Q129" s="1792"/>
    </row>
    <row r="130" spans="1:17" ht="15.75" thickBot="1">
      <c r="A130" s="1824"/>
      <c r="B130" s="1832"/>
      <c r="C130" s="1853"/>
      <c r="D130" s="1853"/>
      <c r="E130" s="1853"/>
      <c r="F130" s="1853"/>
      <c r="G130" s="1826"/>
      <c r="H130" s="1826"/>
      <c r="I130" s="1826"/>
      <c r="J130" s="1826"/>
      <c r="K130" s="1826"/>
      <c r="L130" s="1826"/>
      <c r="M130" s="1827"/>
      <c r="N130" s="2987"/>
      <c r="O130" s="2987"/>
      <c r="P130" s="2028"/>
      <c r="Q130" s="1792"/>
    </row>
    <row r="131" spans="1:17" s="1742" customFormat="1" ht="15" thickTop="1">
      <c r="A131" s="1870"/>
      <c r="B131" s="1829">
        <f>B45</f>
        <v>111</v>
      </c>
      <c r="C131" s="409"/>
      <c r="D131" s="409"/>
      <c r="E131" s="409"/>
      <c r="F131" s="409"/>
      <c r="G131" s="443"/>
      <c r="H131" s="443"/>
      <c r="I131" s="443"/>
      <c r="J131" s="443"/>
      <c r="K131" s="443"/>
      <c r="L131" s="443"/>
      <c r="M131" s="1841"/>
      <c r="N131" s="2988"/>
      <c r="O131" s="2988"/>
      <c r="P131" s="2029"/>
      <c r="Q131" s="1844"/>
    </row>
    <row r="132" spans="1:17" s="1742" customFormat="1" ht="15.75" thickBot="1">
      <c r="A132" s="1851"/>
      <c r="B132" s="2035"/>
      <c r="C132" s="1853"/>
      <c r="D132" s="1853"/>
      <c r="E132" s="1853"/>
      <c r="F132" s="1853"/>
      <c r="G132" s="1868"/>
      <c r="H132" s="1868"/>
      <c r="I132" s="1868"/>
      <c r="J132" s="1868"/>
      <c r="K132" s="1868"/>
      <c r="L132" s="1868"/>
      <c r="M132" s="1869"/>
      <c r="N132" s="2988"/>
      <c r="O132" s="2988"/>
      <c r="P132" s="2029"/>
      <c r="Q132" s="1844"/>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D57:D65" xr:uid="{00000000-0002-0000-1B00-000013000000}">
      <formula1>"25%,1"</formula1>
    </dataValidation>
    <dataValidation type="list" allowBlank="1" showInputMessage="1" showErrorMessage="1" sqref="C30 E30 G30 I30" xr:uid="{00000000-0002-0000-1B00-000014000000}">
      <formula1>基础设施水平</formula1>
    </dataValidation>
    <dataValidation type="list" allowBlank="1" showInputMessage="1" showErrorMessage="1" sqref="A71" xr:uid="{00000000-0002-0000-1B00-000015000000}">
      <formula1>"综合,商业,办公,住宅"</formula1>
    </dataValidation>
    <dataValidation type="list" allowBlank="1" showInputMessage="1" showErrorMessage="1" sqref="D47" xr:uid="{00000000-0002-0000-1B00-000016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1196</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1197</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估价对象为北京市房地产，为XX所有。根据《》[]，估价对象建筑面积为240.88平方米。根据《》[]，估价对象（分摊）出让国有建设用地使用权面积为平方米。估价对象用途为。</v>
      </c>
      <c r="B6" s="1319"/>
      <c r="C6" s="1319"/>
      <c r="D6" s="1319"/>
      <c r="E6" s="1319"/>
      <c r="F6" s="1319"/>
      <c r="G6" s="1319"/>
    </row>
    <row r="7" spans="1:7" ht="18.75">
      <c r="A7" s="1320" t="s">
        <v>1198</v>
      </c>
    </row>
    <row r="8" spans="1:7" ht="18">
      <c r="A8" s="1322" t="str">
        <f>IF(项目基本情况!D4="抵押",IF(项目基本情况!B4=项目基本情况!B5,定义!C51,定义!B51),定义!D51)</f>
        <v>为估价委托人了解估价对象房地产市场价值提供参考依据。</v>
      </c>
      <c r="B8" s="1323"/>
      <c r="C8" s="1319"/>
      <c r="D8" s="1319"/>
      <c r="E8" s="1319"/>
      <c r="F8" s="1319"/>
      <c r="G8" s="1319"/>
    </row>
    <row r="9" spans="1:7" ht="18.75">
      <c r="A9" s="1317" t="s">
        <v>1199</v>
      </c>
      <c r="B9" s="1324"/>
    </row>
    <row r="10" spans="1:7" ht="18">
      <c r="A10" s="1325" t="str">
        <f>TEXT(项目基本情况!D2,"yyyy年m月d日;;")&amp;IF(项目基本情况!B2=项目基本情况!D2,"（评估专业人员实地查勘之日）","")</f>
        <v>2022年3月25日（评估专业人员实地查勘之日）</v>
      </c>
      <c r="B10" s="1326"/>
      <c r="C10" s="1326"/>
      <c r="D10" s="1326"/>
      <c r="E10" s="1326"/>
      <c r="F10" s="1326"/>
      <c r="G10" s="1326"/>
    </row>
    <row r="11" spans="1:7" ht="18.75">
      <c r="A11" s="1317" t="s">
        <v>1200</v>
      </c>
    </row>
    <row r="12" spans="1:7" ht="75">
      <c r="A12" s="1319" t="s">
        <v>1201</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本次估价的“房地产价值”是指在正常市场情况下，在价值时点2022年3月25日，估价对象规划用途为，假定未设立法定优先受偿款下的房地产市场价值。</v>
      </c>
      <c r="B13" s="1319"/>
      <c r="C13" s="1319"/>
      <c r="D13" s="1319"/>
      <c r="E13" s="1319"/>
      <c r="F13" s="1319"/>
      <c r="G13" s="1319"/>
    </row>
    <row r="14" spans="1:7" ht="72">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27"/>
      <c r="C14" s="1327"/>
      <c r="D14" s="1327"/>
      <c r="E14" s="1327"/>
      <c r="F14" s="1327"/>
      <c r="G14" s="1327"/>
    </row>
    <row r="15" spans="1:7" ht="56.25">
      <c r="A15" s="1319" t="s">
        <v>1195</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1194</v>
      </c>
    </row>
    <row r="18" spans="1:1" ht="18">
      <c r="A18" s="132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1"/>
  <sheetViews>
    <sheetView view="pageBreakPreview" zoomScale="70" zoomScaleNormal="60" zoomScaleSheetLayoutView="70" workbookViewId="0">
      <selection activeCell="M31" sqref="M31"/>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2384</v>
      </c>
      <c r="B1" s="289"/>
      <c r="C1" s="290" t="s">
        <v>2432</v>
      </c>
      <c r="D1" s="614"/>
      <c r="E1" s="614"/>
      <c r="F1" s="613" t="s">
        <v>2186</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1856</v>
      </c>
      <c r="B2" s="552" t="e">
        <f>F61</f>
        <v>#DIV/0!</v>
      </c>
      <c r="C2" s="612" t="s">
        <v>2386</v>
      </c>
      <c r="D2" s="2990"/>
      <c r="E2" s="2990"/>
      <c r="F2" s="2993"/>
      <c r="G2" s="2990"/>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ROUND(B2/'数据-取费表'!B5,0)</f>
        <v>#DIV/0!</v>
      </c>
      <c r="C3" s="612" t="s">
        <v>2387</v>
      </c>
      <c r="D3" s="2990"/>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54" t="s">
        <v>2189</v>
      </c>
      <c r="D4" s="3655"/>
      <c r="E4" s="3656" t="s">
        <v>2190</v>
      </c>
      <c r="F4" s="3657"/>
      <c r="G4" s="3654" t="s">
        <v>2191</v>
      </c>
      <c r="H4" s="3655"/>
      <c r="I4" s="3654" t="s">
        <v>2192</v>
      </c>
      <c r="J4" s="3655"/>
      <c r="K4" s="496" t="s">
        <v>2193</v>
      </c>
      <c r="L4" s="2995"/>
      <c r="M4" s="2996"/>
      <c r="N4" s="2996"/>
      <c r="O4" s="2996"/>
      <c r="P4" s="3658" t="s">
        <v>2194</v>
      </c>
      <c r="Q4" s="3659"/>
      <c r="R4" s="3641" t="s">
        <v>2190</v>
      </c>
      <c r="S4" s="3642"/>
      <c r="T4" s="3641" t="s">
        <v>2191</v>
      </c>
      <c r="U4" s="3642"/>
      <c r="V4" s="3664" t="s">
        <v>2192</v>
      </c>
      <c r="W4" s="3664"/>
      <c r="X4" s="1305"/>
      <c r="Y4" s="3641" t="s">
        <v>2194</v>
      </c>
      <c r="Z4" s="3642"/>
      <c r="AA4" s="3651" t="s">
        <v>2190</v>
      </c>
      <c r="AB4" s="3652" t="s">
        <v>2191</v>
      </c>
      <c r="AC4" s="3651" t="s">
        <v>2192</v>
      </c>
    </row>
    <row r="5" spans="1:29" ht="15">
      <c r="A5" s="297"/>
      <c r="B5" s="298"/>
      <c r="C5" s="3667" t="s">
        <v>2195</v>
      </c>
      <c r="D5" s="3668"/>
      <c r="E5" s="3665" t="s">
        <v>2196</v>
      </c>
      <c r="F5" s="3666"/>
      <c r="G5" s="3667" t="s">
        <v>2197</v>
      </c>
      <c r="H5" s="3668"/>
      <c r="I5" s="3667" t="s">
        <v>2198</v>
      </c>
      <c r="J5" s="3668"/>
      <c r="K5" s="496"/>
      <c r="L5" s="2995"/>
      <c r="M5" s="2996"/>
      <c r="N5" s="2996"/>
      <c r="O5" s="2996"/>
      <c r="P5" s="3660"/>
      <c r="Q5" s="3661"/>
      <c r="R5" s="3643"/>
      <c r="S5" s="3644"/>
      <c r="T5" s="3643"/>
      <c r="U5" s="3644"/>
      <c r="V5" s="3664"/>
      <c r="W5" s="3664"/>
      <c r="X5" s="1305"/>
      <c r="Y5" s="3643"/>
      <c r="Z5" s="3644"/>
      <c r="AA5" s="3652"/>
      <c r="AB5" s="3652"/>
      <c r="AC5" s="3652"/>
    </row>
    <row r="6" spans="1:29" ht="15.75" thickBot="1">
      <c r="A6" s="299"/>
      <c r="B6" s="300"/>
      <c r="C6" s="3669" t="s">
        <v>2199</v>
      </c>
      <c r="D6" s="3670"/>
      <c r="E6" s="3671" t="s">
        <v>2199</v>
      </c>
      <c r="F6" s="3672"/>
      <c r="G6" s="3669" t="s">
        <v>2199</v>
      </c>
      <c r="H6" s="3670"/>
      <c r="I6" s="3669" t="s">
        <v>2199</v>
      </c>
      <c r="J6" s="3670"/>
      <c r="K6" s="496" t="s">
        <v>2200</v>
      </c>
      <c r="L6" s="2995"/>
      <c r="M6" s="2996"/>
      <c r="N6" s="2996"/>
      <c r="O6" s="2996"/>
      <c r="P6" s="3662"/>
      <c r="Q6" s="3663"/>
      <c r="R6" s="3643"/>
      <c r="S6" s="3644"/>
      <c r="T6" s="3645"/>
      <c r="U6" s="3646"/>
      <c r="V6" s="3664"/>
      <c r="W6" s="3664"/>
      <c r="X6" s="1305"/>
      <c r="Y6" s="3645"/>
      <c r="Z6" s="3646"/>
      <c r="AA6" s="3653"/>
      <c r="AB6" s="3653"/>
      <c r="AC6" s="3653"/>
    </row>
    <row r="7" spans="1:29" s="25" customFormat="1" ht="15.75" thickBot="1">
      <c r="A7" s="301" t="s">
        <v>2201</v>
      </c>
      <c r="B7" s="302"/>
      <c r="C7" s="303">
        <f>'数据-取费表'!B2</f>
        <v>44645</v>
      </c>
      <c r="D7" s="304">
        <v>100</v>
      </c>
      <c r="E7" s="305"/>
      <c r="F7" s="306">
        <f>SUMIF(65:65,YEAR(E7)&amp;"-"&amp;INT((MONTH(E7)+2)/3),66:66)</f>
        <v>0</v>
      </c>
      <c r="G7" s="1545"/>
      <c r="H7" s="304">
        <f>SUMIF(65:65,YEAR(G7)&amp;"-"&amp;INT((MONTH(G7)+2)/3),66:66)</f>
        <v>0</v>
      </c>
      <c r="I7" s="1545"/>
      <c r="J7" s="304">
        <f>SUMIF(65:65,YEAR(I7)&amp;"-"&amp;INT((MONTH(I7)+2)/3),66:66)</f>
        <v>0</v>
      </c>
      <c r="K7" s="497"/>
      <c r="L7" s="2997"/>
      <c r="M7" s="2998"/>
      <c r="N7" s="2998"/>
      <c r="O7" s="2998"/>
      <c r="P7" s="3639" t="s">
        <v>2202</v>
      </c>
      <c r="Q7" s="3647"/>
      <c r="R7" s="627" t="s">
        <v>25</v>
      </c>
      <c r="S7" s="628">
        <f t="shared" ref="S7:S15" si="0">F7</f>
        <v>0</v>
      </c>
      <c r="T7" s="627" t="s">
        <v>25</v>
      </c>
      <c r="U7" s="628">
        <f t="shared" ref="U7:U15" si="1">H7</f>
        <v>0</v>
      </c>
      <c r="V7" s="627" t="s">
        <v>25</v>
      </c>
      <c r="W7" s="628">
        <f t="shared" ref="W7:W15" si="2">J7</f>
        <v>0</v>
      </c>
      <c r="X7" s="629"/>
      <c r="Y7" s="3639" t="s">
        <v>2202</v>
      </c>
      <c r="Z7" s="3640"/>
      <c r="AA7" s="630" t="e">
        <f>D7/F7</f>
        <v>#DIV/0!</v>
      </c>
      <c r="AB7" s="630" t="e">
        <f>D7/H7</f>
        <v>#DIV/0!</v>
      </c>
      <c r="AC7" s="630" t="e">
        <f>D7/J7</f>
        <v>#DIV/0!</v>
      </c>
    </row>
    <row r="8" spans="1:29" s="25" customFormat="1" ht="15.75" thickBot="1">
      <c r="A8" s="301" t="s">
        <v>2203</v>
      </c>
      <c r="B8" s="302"/>
      <c r="C8" s="307" t="s">
        <v>2388</v>
      </c>
      <c r="D8" s="304">
        <v>100</v>
      </c>
      <c r="E8" s="307"/>
      <c r="F8" s="306">
        <f>SUMIF(68:68,E8,69:69)-SUMIF(68:68,C8,69:69)+100</f>
        <v>0</v>
      </c>
      <c r="G8" s="307"/>
      <c r="H8" s="304">
        <f>SUMIF(68:68,G8,69:69)-SUMIF(68:68,C8,69:69)+100</f>
        <v>0</v>
      </c>
      <c r="I8" s="307"/>
      <c r="J8" s="304">
        <f>SUMIF(68:68,I8,69:69)-SUMIF(68:68,C8,69:69)+100</f>
        <v>0</v>
      </c>
      <c r="K8" s="497"/>
      <c r="L8" s="2997"/>
      <c r="M8" s="2998"/>
      <c r="N8" s="2998"/>
      <c r="O8" s="2998"/>
      <c r="P8" s="3639" t="s">
        <v>2205</v>
      </c>
      <c r="Q8" s="3640"/>
      <c r="R8" s="627" t="s">
        <v>25</v>
      </c>
      <c r="S8" s="628">
        <f t="shared" si="0"/>
        <v>0</v>
      </c>
      <c r="T8" s="627" t="s">
        <v>25</v>
      </c>
      <c r="U8" s="628">
        <f t="shared" si="1"/>
        <v>0</v>
      </c>
      <c r="V8" s="627" t="s">
        <v>25</v>
      </c>
      <c r="W8" s="628">
        <f t="shared" si="2"/>
        <v>0</v>
      </c>
      <c r="X8" s="629"/>
      <c r="Y8" s="3639" t="s">
        <v>2205</v>
      </c>
      <c r="Z8" s="3640"/>
      <c r="AA8" s="630" t="e">
        <f t="shared" ref="AA8:AA40" si="3">D8/F8</f>
        <v>#DIV/0!</v>
      </c>
      <c r="AB8" s="630" t="e">
        <f t="shared" ref="AB8:AB40" si="4">D8/H8</f>
        <v>#DIV/0!</v>
      </c>
      <c r="AC8" s="630" t="e">
        <f t="shared" ref="AC8:AC40" si="5">D8/J8</f>
        <v>#DIV/0!</v>
      </c>
    </row>
    <row r="9" spans="1:29" s="25" customFormat="1">
      <c r="A9" s="308" t="s">
        <v>2206</v>
      </c>
      <c r="B9" s="24" t="s">
        <v>2207</v>
      </c>
      <c r="C9" s="1556" t="s">
        <v>2433</v>
      </c>
      <c r="D9" s="28">
        <v>100</v>
      </c>
      <c r="E9" s="1556"/>
      <c r="F9" s="28">
        <f>SUMIF(70:70,E9,71:71)-SUMIF(70:70,C9,71:71)+100</f>
        <v>100</v>
      </c>
      <c r="G9" s="1556"/>
      <c r="H9" s="28">
        <f>SUMIF(70:70,G9,71:71)-SUMIF(70:70,C9,71:71)+100</f>
        <v>100</v>
      </c>
      <c r="I9" s="1556"/>
      <c r="J9" s="28">
        <f>SUMIF(70:70,I9,71:71)-SUMIF(70:70,C9,71:71)+100</f>
        <v>100</v>
      </c>
      <c r="K9" s="497"/>
      <c r="L9" s="2997"/>
      <c r="M9" s="2998"/>
      <c r="N9" s="2998"/>
      <c r="O9" s="2999"/>
      <c r="P9" s="3631" t="s">
        <v>2208</v>
      </c>
      <c r="Q9" s="1297" t="str">
        <f t="shared" ref="Q9:Q15" si="6">B9</f>
        <v>用途</v>
      </c>
      <c r="R9" s="627" t="s">
        <v>25</v>
      </c>
      <c r="S9" s="628">
        <f t="shared" si="0"/>
        <v>100</v>
      </c>
      <c r="T9" s="627" t="s">
        <v>25</v>
      </c>
      <c r="U9" s="628">
        <f t="shared" si="1"/>
        <v>100</v>
      </c>
      <c r="V9" s="627" t="s">
        <v>25</v>
      </c>
      <c r="W9" s="628">
        <f t="shared" si="2"/>
        <v>100</v>
      </c>
      <c r="X9" s="629"/>
      <c r="Y9" s="3650" t="s">
        <v>2209</v>
      </c>
      <c r="Z9" s="19" t="str">
        <f t="shared" ref="Z9:Z15" si="7">Q9</f>
        <v>用途</v>
      </c>
      <c r="AA9" s="630">
        <f t="shared" si="3"/>
        <v>1</v>
      </c>
      <c r="AB9" s="630">
        <f t="shared" si="4"/>
        <v>1</v>
      </c>
      <c r="AC9" s="630">
        <f t="shared" si="5"/>
        <v>1</v>
      </c>
    </row>
    <row r="10" spans="1:29" s="317" customFormat="1" ht="27">
      <c r="A10" s="312"/>
      <c r="B10" s="313" t="s">
        <v>2210</v>
      </c>
      <c r="C10" s="322"/>
      <c r="D10" s="29">
        <v>100</v>
      </c>
      <c r="E10" s="322"/>
      <c r="F10" s="29">
        <f>ROUND(100/'数据-取费表'!B14,0)</f>
        <v>115</v>
      </c>
      <c r="G10" s="322"/>
      <c r="H10" s="29">
        <f>ROUND(100/'数据-取费表'!B14,0)</f>
        <v>115</v>
      </c>
      <c r="I10" s="322"/>
      <c r="J10" s="29">
        <f>ROUND(100/'数据-取费表'!B14,0)</f>
        <v>115</v>
      </c>
      <c r="K10" s="553"/>
      <c r="L10" s="3000"/>
      <c r="M10" s="3001"/>
      <c r="N10" s="3001"/>
      <c r="O10" s="3002"/>
      <c r="P10" s="3631"/>
      <c r="Q10" s="1297" t="str">
        <f t="shared" si="6"/>
        <v>土地使用年限（年）</v>
      </c>
      <c r="R10" s="627" t="s">
        <v>25</v>
      </c>
      <c r="S10" s="628">
        <f t="shared" si="0"/>
        <v>115</v>
      </c>
      <c r="T10" s="627" t="s">
        <v>25</v>
      </c>
      <c r="U10" s="628">
        <f t="shared" si="1"/>
        <v>115</v>
      </c>
      <c r="V10" s="627" t="s">
        <v>25</v>
      </c>
      <c r="W10" s="628">
        <f t="shared" si="2"/>
        <v>115</v>
      </c>
      <c r="X10" s="629"/>
      <c r="Y10" s="3650"/>
      <c r="Z10" s="19" t="str">
        <f t="shared" si="7"/>
        <v>土地使用年限（年）</v>
      </c>
      <c r="AA10" s="630">
        <f t="shared" si="3"/>
        <v>0.86956521739130432</v>
      </c>
      <c r="AB10" s="630">
        <f t="shared" si="4"/>
        <v>0.86956521739130432</v>
      </c>
      <c r="AC10" s="630">
        <f t="shared" si="5"/>
        <v>0.86956521739130432</v>
      </c>
    </row>
    <row r="11" spans="1:29" ht="15">
      <c r="A11" s="318"/>
      <c r="B11" s="313" t="s">
        <v>2211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3"/>
      <c r="M11" s="2996"/>
      <c r="N11" s="2996"/>
      <c r="O11" s="3004"/>
      <c r="P11" s="3631"/>
      <c r="Q11" s="1297" t="str">
        <f t="shared" si="6"/>
        <v>容积率</v>
      </c>
      <c r="R11" s="627" t="s">
        <v>25</v>
      </c>
      <c r="S11" s="628" t="e">
        <f t="shared" si="0"/>
        <v>#N/A</v>
      </c>
      <c r="T11" s="627" t="s">
        <v>25</v>
      </c>
      <c r="U11" s="628" t="e">
        <f t="shared" si="1"/>
        <v>#N/A</v>
      </c>
      <c r="V11" s="627" t="s">
        <v>25</v>
      </c>
      <c r="W11" s="628" t="e">
        <f t="shared" si="2"/>
        <v>#N/A</v>
      </c>
      <c r="X11" s="629"/>
      <c r="Y11" s="3650"/>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7"/>
      <c r="M12" s="2998"/>
      <c r="N12" s="2998"/>
      <c r="O12" s="2999"/>
      <c r="P12" s="3631"/>
      <c r="Q12" s="1297">
        <f t="shared" si="6"/>
        <v>111</v>
      </c>
      <c r="R12" s="627" t="s">
        <v>25</v>
      </c>
      <c r="S12" s="628">
        <f t="shared" si="0"/>
        <v>100</v>
      </c>
      <c r="T12" s="627" t="s">
        <v>25</v>
      </c>
      <c r="U12" s="628">
        <f t="shared" si="1"/>
        <v>100</v>
      </c>
      <c r="V12" s="627" t="s">
        <v>25</v>
      </c>
      <c r="W12" s="628">
        <f t="shared" si="2"/>
        <v>100</v>
      </c>
      <c r="X12" s="629"/>
      <c r="Y12" s="3650"/>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5"/>
      <c r="M13" s="2996"/>
      <c r="N13" s="2996"/>
      <c r="O13" s="3004"/>
      <c r="P13" s="3631"/>
      <c r="Q13" s="1297">
        <f t="shared" si="6"/>
        <v>111</v>
      </c>
      <c r="R13" s="627" t="s">
        <v>25</v>
      </c>
      <c r="S13" s="628">
        <f t="shared" si="0"/>
        <v>100</v>
      </c>
      <c r="T13" s="627" t="s">
        <v>25</v>
      </c>
      <c r="U13" s="628">
        <f t="shared" si="1"/>
        <v>100</v>
      </c>
      <c r="V13" s="627" t="s">
        <v>25</v>
      </c>
      <c r="W13" s="628">
        <f t="shared" si="2"/>
        <v>100</v>
      </c>
      <c r="X13" s="629"/>
      <c r="Y13" s="3650"/>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5"/>
      <c r="M14" s="2996"/>
      <c r="N14" s="2996"/>
      <c r="O14" s="3004"/>
      <c r="P14" s="3631"/>
      <c r="Q14" s="1297">
        <f t="shared" si="6"/>
        <v>111</v>
      </c>
      <c r="R14" s="627" t="s">
        <v>25</v>
      </c>
      <c r="S14" s="628">
        <f t="shared" si="0"/>
        <v>100</v>
      </c>
      <c r="T14" s="627" t="s">
        <v>25</v>
      </c>
      <c r="U14" s="628">
        <f t="shared" si="1"/>
        <v>100</v>
      </c>
      <c r="V14" s="627" t="s">
        <v>25</v>
      </c>
      <c r="W14" s="628">
        <f t="shared" si="2"/>
        <v>100</v>
      </c>
      <c r="X14" s="629"/>
      <c r="Y14" s="3650"/>
      <c r="Z14" s="19">
        <f t="shared" si="7"/>
        <v>111</v>
      </c>
      <c r="AA14" s="630">
        <f t="shared" si="3"/>
        <v>1</v>
      </c>
      <c r="AB14" s="630">
        <f t="shared" si="4"/>
        <v>1</v>
      </c>
      <c r="AC14" s="630">
        <f t="shared" si="5"/>
        <v>1</v>
      </c>
    </row>
    <row r="15" spans="1:29" ht="57">
      <c r="A15" s="329" t="s">
        <v>2212</v>
      </c>
      <c r="B15" s="511" t="s">
        <v>2434</v>
      </c>
      <c r="C15" s="1551">
        <f>估价对象房地状况!G15</f>
        <v>0</v>
      </c>
      <c r="D15" s="330">
        <v>100</v>
      </c>
      <c r="E15" s="331"/>
      <c r="F15" s="330">
        <f>SUMIF(83:83,E16,84:84)-SUMIF(83:83,C16,84:84)+100</f>
        <v>100</v>
      </c>
      <c r="G15" s="331"/>
      <c r="H15" s="330">
        <f>SUMIF(83:83,G16,84:84)-SUMIF(83:83,C16,84:84)+100</f>
        <v>100</v>
      </c>
      <c r="I15" s="333"/>
      <c r="J15" s="330">
        <f>SUMIF(83:83,I16,84:84)-SUMIF(83:83,C16,84:84)+100</f>
        <v>100</v>
      </c>
      <c r="K15" s="554"/>
      <c r="L15" s="3005"/>
      <c r="M15" s="2996"/>
      <c r="N15" s="2996"/>
      <c r="O15" s="3004"/>
      <c r="P15" s="3648" t="s">
        <v>2213</v>
      </c>
      <c r="Q15" s="1304" t="str">
        <f t="shared" si="6"/>
        <v>产业集聚程度</v>
      </c>
      <c r="R15" s="631" t="s">
        <v>25</v>
      </c>
      <c r="S15" s="632">
        <f t="shared" si="0"/>
        <v>100</v>
      </c>
      <c r="T15" s="631" t="s">
        <v>25</v>
      </c>
      <c r="U15" s="632">
        <f t="shared" si="1"/>
        <v>100</v>
      </c>
      <c r="V15" s="631" t="s">
        <v>25</v>
      </c>
      <c r="W15" s="632">
        <f t="shared" si="2"/>
        <v>100</v>
      </c>
      <c r="X15" s="1305"/>
      <c r="Y15" s="3648" t="s">
        <v>2213</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5"/>
      <c r="M16" s="2996"/>
      <c r="N16" s="2996"/>
      <c r="O16" s="3004"/>
      <c r="P16" s="3649"/>
      <c r="Q16" s="1304"/>
      <c r="R16" s="631"/>
      <c r="S16" s="632"/>
      <c r="T16" s="631"/>
      <c r="U16" s="632"/>
      <c r="V16" s="631"/>
      <c r="W16" s="632"/>
      <c r="X16" s="1305"/>
      <c r="Y16" s="3649"/>
      <c r="Z16" s="1306"/>
      <c r="AA16" s="1307">
        <v>1</v>
      </c>
      <c r="AB16" s="1307">
        <v>1</v>
      </c>
      <c r="AC16" s="1307">
        <v>1</v>
      </c>
    </row>
    <row r="17" spans="1:29" ht="85.5">
      <c r="A17" s="318"/>
      <c r="B17" s="513" t="s">
        <v>2350</v>
      </c>
      <c r="C17" s="1537">
        <f>估价对象房地状况!G16</f>
        <v>0</v>
      </c>
      <c r="D17" s="339">
        <v>100</v>
      </c>
      <c r="E17" s="341"/>
      <c r="F17" s="344">
        <f>SUMIF(85:85,E18,86:86)-SUMIF(85:85,C18,86:86)+100</f>
        <v>100</v>
      </c>
      <c r="G17" s="341"/>
      <c r="H17" s="344">
        <f>SUMIF(85:85,G18,86:86)-SUMIF(85:85,C18,86:86)+100</f>
        <v>100</v>
      </c>
      <c r="I17" s="343"/>
      <c r="J17" s="339">
        <f>SUMIF(85:85,I18,86:86)-SUMIF(85:85,C18,86:86)+100</f>
        <v>100</v>
      </c>
      <c r="K17" s="554"/>
      <c r="L17" s="3005"/>
      <c r="M17" s="2996"/>
      <c r="N17" s="2996"/>
      <c r="O17" s="3004"/>
      <c r="P17" s="3649"/>
      <c r="Q17" s="1304" t="str">
        <f>B17</f>
        <v>交通便捷度</v>
      </c>
      <c r="R17" s="631" t="s">
        <v>25</v>
      </c>
      <c r="S17" s="632">
        <f>F17</f>
        <v>100</v>
      </c>
      <c r="T17" s="631" t="s">
        <v>25</v>
      </c>
      <c r="U17" s="632">
        <f>H17</f>
        <v>100</v>
      </c>
      <c r="V17" s="631" t="s">
        <v>25</v>
      </c>
      <c r="W17" s="632">
        <f>J17</f>
        <v>100</v>
      </c>
      <c r="X17" s="1305"/>
      <c r="Y17" s="3649"/>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5"/>
      <c r="M18" s="2996"/>
      <c r="N18" s="2996"/>
      <c r="O18" s="3004"/>
      <c r="P18" s="3649"/>
      <c r="Q18" s="1304"/>
      <c r="R18" s="631"/>
      <c r="S18" s="632"/>
      <c r="T18" s="631"/>
      <c r="U18" s="632"/>
      <c r="V18" s="631"/>
      <c r="W18" s="632"/>
      <c r="X18" s="1305"/>
      <c r="Y18" s="3649"/>
      <c r="Z18" s="1306"/>
      <c r="AA18" s="1307">
        <v>1</v>
      </c>
      <c r="AB18" s="1307">
        <v>1</v>
      </c>
      <c r="AC18" s="1307">
        <v>1</v>
      </c>
    </row>
    <row r="19" spans="1:29" ht="15">
      <c r="A19" s="318"/>
      <c r="B19" s="513" t="s">
        <v>2390</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5"/>
      <c r="M19" s="2996"/>
      <c r="N19" s="2996"/>
      <c r="O19" s="3004"/>
      <c r="P19" s="3649"/>
      <c r="Q19" s="1304" t="str">
        <f t="shared" ref="Q19:Q33" si="8">B19</f>
        <v>区域土地利用方向</v>
      </c>
      <c r="R19" s="631" t="s">
        <v>25</v>
      </c>
      <c r="S19" s="632">
        <f>F19</f>
        <v>100</v>
      </c>
      <c r="T19" s="631" t="s">
        <v>25</v>
      </c>
      <c r="U19" s="632">
        <f>H19</f>
        <v>100</v>
      </c>
      <c r="V19" s="631" t="s">
        <v>25</v>
      </c>
      <c r="W19" s="632">
        <f>J19</f>
        <v>100</v>
      </c>
      <c r="X19" s="1305"/>
      <c r="Y19" s="3649"/>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5"/>
      <c r="M20" s="2996"/>
      <c r="N20" s="2996"/>
      <c r="O20" s="3004"/>
      <c r="P20" s="3649"/>
      <c r="Q20" s="1304"/>
      <c r="R20" s="631"/>
      <c r="S20" s="632"/>
      <c r="T20" s="631"/>
      <c r="U20" s="632"/>
      <c r="V20" s="631"/>
      <c r="W20" s="632"/>
      <c r="X20" s="1305"/>
      <c r="Y20" s="3649"/>
      <c r="Z20" s="1306"/>
      <c r="AA20" s="1307"/>
      <c r="AB20" s="1307"/>
      <c r="AC20" s="1307"/>
    </row>
    <row r="21" spans="1:29" ht="71.25">
      <c r="A21" s="297"/>
      <c r="B21" s="513" t="s">
        <v>2435</v>
      </c>
      <c r="C21" s="1537">
        <f>估价对象房地状况!G18</f>
        <v>0</v>
      </c>
      <c r="D21" s="339">
        <v>100</v>
      </c>
      <c r="E21" s="341"/>
      <c r="F21" s="339">
        <f>SUMIF(89:89,E22,90:90)-SUMIF(89:89,C22,90:90)+100</f>
        <v>100</v>
      </c>
      <c r="G21" s="341"/>
      <c r="H21" s="339">
        <f>SUMIF(89:89,G22,90:90)-SUMIF(89:89,C22,90:90)+100</f>
        <v>100</v>
      </c>
      <c r="I21" s="343"/>
      <c r="J21" s="339">
        <f>SUMIF(89:89,I22,90:90)-SUMIF(89:89,C22,90:90)+100</f>
        <v>100</v>
      </c>
      <c r="K21" s="554"/>
      <c r="L21" s="3005"/>
      <c r="M21" s="2996"/>
      <c r="N21" s="2996"/>
      <c r="O21" s="3004"/>
      <c r="P21" s="3649"/>
      <c r="Q21" s="1304" t="str">
        <f t="shared" si="8"/>
        <v>环境状况</v>
      </c>
      <c r="R21" s="631" t="s">
        <v>25</v>
      </c>
      <c r="S21" s="632">
        <f>F21</f>
        <v>100</v>
      </c>
      <c r="T21" s="631" t="s">
        <v>25</v>
      </c>
      <c r="U21" s="632">
        <f>H21</f>
        <v>100</v>
      </c>
      <c r="V21" s="631" t="s">
        <v>25</v>
      </c>
      <c r="W21" s="632">
        <f>J21</f>
        <v>100</v>
      </c>
      <c r="X21" s="1305"/>
      <c r="Y21" s="3649"/>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5"/>
      <c r="M22" s="2996"/>
      <c r="N22" s="2996"/>
      <c r="O22" s="3004"/>
      <c r="P22" s="3649"/>
      <c r="Q22" s="1304"/>
      <c r="R22" s="631"/>
      <c r="S22" s="632"/>
      <c r="T22" s="631"/>
      <c r="U22" s="632"/>
      <c r="V22" s="631"/>
      <c r="W22" s="632"/>
      <c r="X22" s="1305"/>
      <c r="Y22" s="3649"/>
      <c r="Z22" s="1306"/>
      <c r="AA22" s="1307">
        <v>1</v>
      </c>
      <c r="AB22" s="1307">
        <v>1</v>
      </c>
      <c r="AC22" s="1307">
        <v>1</v>
      </c>
    </row>
    <row r="23" spans="1:29" s="25" customFormat="1" ht="42.75">
      <c r="A23" s="531"/>
      <c r="B23" s="513" t="s">
        <v>2299</v>
      </c>
      <c r="C23" s="1537">
        <f>估价对象房地状况!G19</f>
        <v>0</v>
      </c>
      <c r="D23" s="339">
        <v>100</v>
      </c>
      <c r="E23" s="341"/>
      <c r="F23" s="339">
        <f>SUMIF(91:91,E24,92:92)-SUMIF(91:91,C24,92:92)+100</f>
        <v>100</v>
      </c>
      <c r="G23" s="341"/>
      <c r="H23" s="339">
        <f>SUMIF(91:91,G24,92:92)-SUMIF(91:91,C24,92:92)+100</f>
        <v>100</v>
      </c>
      <c r="I23" s="343"/>
      <c r="J23" s="339">
        <f>SUMIF(91:91,I24,92:92)-SUMIF(91:91,C24,92:92)+100</f>
        <v>100</v>
      </c>
      <c r="K23" s="554"/>
      <c r="L23" s="2997"/>
      <c r="M23" s="2998"/>
      <c r="N23" s="2998"/>
      <c r="O23" s="2999"/>
      <c r="P23" s="3649"/>
      <c r="Q23" s="1297" t="str">
        <f t="shared" si="8"/>
        <v>公共配套设施</v>
      </c>
      <c r="R23" s="627" t="s">
        <v>25</v>
      </c>
      <c r="S23" s="628">
        <f>F23</f>
        <v>100</v>
      </c>
      <c r="T23" s="627" t="s">
        <v>25</v>
      </c>
      <c r="U23" s="628">
        <f>H23</f>
        <v>100</v>
      </c>
      <c r="V23" s="627" t="s">
        <v>25</v>
      </c>
      <c r="W23" s="628">
        <f>J23</f>
        <v>100</v>
      </c>
      <c r="X23" s="629"/>
      <c r="Y23" s="3649"/>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7"/>
      <c r="M24" s="2998"/>
      <c r="N24" s="2998"/>
      <c r="O24" s="2999"/>
      <c r="P24" s="3649"/>
      <c r="Q24" s="1297"/>
      <c r="R24" s="627"/>
      <c r="S24" s="628"/>
      <c r="T24" s="627"/>
      <c r="U24" s="628"/>
      <c r="V24" s="627"/>
      <c r="W24" s="628"/>
      <c r="X24" s="629"/>
      <c r="Y24" s="3649"/>
      <c r="Z24" s="19"/>
      <c r="AA24" s="630">
        <v>1</v>
      </c>
      <c r="AB24" s="630">
        <v>1</v>
      </c>
      <c r="AC24" s="630">
        <v>1</v>
      </c>
    </row>
    <row r="25" spans="1:29" s="25" customFormat="1" ht="28.5">
      <c r="A25" s="531"/>
      <c r="B25" s="515" t="s">
        <v>2300</v>
      </c>
      <c r="C25" s="1537">
        <f>估价对象房地状况!G20</f>
        <v>0</v>
      </c>
      <c r="D25" s="339">
        <v>100</v>
      </c>
      <c r="E25" s="341"/>
      <c r="F25" s="339">
        <f>SUMIF(93:93,E26,94:94)-SUMIF(93:93,C26,94:94)+100</f>
        <v>100</v>
      </c>
      <c r="G25" s="341"/>
      <c r="H25" s="339">
        <f>SUMIF(93:93,G26,94:94)-SUMIF(93:93,C26,94:94)+100</f>
        <v>100</v>
      </c>
      <c r="I25" s="343"/>
      <c r="J25" s="339">
        <f>SUMIF(93:93,I26,94:94)-SUMIF(93:93,C26,94:94)+100</f>
        <v>100</v>
      </c>
      <c r="K25" s="554"/>
      <c r="L25" s="2997"/>
      <c r="M25" s="2998"/>
      <c r="N25" s="2998"/>
      <c r="O25" s="2999"/>
      <c r="P25" s="3649"/>
      <c r="Q25" s="1297" t="str">
        <f t="shared" ref="Q25" si="9">B25</f>
        <v>基础设施水平</v>
      </c>
      <c r="R25" s="627" t="s">
        <v>25</v>
      </c>
      <c r="S25" s="628">
        <f>F25</f>
        <v>100</v>
      </c>
      <c r="T25" s="627" t="s">
        <v>25</v>
      </c>
      <c r="U25" s="628">
        <f>H25</f>
        <v>100</v>
      </c>
      <c r="V25" s="627" t="s">
        <v>25</v>
      </c>
      <c r="W25" s="628">
        <f>J25</f>
        <v>100</v>
      </c>
      <c r="X25" s="629"/>
      <c r="Y25" s="3649"/>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7"/>
      <c r="M26" s="2998"/>
      <c r="N26" s="2998"/>
      <c r="O26" s="2999"/>
      <c r="P26" s="3649"/>
      <c r="Q26" s="1297"/>
      <c r="R26" s="627"/>
      <c r="S26" s="628"/>
      <c r="T26" s="627"/>
      <c r="U26" s="628"/>
      <c r="V26" s="627"/>
      <c r="W26" s="628"/>
      <c r="X26" s="629"/>
      <c r="Y26" s="3649"/>
      <c r="Z26" s="19"/>
      <c r="AA26" s="630">
        <v>1</v>
      </c>
      <c r="AB26" s="630">
        <v>1</v>
      </c>
      <c r="AC26" s="630">
        <v>1</v>
      </c>
    </row>
    <row r="27" spans="1:29" ht="15">
      <c r="A27" s="318"/>
      <c r="B27" s="514" t="s">
        <v>2301</v>
      </c>
      <c r="C27" s="502"/>
      <c r="D27" s="325">
        <v>100</v>
      </c>
      <c r="E27" s="516"/>
      <c r="F27" s="325">
        <f>SUMIF(95:95,E27,96:96)-SUMIF(95:95,C27,96:96)+100</f>
        <v>100</v>
      </c>
      <c r="G27" s="516"/>
      <c r="H27" s="325">
        <f>SUMIF(95:95,G27,96:96)-SUMIF(95:95,C27,96:96)+100</f>
        <v>100</v>
      </c>
      <c r="I27" s="516"/>
      <c r="J27" s="325">
        <f>SUMIF(95:95,I27,96:96)-SUMIF(95:95,C27,96:96)+100</f>
        <v>100</v>
      </c>
      <c r="K27" s="554"/>
      <c r="L27" s="3005"/>
      <c r="M27" s="2996"/>
      <c r="N27" s="2996"/>
      <c r="O27" s="3004"/>
      <c r="P27" s="3649"/>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49"/>
      <c r="Z27" s="1306" t="str">
        <f t="shared" ref="Z27:Z40" si="13">Q27</f>
        <v>临街状况</v>
      </c>
      <c r="AA27" s="1307">
        <f t="shared" si="3"/>
        <v>1</v>
      </c>
      <c r="AB27" s="1307">
        <f t="shared" si="4"/>
        <v>1</v>
      </c>
      <c r="AC27" s="1307">
        <f t="shared" si="5"/>
        <v>1</v>
      </c>
    </row>
    <row r="28" spans="1:29" ht="27">
      <c r="A28" s="318"/>
      <c r="B28" s="515" t="s">
        <v>2331</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5"/>
      <c r="M28" s="2996"/>
      <c r="N28" s="2996"/>
      <c r="O28" s="3004"/>
      <c r="P28" s="3649"/>
      <c r="Q28" s="1304" t="str">
        <f t="shared" si="8"/>
        <v>毗邻道路的类型与等级</v>
      </c>
      <c r="R28" s="631" t="s">
        <v>25</v>
      </c>
      <c r="S28" s="632">
        <f t="shared" si="10"/>
        <v>100</v>
      </c>
      <c r="T28" s="631" t="s">
        <v>25</v>
      </c>
      <c r="U28" s="632">
        <f t="shared" si="11"/>
        <v>100</v>
      </c>
      <c r="V28" s="631" t="s">
        <v>25</v>
      </c>
      <c r="W28" s="632">
        <f t="shared" si="12"/>
        <v>100</v>
      </c>
      <c r="X28" s="1305"/>
      <c r="Y28" s="3649"/>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5"/>
      <c r="M29" s="2996"/>
      <c r="N29" s="2996"/>
      <c r="O29" s="3004"/>
      <c r="P29" s="3649"/>
      <c r="Q29" s="1304"/>
      <c r="R29" s="631"/>
      <c r="S29" s="632"/>
      <c r="T29" s="631"/>
      <c r="U29" s="632"/>
      <c r="V29" s="631"/>
      <c r="W29" s="632"/>
      <c r="X29" s="1305"/>
      <c r="Y29" s="3649"/>
      <c r="Z29" s="1306"/>
      <c r="AA29" s="1307">
        <v>1</v>
      </c>
      <c r="AB29" s="1307">
        <v>1</v>
      </c>
      <c r="AC29" s="1307">
        <v>1</v>
      </c>
    </row>
    <row r="30" spans="1:29" ht="15">
      <c r="A30" s="318"/>
      <c r="B30" s="535" t="s">
        <v>2392</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5"/>
      <c r="M30" s="2996"/>
      <c r="N30" s="2996"/>
      <c r="O30" s="3004"/>
      <c r="P30" s="3649"/>
      <c r="Q30" s="1304" t="str">
        <f t="shared" si="8"/>
        <v>土地级别</v>
      </c>
      <c r="R30" s="631" t="s">
        <v>25</v>
      </c>
      <c r="S30" s="632">
        <f t="shared" si="10"/>
        <v>100</v>
      </c>
      <c r="T30" s="631" t="s">
        <v>25</v>
      </c>
      <c r="U30" s="632">
        <f t="shared" si="11"/>
        <v>100</v>
      </c>
      <c r="V30" s="631" t="s">
        <v>25</v>
      </c>
      <c r="W30" s="632">
        <f t="shared" si="12"/>
        <v>100</v>
      </c>
      <c r="X30" s="1305"/>
      <c r="Y30" s="3649"/>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5"/>
      <c r="M31" s="2996"/>
      <c r="N31" s="2996"/>
      <c r="O31" s="3004"/>
      <c r="P31" s="3649"/>
      <c r="Q31" s="1304">
        <f t="shared" si="8"/>
        <v>111</v>
      </c>
      <c r="R31" s="631" t="s">
        <v>25</v>
      </c>
      <c r="S31" s="632">
        <f t="shared" si="10"/>
        <v>100</v>
      </c>
      <c r="T31" s="631" t="s">
        <v>25</v>
      </c>
      <c r="U31" s="632">
        <f t="shared" si="11"/>
        <v>100</v>
      </c>
      <c r="V31" s="631" t="s">
        <v>25</v>
      </c>
      <c r="W31" s="632">
        <f t="shared" si="12"/>
        <v>100</v>
      </c>
      <c r="X31" s="1305"/>
      <c r="Y31" s="3649"/>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5"/>
      <c r="M32" s="2996"/>
      <c r="N32" s="2996"/>
      <c r="O32" s="3004"/>
      <c r="P32" s="3636" t="s">
        <v>2219</v>
      </c>
      <c r="Q32" s="1304">
        <f t="shared" si="8"/>
        <v>111</v>
      </c>
      <c r="R32" s="631" t="s">
        <v>25</v>
      </c>
      <c r="S32" s="632">
        <f t="shared" si="10"/>
        <v>100</v>
      </c>
      <c r="T32" s="631" t="s">
        <v>25</v>
      </c>
      <c r="U32" s="632">
        <f t="shared" si="11"/>
        <v>100</v>
      </c>
      <c r="V32" s="631" t="s">
        <v>25</v>
      </c>
      <c r="W32" s="632">
        <f t="shared" si="12"/>
        <v>100</v>
      </c>
      <c r="X32" s="1305"/>
      <c r="Y32" s="3637" t="s">
        <v>2219</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3"/>
      <c r="M33" s="358"/>
      <c r="N33" s="358"/>
      <c r="O33" s="3006"/>
      <c r="P33" s="3637"/>
      <c r="Q33" s="1304">
        <f t="shared" si="8"/>
        <v>111</v>
      </c>
      <c r="R33" s="634" t="s">
        <v>25</v>
      </c>
      <c r="S33" s="635">
        <f t="shared" si="10"/>
        <v>100</v>
      </c>
      <c r="T33" s="634" t="s">
        <v>25</v>
      </c>
      <c r="U33" s="635">
        <f t="shared" si="11"/>
        <v>100</v>
      </c>
      <c r="V33" s="634" t="s">
        <v>25</v>
      </c>
      <c r="W33" s="635">
        <f t="shared" si="12"/>
        <v>100</v>
      </c>
      <c r="X33" s="636"/>
      <c r="Y33" s="3637"/>
      <c r="Z33" s="637">
        <f t="shared" si="13"/>
        <v>111</v>
      </c>
      <c r="AA33" s="1307">
        <f t="shared" si="3"/>
        <v>1</v>
      </c>
      <c r="AB33" s="1307">
        <f t="shared" si="4"/>
        <v>1</v>
      </c>
      <c r="AC33" s="1307">
        <f t="shared" si="5"/>
        <v>1</v>
      </c>
    </row>
    <row r="34" spans="1:29" ht="15">
      <c r="A34" s="360" t="s">
        <v>2217</v>
      </c>
      <c r="B34" s="345" t="s">
        <v>2393</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5"/>
      <c r="M34" s="2996"/>
      <c r="N34" s="2996"/>
      <c r="O34" s="3004"/>
      <c r="P34" s="3637"/>
      <c r="Q34" s="1304" t="str">
        <f>B34</f>
        <v>宗地面积</v>
      </c>
      <c r="R34" s="631" t="s">
        <v>25</v>
      </c>
      <c r="S34" s="632" t="e">
        <f t="shared" si="10"/>
        <v>#N/A</v>
      </c>
      <c r="T34" s="631" t="s">
        <v>25</v>
      </c>
      <c r="U34" s="632" t="e">
        <f t="shared" si="11"/>
        <v>#N/A</v>
      </c>
      <c r="V34" s="631" t="s">
        <v>25</v>
      </c>
      <c r="W34" s="632" t="e">
        <f t="shared" si="12"/>
        <v>#N/A</v>
      </c>
      <c r="X34" s="1305"/>
      <c r="Y34" s="3637"/>
      <c r="Z34" s="1306" t="str">
        <f t="shared" si="13"/>
        <v>宗地面积</v>
      </c>
      <c r="AA34" s="1307" t="e">
        <f t="shared" si="3"/>
        <v>#N/A</v>
      </c>
      <c r="AB34" s="1307" t="e">
        <f t="shared" si="4"/>
        <v>#N/A</v>
      </c>
      <c r="AC34" s="1307" t="e">
        <f t="shared" si="5"/>
        <v>#N/A</v>
      </c>
    </row>
    <row r="35" spans="1:29" ht="15">
      <c r="A35" s="360"/>
      <c r="B35" s="313" t="s">
        <v>2394</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5"/>
      <c r="M35" s="2996"/>
      <c r="N35" s="2996"/>
      <c r="O35" s="3004"/>
      <c r="P35" s="3637"/>
      <c r="Q35" s="1304" t="str">
        <f t="shared" ref="Q35:Q40" si="14">B35</f>
        <v>宗地形状</v>
      </c>
      <c r="R35" s="631" t="s">
        <v>25</v>
      </c>
      <c r="S35" s="632">
        <f t="shared" si="10"/>
        <v>100</v>
      </c>
      <c r="T35" s="631" t="s">
        <v>25</v>
      </c>
      <c r="U35" s="632">
        <f t="shared" si="11"/>
        <v>100</v>
      </c>
      <c r="V35" s="631" t="s">
        <v>25</v>
      </c>
      <c r="W35" s="632">
        <f t="shared" si="12"/>
        <v>100</v>
      </c>
      <c r="X35" s="1305"/>
      <c r="Y35" s="3637"/>
      <c r="Z35" s="1306" t="str">
        <f t="shared" si="13"/>
        <v>宗地形状</v>
      </c>
      <c r="AA35" s="1307">
        <f t="shared" si="3"/>
        <v>1</v>
      </c>
      <c r="AB35" s="1307">
        <f t="shared" si="4"/>
        <v>1</v>
      </c>
      <c r="AC35" s="1307">
        <f t="shared" si="5"/>
        <v>1</v>
      </c>
    </row>
    <row r="36" spans="1:29" s="25" customFormat="1" ht="15">
      <c r="A36" s="361"/>
      <c r="B36" s="313" t="s">
        <v>2396</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7"/>
      <c r="M36" s="2998"/>
      <c r="N36" s="2998"/>
      <c r="O36" s="2999"/>
      <c r="P36" s="3637"/>
      <c r="Q36" s="1304" t="str">
        <f t="shared" si="14"/>
        <v>宗地开发程度</v>
      </c>
      <c r="R36" s="627" t="s">
        <v>25</v>
      </c>
      <c r="S36" s="628">
        <f t="shared" si="10"/>
        <v>100</v>
      </c>
      <c r="T36" s="627" t="s">
        <v>25</v>
      </c>
      <c r="U36" s="628">
        <f t="shared" si="11"/>
        <v>100</v>
      </c>
      <c r="V36" s="627" t="s">
        <v>25</v>
      </c>
      <c r="W36" s="628">
        <f t="shared" si="12"/>
        <v>100</v>
      </c>
      <c r="X36" s="629"/>
      <c r="Y36" s="3637"/>
      <c r="Z36" s="19" t="str">
        <f t="shared" si="13"/>
        <v>宗地开发程度</v>
      </c>
      <c r="AA36" s="630">
        <f t="shared" si="3"/>
        <v>1</v>
      </c>
      <c r="AB36" s="630">
        <f t="shared" si="4"/>
        <v>1</v>
      </c>
      <c r="AC36" s="630">
        <f t="shared" si="5"/>
        <v>1</v>
      </c>
    </row>
    <row r="37" spans="1:29" ht="15">
      <c r="A37" s="360"/>
      <c r="B37" s="313" t="s">
        <v>2397</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5"/>
      <c r="M37" s="2996"/>
      <c r="N37" s="2996"/>
      <c r="O37" s="3004"/>
      <c r="P37" s="3637" t="s">
        <v>2219</v>
      </c>
      <c r="Q37" s="1304" t="str">
        <f t="shared" si="14"/>
        <v>工程地质条件</v>
      </c>
      <c r="R37" s="631" t="s">
        <v>25</v>
      </c>
      <c r="S37" s="632">
        <f t="shared" si="10"/>
        <v>100</v>
      </c>
      <c r="T37" s="631" t="s">
        <v>25</v>
      </c>
      <c r="U37" s="632">
        <f t="shared" si="11"/>
        <v>100</v>
      </c>
      <c r="V37" s="631" t="s">
        <v>25</v>
      </c>
      <c r="W37" s="632">
        <f t="shared" si="12"/>
        <v>100</v>
      </c>
      <c r="X37" s="1305"/>
      <c r="Y37" s="3637" t="s">
        <v>2219</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5"/>
      <c r="M38" s="2996"/>
      <c r="N38" s="2996"/>
      <c r="O38" s="3004"/>
      <c r="P38" s="3637"/>
      <c r="Q38" s="1304">
        <f t="shared" si="14"/>
        <v>111</v>
      </c>
      <c r="R38" s="631" t="s">
        <v>25</v>
      </c>
      <c r="S38" s="632">
        <f t="shared" si="10"/>
        <v>100</v>
      </c>
      <c r="T38" s="631" t="s">
        <v>25</v>
      </c>
      <c r="U38" s="632">
        <f t="shared" si="11"/>
        <v>100</v>
      </c>
      <c r="V38" s="631" t="s">
        <v>25</v>
      </c>
      <c r="W38" s="632">
        <f t="shared" si="12"/>
        <v>100</v>
      </c>
      <c r="X38" s="1305"/>
      <c r="Y38" s="3637"/>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5"/>
      <c r="M39" s="2996"/>
      <c r="N39" s="2996"/>
      <c r="O39" s="3004"/>
      <c r="P39" s="3637"/>
      <c r="Q39" s="1304">
        <f t="shared" si="14"/>
        <v>111</v>
      </c>
      <c r="R39" s="631" t="s">
        <v>25</v>
      </c>
      <c r="S39" s="632">
        <f t="shared" si="10"/>
        <v>100</v>
      </c>
      <c r="T39" s="631" t="s">
        <v>25</v>
      </c>
      <c r="U39" s="632">
        <f t="shared" si="11"/>
        <v>100</v>
      </c>
      <c r="V39" s="631" t="s">
        <v>25</v>
      </c>
      <c r="W39" s="632">
        <f t="shared" si="12"/>
        <v>100</v>
      </c>
      <c r="X39" s="1305"/>
      <c r="Y39" s="3637"/>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3"/>
      <c r="M40" s="358"/>
      <c r="N40" s="358"/>
      <c r="O40" s="3006"/>
      <c r="P40" s="3637"/>
      <c r="Q40" s="1304">
        <f t="shared" si="14"/>
        <v>111</v>
      </c>
      <c r="R40" s="634" t="s">
        <v>25</v>
      </c>
      <c r="S40" s="635">
        <f t="shared" si="10"/>
        <v>100</v>
      </c>
      <c r="T40" s="634" t="s">
        <v>25</v>
      </c>
      <c r="U40" s="635">
        <f t="shared" si="11"/>
        <v>100</v>
      </c>
      <c r="V40" s="634" t="s">
        <v>25</v>
      </c>
      <c r="W40" s="635">
        <f t="shared" si="12"/>
        <v>100</v>
      </c>
      <c r="X40" s="636"/>
      <c r="Y40" s="3637"/>
      <c r="Z40" s="637">
        <f t="shared" si="13"/>
        <v>111</v>
      </c>
      <c r="AA40" s="1307">
        <f t="shared" si="3"/>
        <v>1</v>
      </c>
      <c r="AB40" s="1307">
        <f t="shared" si="4"/>
        <v>1</v>
      </c>
      <c r="AC40" s="1307">
        <f t="shared" si="5"/>
        <v>1</v>
      </c>
    </row>
    <row r="41" spans="1:29" ht="15">
      <c r="A41" s="367" t="s">
        <v>2361</v>
      </c>
      <c r="B41" s="1561" t="s">
        <v>2436</v>
      </c>
      <c r="C41" s="562" t="s">
        <v>1</v>
      </c>
      <c r="D41" s="369"/>
      <c r="E41" s="370"/>
      <c r="F41" s="371"/>
      <c r="G41" s="372"/>
      <c r="H41" s="373"/>
      <c r="I41" s="370"/>
      <c r="J41" s="373"/>
      <c r="K41" s="640"/>
      <c r="L41" s="3007"/>
      <c r="M41" s="2996"/>
      <c r="N41" s="2996"/>
      <c r="P41" s="3631" t="str">
        <f>A41</f>
        <v>成交单价</v>
      </c>
      <c r="Q41" s="3631"/>
      <c r="R41" s="3664">
        <f>E41</f>
        <v>0</v>
      </c>
      <c r="S41" s="3664"/>
      <c r="T41" s="3664">
        <f>G41</f>
        <v>0</v>
      </c>
      <c r="U41" s="3664"/>
      <c r="V41" s="3664">
        <f>I41</f>
        <v>0</v>
      </c>
      <c r="W41" s="3664"/>
      <c r="X41" s="618"/>
      <c r="Y41" s="638"/>
      <c r="Z41" s="618"/>
      <c r="AA41" s="618"/>
      <c r="AB41" s="618"/>
      <c r="AC41" s="618"/>
    </row>
    <row r="42" spans="1:29" ht="15.75" thickBot="1">
      <c r="A42" s="374" t="s">
        <v>2314</v>
      </c>
      <c r="B42" s="563"/>
      <c r="C42" s="377" t="e">
        <f>R43</f>
        <v>#DIV/0!</v>
      </c>
      <c r="D42" s="1767" t="s">
        <v>2687</v>
      </c>
      <c r="E42" s="377" t="e">
        <f>R42</f>
        <v>#DIV/0!</v>
      </c>
      <c r="F42" s="1769"/>
      <c r="G42" s="376" t="e">
        <f>T42</f>
        <v>#DIV/0!</v>
      </c>
      <c r="H42" s="1769"/>
      <c r="I42" s="377" t="e">
        <f>V42</f>
        <v>#DIV/0!</v>
      </c>
      <c r="J42" s="1769"/>
      <c r="K42" s="2481">
        <f>F42+H42+J42</f>
        <v>0</v>
      </c>
      <c r="L42" s="3007"/>
      <c r="M42" s="2996"/>
      <c r="N42" s="2996"/>
      <c r="P42" s="3631" t="str">
        <f>A42</f>
        <v>比较价值（元/平方米）</v>
      </c>
      <c r="Q42" s="3631"/>
      <c r="R42" s="3676" t="e">
        <f>ROUND(PRODUCT(R41,AA7:AA40),0)</f>
        <v>#DIV/0!</v>
      </c>
      <c r="S42" s="3676"/>
      <c r="T42" s="3676" t="e">
        <f>ROUND(PRODUCT(T41,AB7:AB40),0)</f>
        <v>#DIV/0!</v>
      </c>
      <c r="U42" s="3676"/>
      <c r="V42" s="3676" t="e">
        <f>ROUND(PRODUCT(V41,AC7:AC40),0)</f>
        <v>#DIV/0!</v>
      </c>
      <c r="W42" s="3676"/>
      <c r="X42" s="618"/>
      <c r="Y42" s="618"/>
      <c r="Z42" s="618"/>
      <c r="AA42" s="618"/>
      <c r="AB42" s="618"/>
      <c r="AC42" s="618"/>
    </row>
    <row r="43" spans="1:29" ht="15.75" thickBot="1">
      <c r="A43" s="378" t="s">
        <v>2337</v>
      </c>
      <c r="B43" s="379"/>
      <c r="C43" s="380" t="e">
        <f>R43</f>
        <v>#DIV/0!</v>
      </c>
      <c r="D43" s="380"/>
      <c r="E43" s="380"/>
      <c r="F43" s="380"/>
      <c r="G43" s="380"/>
      <c r="H43" s="380"/>
      <c r="I43" s="380"/>
      <c r="J43" s="380"/>
      <c r="K43" s="641"/>
      <c r="L43" s="3007"/>
      <c r="M43" s="2996"/>
      <c r="N43" s="2996"/>
      <c r="P43" s="3633" t="str">
        <f>A43</f>
        <v>估价对象XX用房的比较价值（楼面单价，元/平方米）</v>
      </c>
      <c r="Q43" s="3634"/>
      <c r="R43" s="3675" t="e">
        <f>ROUND(IF(D42="简单平均",AVERAGE(R42:W42),R42*F42+T42*H42+V42*J42),0)</f>
        <v>#DIV/0!</v>
      </c>
      <c r="S43" s="3675"/>
      <c r="T43" s="3675"/>
      <c r="U43" s="3675"/>
      <c r="V43" s="3675"/>
      <c r="W43" s="3675"/>
      <c r="X43" s="618"/>
      <c r="Y43" s="618"/>
      <c r="Z43" s="618"/>
      <c r="AA43" s="618"/>
      <c r="AB43" s="618"/>
      <c r="AC43" s="618"/>
    </row>
    <row r="44" spans="1:29">
      <c r="G44" s="3010"/>
      <c r="M44" s="2996"/>
      <c r="N44" s="2996"/>
    </row>
    <row r="45" spans="1:29">
      <c r="M45" s="2996"/>
      <c r="N45" s="2996"/>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6"/>
      <c r="N46" s="2996"/>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ht="15" thickBot="1">
      <c r="B49" s="3009"/>
      <c r="C49" s="3012"/>
      <c r="K49" s="3011"/>
      <c r="L49" s="3008"/>
    </row>
    <row r="50" spans="1:17" ht="27">
      <c r="A50" s="564" t="s">
        <v>2399</v>
      </c>
      <c r="B50" s="565" t="s">
        <v>2400</v>
      </c>
      <c r="C50" s="1562" t="s">
        <v>2401</v>
      </c>
      <c r="D50" s="1563" t="s">
        <v>2402</v>
      </c>
      <c r="E50" s="566" t="s">
        <v>2403</v>
      </c>
      <c r="F50" s="567" t="s">
        <v>2404</v>
      </c>
      <c r="G50" s="1306" t="s">
        <v>2437</v>
      </c>
      <c r="H50" s="1306" t="str">
        <f>项目基本情况!G8</f>
        <v>XX</v>
      </c>
      <c r="I50" s="1280" t="s">
        <v>2406</v>
      </c>
      <c r="J50" s="958"/>
      <c r="K50" s="956"/>
    </row>
    <row r="51" spans="1:17" s="572" customFormat="1">
      <c r="A51" s="568" t="s">
        <v>2407</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2408</v>
      </c>
      <c r="B52" s="94" t="e">
        <f>ROUND($C$43*C52*D52,0)</f>
        <v>#DIV/0!</v>
      </c>
      <c r="C52" s="51">
        <f>IF($C$50="北京市系数",G52,H52)</f>
        <v>0</v>
      </c>
      <c r="D52" s="982">
        <v>0.25</v>
      </c>
      <c r="E52" s="574">
        <v>0</v>
      </c>
      <c r="F52" s="571" t="e">
        <f t="shared" si="15"/>
        <v>#DIV/0!</v>
      </c>
      <c r="G52" s="796">
        <f>SUMIF(修正!$A$45:$A$56,项目基本情况!$F$9,修正!B45:B56)</f>
        <v>0</v>
      </c>
      <c r="H52" s="797"/>
      <c r="I52" s="296"/>
      <c r="J52" s="381"/>
      <c r="K52" s="382"/>
      <c r="L52" s="382"/>
      <c r="M52" s="296"/>
      <c r="N52" s="296"/>
      <c r="O52" s="296"/>
    </row>
    <row r="53" spans="1:17" s="572" customFormat="1">
      <c r="A53" s="573" t="s">
        <v>2409</v>
      </c>
      <c r="B53" s="94" t="e">
        <f t="shared" ref="B53:B60" si="16">ROUND($C$43*C53*D53,0)</f>
        <v>#DIV/0!</v>
      </c>
      <c r="C53" s="51">
        <f t="shared" ref="C53:C60" si="17">IF($C$50="北京市系数",G53,H53)</f>
        <v>0</v>
      </c>
      <c r="D53" s="982">
        <v>0.25</v>
      </c>
      <c r="E53" s="574">
        <v>0</v>
      </c>
      <c r="F53" s="571" t="e">
        <f t="shared" si="15"/>
        <v>#DIV/0!</v>
      </c>
      <c r="G53" s="796">
        <f>SUMIF(修正!$A$45:$A$56,项目基本情况!$F$9,修正!C45:C56)</f>
        <v>0</v>
      </c>
      <c r="H53" s="797"/>
      <c r="I53" s="388"/>
      <c r="J53" s="381"/>
      <c r="K53" s="382"/>
      <c r="L53" s="382"/>
      <c r="M53" s="296"/>
      <c r="N53" s="296"/>
      <c r="O53" s="296"/>
    </row>
    <row r="54" spans="1:17" s="572" customFormat="1">
      <c r="A54" s="573" t="s">
        <v>2410</v>
      </c>
      <c r="B54" s="94" t="e">
        <f t="shared" si="16"/>
        <v>#DIV/0!</v>
      </c>
      <c r="C54" s="51">
        <f t="shared" si="17"/>
        <v>0</v>
      </c>
      <c r="D54" s="982">
        <v>0.25</v>
      </c>
      <c r="E54" s="574">
        <v>0</v>
      </c>
      <c r="F54" s="571" t="e">
        <f t="shared" si="15"/>
        <v>#DIV/0!</v>
      </c>
      <c r="G54" s="796">
        <f>SUMIF(修正!$A$45:$A$56,项目基本情况!$F$9,修正!D45:D56)</f>
        <v>0</v>
      </c>
      <c r="H54" s="797"/>
      <c r="I54" s="296"/>
      <c r="J54" s="381"/>
      <c r="K54" s="382"/>
      <c r="L54" s="382"/>
      <c r="M54" s="296"/>
      <c r="N54" s="296"/>
      <c r="O54" s="296"/>
    </row>
    <row r="55" spans="1:17" s="572" customFormat="1">
      <c r="A55" s="573" t="s">
        <v>2411</v>
      </c>
      <c r="B55" s="94" t="e">
        <f t="shared" si="16"/>
        <v>#DIV/0!</v>
      </c>
      <c r="C55" s="51">
        <f t="shared" si="17"/>
        <v>0</v>
      </c>
      <c r="D55" s="982">
        <v>0.25</v>
      </c>
      <c r="E55" s="574">
        <v>0</v>
      </c>
      <c r="F55" s="571" t="e">
        <f t="shared" si="15"/>
        <v>#DIV/0!</v>
      </c>
      <c r="G55" s="796">
        <f>SUMIF(修正!$A$45:$A$56,项目基本情况!$F$9,修正!E45:E56)</f>
        <v>0</v>
      </c>
      <c r="H55" s="797"/>
      <c r="I55" s="388"/>
      <c r="J55" s="381"/>
      <c r="K55" s="382"/>
      <c r="L55" s="382"/>
      <c r="M55" s="296"/>
      <c r="N55" s="296"/>
      <c r="O55" s="296"/>
    </row>
    <row r="56" spans="1:17" s="572" customFormat="1">
      <c r="A56" s="573" t="s">
        <v>2412</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2413</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2414</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2415</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2416</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2417</v>
      </c>
      <c r="B61" s="577" t="s">
        <v>39</v>
      </c>
      <c r="C61" s="577" t="s">
        <v>40</v>
      </c>
      <c r="D61" s="577" t="s">
        <v>36</v>
      </c>
      <c r="E61" s="577">
        <f>SUM(E51:E60)</f>
        <v>120</v>
      </c>
      <c r="F61" s="578" t="e">
        <f>SUM(F51:F60)</f>
        <v>#DIV/0!</v>
      </c>
      <c r="G61" s="960"/>
      <c r="H61" s="960"/>
      <c r="I61" s="301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2022-3-1</v>
      </c>
      <c r="D63" s="1153">
        <f>EDATE(C63,-3)</f>
        <v>44531</v>
      </c>
      <c r="E63" s="1153">
        <f t="shared" ref="E63:O63" si="18">EDATE(D63,-3)</f>
        <v>44440</v>
      </c>
      <c r="F63" s="1153">
        <f t="shared" si="18"/>
        <v>44348</v>
      </c>
      <c r="G63" s="1153">
        <f t="shared" si="18"/>
        <v>44256</v>
      </c>
      <c r="H63" s="1153">
        <f t="shared" si="18"/>
        <v>44166</v>
      </c>
      <c r="I63" s="1153">
        <f t="shared" si="18"/>
        <v>44075</v>
      </c>
      <c r="J63" s="1153">
        <f t="shared" si="18"/>
        <v>43983</v>
      </c>
      <c r="K63" s="1153">
        <f t="shared" si="18"/>
        <v>43891</v>
      </c>
      <c r="L63" s="1153">
        <f t="shared" si="18"/>
        <v>43800</v>
      </c>
      <c r="M63" s="1153">
        <f t="shared" si="18"/>
        <v>43709</v>
      </c>
      <c r="N63" s="1153">
        <f t="shared" si="18"/>
        <v>43617</v>
      </c>
      <c r="O63" s="1153">
        <f t="shared" si="18"/>
        <v>43525</v>
      </c>
    </row>
    <row r="64" spans="1:17" ht="21.75" thickBot="1">
      <c r="A64" s="620" t="s">
        <v>2319</v>
      </c>
      <c r="B64" s="618"/>
      <c r="C64" s="621"/>
      <c r="D64" s="621"/>
      <c r="E64" s="621"/>
      <c r="F64" s="622"/>
      <c r="G64" s="622"/>
      <c r="H64" s="621"/>
      <c r="I64" s="963"/>
      <c r="J64" s="963"/>
      <c r="K64" s="961"/>
      <c r="L64" s="962"/>
      <c r="M64" s="963"/>
      <c r="N64" s="963"/>
      <c r="O64" s="963"/>
      <c r="P64" s="389"/>
      <c r="Q64" s="390"/>
    </row>
    <row r="65" spans="1:17" s="394" customFormat="1" ht="15">
      <c r="A65" s="1565" t="s">
        <v>2418</v>
      </c>
      <c r="B65" s="1097"/>
      <c r="C65" s="1154" t="str">
        <f>YEAR(C63)&amp;"-"&amp;ROUNDUP(MONTH(C63)/3,0)</f>
        <v>2022-1</v>
      </c>
      <c r="D65" s="1154" t="str">
        <f t="shared" ref="D65:O65" si="19">YEAR(D63)&amp;"-"&amp;ROUNDUP(MONTH(D63)/3,0)</f>
        <v>2021-4</v>
      </c>
      <c r="E65" s="1154" t="str">
        <f t="shared" si="19"/>
        <v>2021-3</v>
      </c>
      <c r="F65" s="1154" t="str">
        <f t="shared" si="19"/>
        <v>2021-2</v>
      </c>
      <c r="G65" s="1154" t="str">
        <f t="shared" si="19"/>
        <v>2021-1</v>
      </c>
      <c r="H65" s="1154" t="str">
        <f t="shared" si="19"/>
        <v>2020-4</v>
      </c>
      <c r="I65" s="1154" t="str">
        <f t="shared" si="19"/>
        <v>2020-3</v>
      </c>
      <c r="J65" s="1154" t="str">
        <f t="shared" si="19"/>
        <v>2020-2</v>
      </c>
      <c r="K65" s="1154" t="str">
        <f t="shared" si="19"/>
        <v>2020-1</v>
      </c>
      <c r="L65" s="1154" t="str">
        <f t="shared" si="19"/>
        <v>2019-4</v>
      </c>
      <c r="M65" s="1154" t="str">
        <f t="shared" si="19"/>
        <v>2019-3</v>
      </c>
      <c r="N65" s="1154" t="str">
        <f t="shared" si="19"/>
        <v>2019-2</v>
      </c>
      <c r="O65" s="1154" t="str">
        <f t="shared" si="19"/>
        <v>2019-1</v>
      </c>
      <c r="P65" s="393"/>
    </row>
    <row r="66" spans="1:17" s="25" customFormat="1" ht="33.75" customHeight="1">
      <c r="A66" s="1570" t="s">
        <v>2438</v>
      </c>
      <c r="B66" s="200" t="str">
        <f>"北京市平均增长率"&amp;TEXT(基准地价修正!P24,"0.00%")</f>
        <v>北京市平均增长率1.20%</v>
      </c>
      <c r="C66" s="491">
        <v>100</v>
      </c>
      <c r="D66" s="483"/>
      <c r="E66" s="483"/>
      <c r="F66" s="483"/>
      <c r="G66" s="483"/>
      <c r="H66" s="483"/>
      <c r="I66" s="483"/>
      <c r="J66" s="483"/>
      <c r="K66" s="483"/>
      <c r="L66" s="483"/>
      <c r="M66" s="1152"/>
      <c r="N66" s="483"/>
      <c r="O66" s="1155"/>
      <c r="P66" s="390"/>
    </row>
    <row r="67" spans="1:17" s="25" customFormat="1" ht="15.75" thickBot="1">
      <c r="A67" s="400" t="s">
        <v>2239</v>
      </c>
      <c r="B67" s="401"/>
      <c r="C67" s="402"/>
      <c r="D67" s="403"/>
      <c r="E67" s="403"/>
      <c r="F67" s="403"/>
      <c r="G67" s="403"/>
      <c r="H67" s="403"/>
      <c r="I67" s="403"/>
      <c r="J67" s="403"/>
      <c r="K67" s="403"/>
      <c r="L67" s="403"/>
      <c r="M67" s="404"/>
      <c r="N67" s="403"/>
      <c r="O67" s="1156"/>
      <c r="P67" s="390"/>
      <c r="Q67" s="390"/>
    </row>
    <row r="68" spans="1:17" s="25" customFormat="1" ht="15">
      <c r="A68" s="406" t="s">
        <v>2203</v>
      </c>
      <c r="B68" s="396"/>
      <c r="C68" s="407" t="s">
        <v>2204</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2242</v>
      </c>
      <c r="B70" s="413" t="s">
        <v>2207</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2210</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2212</v>
      </c>
      <c r="B83" s="413" t="s">
        <v>2346</v>
      </c>
      <c r="C83" s="461" t="s">
        <v>2251</v>
      </c>
      <c r="D83" s="461" t="s">
        <v>2252</v>
      </c>
      <c r="E83" s="461" t="s">
        <v>2253</v>
      </c>
      <c r="F83" s="461" t="s">
        <v>2254</v>
      </c>
      <c r="G83" s="461" t="s">
        <v>2255</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2256</v>
      </c>
      <c r="C85" s="466" t="s">
        <v>2251</v>
      </c>
      <c r="D85" s="466" t="s">
        <v>2252</v>
      </c>
      <c r="E85" s="466" t="s">
        <v>2253</v>
      </c>
      <c r="F85" s="466" t="s">
        <v>2254</v>
      </c>
      <c r="G85" s="466" t="s">
        <v>2255</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2421</v>
      </c>
      <c r="C87" s="461" t="s">
        <v>2251</v>
      </c>
      <c r="D87" s="461" t="s">
        <v>2252</v>
      </c>
      <c r="E87" s="461" t="s">
        <v>2253</v>
      </c>
      <c r="F87" s="461" t="s">
        <v>2254</v>
      </c>
      <c r="G87" s="461" t="s">
        <v>2255</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2422</v>
      </c>
      <c r="C89" s="461" t="s">
        <v>2251</v>
      </c>
      <c r="D89" s="461" t="s">
        <v>2252</v>
      </c>
      <c r="E89" s="461" t="s">
        <v>2253</v>
      </c>
      <c r="F89" s="461" t="s">
        <v>2254</v>
      </c>
      <c r="G89" s="461" t="s">
        <v>2255</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2299</v>
      </c>
      <c r="C91" s="461" t="s">
        <v>2251</v>
      </c>
      <c r="D91" s="461" t="s">
        <v>2252</v>
      </c>
      <c r="E91" s="461" t="s">
        <v>2253</v>
      </c>
      <c r="F91" s="461" t="s">
        <v>2254</v>
      </c>
      <c r="G91" s="461" t="s">
        <v>2255</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2300</v>
      </c>
      <c r="C93" s="426" t="s">
        <v>2258</v>
      </c>
      <c r="D93" s="426" t="s">
        <v>2259</v>
      </c>
      <c r="E93" s="426" t="s">
        <v>2260</v>
      </c>
      <c r="F93" s="426" t="s">
        <v>2261</v>
      </c>
      <c r="G93" s="426" t="s">
        <v>2262</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2423</v>
      </c>
      <c r="D95" s="426" t="s">
        <v>2424</v>
      </c>
      <c r="E95" s="426" t="s">
        <v>2425</v>
      </c>
      <c r="F95" s="426" t="s">
        <v>2426</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2331</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2392</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2217</v>
      </c>
      <c r="B107" s="413" t="s">
        <v>2427</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2428</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2430</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2431</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D52:D60" xr:uid="{00000000-0002-0000-1C00-00000F000000}">
      <formula1>"25%,1"</formula1>
    </dataValidation>
    <dataValidation type="list" allowBlank="1" showInputMessage="1" showErrorMessage="1" sqref="C26 E26 G26 I26" xr:uid="{00000000-0002-0000-1C00-000010000000}">
      <formula1>基础设施水平</formula1>
    </dataValidation>
    <dataValidation type="list" allowBlank="1" showInputMessage="1" showErrorMessage="1" sqref="D42" xr:uid="{00000000-0002-0000-1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zoomScale="70" zoomScaleNormal="90" zoomScaleSheetLayoutView="70" workbookViewId="0">
      <selection activeCell="M31" sqref="M31"/>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5" customWidth="1"/>
    <col min="33" max="38" width="9.375" style="1594" customWidth="1"/>
    <col min="39" max="16384" width="9" style="1594"/>
  </cols>
  <sheetData>
    <row r="1" spans="1:36" ht="28.5">
      <c r="A1" s="2067" t="s">
        <v>2439</v>
      </c>
      <c r="B1" s="2068"/>
      <c r="C1" s="2069" t="s">
        <v>2440</v>
      </c>
      <c r="D1" s="2070">
        <f>SUM(D29:D30,D33:D39)</f>
        <v>240.88</v>
      </c>
      <c r="E1" s="2070"/>
      <c r="F1" s="2070"/>
      <c r="G1" s="2070"/>
      <c r="H1" s="2070"/>
      <c r="I1" s="2070"/>
      <c r="J1" s="2070"/>
      <c r="K1" s="3020"/>
      <c r="L1" s="2071" t="s">
        <v>2441</v>
      </c>
      <c r="M1" s="2072">
        <f>SUMPRODUCT((区片价!B5:B9=I2)*(区片价!C3:F3=E2)*(区片价!C5:F9))</f>
        <v>0</v>
      </c>
      <c r="N1" s="2073">
        <f>SUMPRODUCT((因素修正幅度!B5:B9=I2)*(因素修正幅度!C3:F3=E2)*(因素修正幅度!C5:F9))</f>
        <v>0</v>
      </c>
      <c r="O1" s="3020"/>
      <c r="P1" s="3020"/>
      <c r="Q1" s="3020"/>
      <c r="R1" s="2074" t="s">
        <v>2442</v>
      </c>
      <c r="S1" s="2074" t="s">
        <v>2443</v>
      </c>
      <c r="T1" s="2074" t="s">
        <v>2444</v>
      </c>
      <c r="U1" s="2074" t="s">
        <v>2445</v>
      </c>
      <c r="V1" s="2074" t="s">
        <v>2446</v>
      </c>
      <c r="W1" s="2075"/>
      <c r="X1" s="2075"/>
      <c r="Y1" s="2075"/>
      <c r="Z1" s="2075"/>
      <c r="AA1" s="2075"/>
      <c r="AB1" s="2075"/>
      <c r="AC1" s="2075"/>
      <c r="AD1" s="2076"/>
      <c r="AE1" s="2076"/>
      <c r="AF1" s="2076"/>
      <c r="AG1" s="2076"/>
      <c r="AH1" s="2076"/>
      <c r="AI1" s="2076"/>
      <c r="AJ1" s="2077"/>
    </row>
    <row r="2" spans="1:36" ht="24.75">
      <c r="A2" s="1931" t="s">
        <v>2447</v>
      </c>
      <c r="B2" s="1629">
        <f>C26</f>
        <v>0</v>
      </c>
      <c r="C2" s="2078" t="s">
        <v>2448</v>
      </c>
      <c r="D2" s="1572" t="s">
        <v>2449</v>
      </c>
      <c r="E2" s="2079" t="s">
        <v>2821</v>
      </c>
      <c r="F2" s="1572" t="s">
        <v>2450</v>
      </c>
      <c r="G2" s="2080">
        <f>项目基本情况!F9</f>
        <v>0</v>
      </c>
      <c r="H2" s="1573" t="s">
        <v>2451</v>
      </c>
      <c r="I2" s="2080">
        <f>项目基本情况!F10</f>
        <v>0</v>
      </c>
      <c r="J2" s="2081"/>
      <c r="K2" s="3020"/>
      <c r="L2" s="2082" t="s">
        <v>2452</v>
      </c>
      <c r="M2" s="2083">
        <f>SUMPRODUCT((区片价!B10:B28=I2)*(区片价!C3:F3=E2)*(区片价!C10:F28))</f>
        <v>0</v>
      </c>
      <c r="N2" s="2084">
        <f>SUMPRODUCT((因素修正幅度!B10:B28=I2)*(因素修正幅度!C3:F3=E2)*(因素修正幅度!C10:F28))</f>
        <v>0</v>
      </c>
      <c r="O2" s="3020"/>
      <c r="P2" s="3020"/>
      <c r="Q2" s="3020"/>
      <c r="R2" s="2074">
        <v>1</v>
      </c>
      <c r="S2" s="2074">
        <f>ROUND(IF(G3&gt;1,IF(R2&lt;7,SUMPRODUCT((B93:B98=R2)*(C92:N92=G2)*(C93:N98)),SUMIF(C92:N92,G2,C100:N100)),IF(R2&lt;7,SUMPRODUCT((B102:B107=R2)*(C92:N92=G2)*(C102:N107)),SUMIF(C92:N92,G2,C109:N109))),4)</f>
        <v>0</v>
      </c>
      <c r="T2" s="2074">
        <f>ROUND($C$5*$C$18*$C$19*$C$20*S2*$C$24,0)</f>
        <v>0</v>
      </c>
      <c r="U2" s="2085"/>
      <c r="V2" s="2074">
        <f t="shared" ref="V2:V8" si="0">ROUND(T2*U2,0)</f>
        <v>0</v>
      </c>
      <c r="W2" s="2075"/>
      <c r="X2" s="2075"/>
      <c r="Y2" s="2075"/>
      <c r="Z2" s="2075"/>
      <c r="AA2" s="2075"/>
      <c r="AB2" s="2075"/>
      <c r="AC2" s="2075"/>
      <c r="AD2" s="2076"/>
      <c r="AE2" s="2076"/>
      <c r="AF2" s="2076"/>
      <c r="AG2" s="2076"/>
      <c r="AH2" s="2076"/>
      <c r="AI2" s="2076"/>
      <c r="AJ2" s="2077"/>
    </row>
    <row r="3" spans="1:36" ht="25.5">
      <c r="A3" s="1629" t="s">
        <v>2453</v>
      </c>
      <c r="B3" s="1629">
        <f>ROUND(B2/D1,0)</f>
        <v>0</v>
      </c>
      <c r="C3" s="2078" t="s">
        <v>2454</v>
      </c>
      <c r="D3" s="1572" t="s">
        <v>2455</v>
      </c>
      <c r="E3" s="2079" t="s">
        <v>2823</v>
      </c>
      <c r="F3" s="1574" t="s">
        <v>2456</v>
      </c>
      <c r="G3" s="2086">
        <f>项目基本情况!C15</f>
        <v>3.37</v>
      </c>
      <c r="H3" s="50" t="s">
        <v>2457</v>
      </c>
      <c r="I3" s="2087"/>
      <c r="J3" s="2081" t="s">
        <v>2458</v>
      </c>
      <c r="K3" s="3020"/>
      <c r="L3" s="2082" t="s">
        <v>2459</v>
      </c>
      <c r="M3" s="2083">
        <f>SUMPRODUCT((区片价!B29:B48=I2)*(区片价!C3:F3=E2)*(区片价!C29:F48))</f>
        <v>0</v>
      </c>
      <c r="N3" s="2084">
        <f>SUMPRODUCT((因素修正幅度!B29:B48=I2)*(因素修正幅度!C3:F3=E2)*(因素修正幅度!C29:F48))</f>
        <v>0</v>
      </c>
      <c r="O3" s="3020"/>
      <c r="P3" s="3020"/>
      <c r="Q3" s="3020"/>
      <c r="R3" s="2074">
        <v>2</v>
      </c>
      <c r="S3" s="2074">
        <f>ROUND(IF(G3&gt;1,IF(R3&lt;7,SUMPRODUCT((B93:B98=R3)*(C92:N92=G2)*(C93:N98)),SUMIF(C92:N92,G2,C100:N100)),IF(R3&lt;7,SUMPRODUCT((B102:B107=R3)*(C92:N92=G2)*(C102:N107)),SUMIF(C92:N92,G2,C109:N109))),4)</f>
        <v>0</v>
      </c>
      <c r="T3" s="2074">
        <f t="shared" ref="T3:T16" si="1">ROUND($C$5*$C$18*$C$19*$C$20*S3*$C$24,0)</f>
        <v>0</v>
      </c>
      <c r="U3" s="2085"/>
      <c r="V3" s="2074">
        <f t="shared" si="0"/>
        <v>0</v>
      </c>
      <c r="W3" s="2075"/>
      <c r="X3" s="2075"/>
      <c r="Y3" s="2075"/>
      <c r="Z3" s="2075"/>
      <c r="AA3" s="2075"/>
      <c r="AB3" s="2075"/>
      <c r="AC3" s="2075"/>
      <c r="AD3" s="2076"/>
      <c r="AE3" s="2076"/>
      <c r="AF3" s="2076"/>
      <c r="AG3" s="2076"/>
      <c r="AH3" s="2076"/>
      <c r="AI3" s="2076"/>
      <c r="AJ3" s="2077"/>
    </row>
    <row r="4" spans="1:36" ht="15.75">
      <c r="A4" s="3679"/>
      <c r="B4" s="3680"/>
      <c r="C4" s="3680"/>
      <c r="D4" s="3681"/>
      <c r="E4" s="3681"/>
      <c r="F4" s="3681"/>
      <c r="G4" s="3681"/>
      <c r="H4" s="3681"/>
      <c r="I4" s="3681"/>
      <c r="J4" s="3682"/>
      <c r="K4" s="3020"/>
      <c r="L4" s="2082" t="s">
        <v>2460</v>
      </c>
      <c r="M4" s="2083">
        <f>SUMPRODUCT((区片价!B49:B75=I2)*(区片价!C3:F3=E2)*(区片价!C49:F75))</f>
        <v>0</v>
      </c>
      <c r="N4" s="2084">
        <f>SUMPRODUCT((因素修正幅度!B49:B75=I2)*(因素修正幅度!C3:F3=E2)*(因素修正幅度!C49:F75))</f>
        <v>0</v>
      </c>
      <c r="O4" s="3020"/>
      <c r="P4" s="3020"/>
      <c r="Q4" s="3020"/>
      <c r="R4" s="2074">
        <v>3</v>
      </c>
      <c r="S4" s="2074">
        <f>ROUND(IF(G3&gt;1,IF(R4&lt;7,SUMPRODUCT((B93:B98=R4)*(C92:N92=G2)*(C93:N98)),SUMIF(C92:N92,G2,C100:N100)),IF(R4&lt;7,SUMPRODUCT((B102:B107=R4)*(C92:N92=G2)*(C102:N107)),SUMIF(C92:N92,G2,C109:N109))),4)</f>
        <v>0</v>
      </c>
      <c r="T4" s="2074">
        <f t="shared" si="1"/>
        <v>0</v>
      </c>
      <c r="U4" s="2085"/>
      <c r="V4" s="2074">
        <f t="shared" si="0"/>
        <v>0</v>
      </c>
      <c r="W4" s="2075"/>
      <c r="X4" s="2075"/>
      <c r="Y4" s="2075"/>
      <c r="Z4" s="2075"/>
      <c r="AA4" s="2075"/>
      <c r="AB4" s="2075"/>
      <c r="AC4" s="2075"/>
      <c r="AD4" s="2076"/>
      <c r="AE4" s="2076"/>
      <c r="AF4" s="2076"/>
      <c r="AG4" s="2076"/>
      <c r="AH4" s="2076"/>
      <c r="AI4" s="2076"/>
      <c r="AJ4" s="2077"/>
    </row>
    <row r="5" spans="1:36" s="2095" customFormat="1" ht="15.75" thickBot="1">
      <c r="A5" s="1575" t="s">
        <v>2461</v>
      </c>
      <c r="B5" s="1575" t="s">
        <v>2462</v>
      </c>
      <c r="C5" s="2088">
        <f>ROUND(IF(E2="商业",C6*C7+C16,(IF(E2="住宅",C6*C12+C16,C6+C16))),0)</f>
        <v>0</v>
      </c>
      <c r="D5" s="2089">
        <f>ROUND(C6+C16,0)</f>
        <v>0</v>
      </c>
      <c r="E5" s="2089"/>
      <c r="F5" s="2090"/>
      <c r="G5" s="2091"/>
      <c r="H5" s="2091"/>
      <c r="I5" s="2091"/>
      <c r="J5" s="2048"/>
      <c r="K5" s="1637"/>
      <c r="L5" s="2082" t="s">
        <v>2463</v>
      </c>
      <c r="M5" s="2083">
        <f>SUMPRODUCT((区片价!B76:B109=I2)*(区片价!C3:F3=E2)*(区片价!C76:F109))</f>
        <v>0</v>
      </c>
      <c r="N5" s="2084">
        <f>SUMPRODUCT((因素修正幅度!B76:B109=I2)*(因素修正幅度!C3:F3=E2)*(因素修正幅度!C76:F109))</f>
        <v>0</v>
      </c>
      <c r="O5" s="3020"/>
      <c r="P5" s="3020"/>
      <c r="Q5" s="3020"/>
      <c r="R5" s="2074">
        <v>4</v>
      </c>
      <c r="S5" s="2074">
        <f>ROUND(IF(G3&gt;1,IF(R5&lt;7,SUMPRODUCT((B93:B98=R5)*(C92:N92=G2)*(C93:N98)),SUMIF(C92:N92,G2,C100:N100)),IF(R5&lt;7,SUMPRODUCT((B102:B107=R5)*(C92:N92=G2)*(C102:N107)),SUMIF(C92:N92,G2,C109:N109))),4)</f>
        <v>0</v>
      </c>
      <c r="T5" s="2074">
        <f t="shared" si="1"/>
        <v>0</v>
      </c>
      <c r="U5" s="2085"/>
      <c r="V5" s="2074">
        <f t="shared" si="0"/>
        <v>0</v>
      </c>
      <c r="W5" s="2075"/>
      <c r="X5" s="2075"/>
      <c r="Y5" s="2075"/>
      <c r="Z5" s="2075"/>
      <c r="AA5" s="2075"/>
      <c r="AB5" s="2075"/>
      <c r="AC5" s="2092"/>
      <c r="AD5" s="2093"/>
      <c r="AE5" s="2093"/>
      <c r="AF5" s="2093"/>
      <c r="AG5" s="2093"/>
      <c r="AH5" s="2093"/>
      <c r="AI5" s="2093"/>
      <c r="AJ5" s="2094"/>
    </row>
    <row r="6" spans="1:36" ht="15.75" thickBot="1">
      <c r="A6" s="2096">
        <v>1</v>
      </c>
      <c r="B6" s="1576" t="s">
        <v>2464</v>
      </c>
      <c r="C6" s="2097">
        <f>SUMIF(L1:L12,G2,M1:M12)</f>
        <v>0</v>
      </c>
      <c r="D6" s="2098" t="s">
        <v>2465</v>
      </c>
      <c r="E6" s="1576"/>
      <c r="F6" s="1576"/>
      <c r="G6" s="2099"/>
      <c r="H6" s="2099"/>
      <c r="I6" s="2099"/>
      <c r="J6" s="2100"/>
      <c r="K6" s="3021"/>
      <c r="L6" s="2082" t="s">
        <v>2466</v>
      </c>
      <c r="M6" s="2083">
        <f>SUMPRODUCT((区片价!B110:B157=I2)*(区片价!C3:F3=E2)*(区片价!C110:F157))</f>
        <v>0</v>
      </c>
      <c r="N6" s="2084">
        <f>SUMPRODUCT((因素修正幅度!B110:B157=I2)*(因素修正幅度!C3:F3=E2)*(因素修正幅度!C110:F157))</f>
        <v>0</v>
      </c>
      <c r="O6" s="3020"/>
      <c r="P6" s="3020"/>
      <c r="Q6" s="3020"/>
      <c r="R6" s="2074">
        <v>5</v>
      </c>
      <c r="S6" s="2074">
        <f>ROUND(IF(G3&gt;1,IF(R6&lt;7,SUMPRODUCT((B93:B98=R6)*(C92:N92=G2)*(C93:N98)),SUMIF(C92:N92,G2,C100:N100)),IF(R6&lt;7,SUMPRODUCT((B102:B107=R6)*(C92:N92=G2)*(C102:N107)),SUMIF(C92:N92,G2,C109:N109))),4)</f>
        <v>0</v>
      </c>
      <c r="T6" s="2074">
        <f t="shared" si="1"/>
        <v>0</v>
      </c>
      <c r="U6" s="2085"/>
      <c r="V6" s="2074">
        <f t="shared" si="0"/>
        <v>0</v>
      </c>
      <c r="W6" s="2075"/>
      <c r="X6" s="2075"/>
      <c r="Y6" s="2075"/>
      <c r="Z6" s="2075"/>
      <c r="AA6" s="2075"/>
      <c r="AB6" s="2075"/>
      <c r="AC6" s="2092"/>
      <c r="AD6" s="2093"/>
      <c r="AE6" s="2093"/>
      <c r="AF6" s="2093"/>
      <c r="AG6" s="2093"/>
      <c r="AH6" s="2093"/>
      <c r="AI6" s="2093"/>
      <c r="AJ6" s="2094"/>
    </row>
    <row r="7" spans="1:36" ht="24">
      <c r="A7" s="3683" t="str">
        <f>IF(E2="商业",IF(C8="不临58条商业街","",2),"")</f>
        <v/>
      </c>
      <c r="B7" s="1577" t="s">
        <v>2467</v>
      </c>
      <c r="C7" s="2101" t="e">
        <f>IF(C8="不临58条商业街",1,ROUND(1+(1.6*E8+1.2*E9+0.8*E10+0.4*E11)*C9,4))</f>
        <v>#DIV/0!</v>
      </c>
      <c r="D7" s="2102" t="s">
        <v>2468</v>
      </c>
      <c r="E7" s="2103"/>
      <c r="F7" s="2104"/>
      <c r="G7" s="2104"/>
      <c r="H7" s="2104"/>
      <c r="I7" s="2104"/>
      <c r="J7" s="2105"/>
      <c r="K7" s="3021"/>
      <c r="L7" s="2082" t="s">
        <v>2469</v>
      </c>
      <c r="M7" s="2083">
        <f>SUMPRODUCT((区片价!B158:B205=I2)*(区片价!C3:F3=E2)*(区片价!C158:F205))</f>
        <v>0</v>
      </c>
      <c r="N7" s="2084">
        <f>SUMPRODUCT((因素修正幅度!B158:B205=I2)*(因素修正幅度!C3:F3=E2)*(因素修正幅度!C158:F205))</f>
        <v>0</v>
      </c>
      <c r="O7" s="3020"/>
      <c r="P7" s="3020"/>
      <c r="Q7" s="3020"/>
      <c r="R7" s="2074">
        <v>6</v>
      </c>
      <c r="S7" s="2074">
        <f>ROUND(IF(G3&gt;1,IF(R7&lt;7,SUMPRODUCT((B93:B98=R7)*(C92:N92=G2)*(C93:N98)),SUMIF(C92:N92,G2,C100:N100)),IF(R7&lt;7,SUMPRODUCT((B102:B107=R7)*(C92:N92=G2)*(C102:N107)),SUMIF(C92:N92,G2,C109:N109))),4)</f>
        <v>0</v>
      </c>
      <c r="T7" s="2074">
        <f t="shared" si="1"/>
        <v>0</v>
      </c>
      <c r="U7" s="2085"/>
      <c r="V7" s="2074">
        <f t="shared" si="0"/>
        <v>0</v>
      </c>
      <c r="W7" s="2106" t="s">
        <v>2470</v>
      </c>
      <c r="X7" s="2107">
        <f>G2</f>
        <v>0</v>
      </c>
      <c r="Y7" s="2107" t="s">
        <v>2471</v>
      </c>
      <c r="Z7" s="2108">
        <f>G3</f>
        <v>3.37</v>
      </c>
      <c r="AA7" s="2075"/>
      <c r="AB7" s="2075"/>
      <c r="AC7" s="2075"/>
      <c r="AD7" s="2076"/>
      <c r="AE7" s="2076"/>
      <c r="AF7" s="2076"/>
      <c r="AG7" s="2076"/>
      <c r="AH7" s="2076"/>
      <c r="AI7" s="2076"/>
      <c r="AJ7" s="2077"/>
    </row>
    <row r="8" spans="1:36" ht="15">
      <c r="A8" s="3684"/>
      <c r="B8" s="50" t="s">
        <v>2472</v>
      </c>
      <c r="C8" s="2109"/>
      <c r="D8" s="65" t="s">
        <v>89</v>
      </c>
      <c r="E8" s="2110" t="e">
        <f>ROUND(C11/E7,4)</f>
        <v>#DIV/0!</v>
      </c>
      <c r="F8" s="2111" t="s">
        <v>2473</v>
      </c>
      <c r="G8" s="2112"/>
      <c r="H8" s="2112"/>
      <c r="I8" s="2112"/>
      <c r="J8" s="2113"/>
      <c r="K8" s="3020"/>
      <c r="L8" s="2082" t="s">
        <v>2474</v>
      </c>
      <c r="M8" s="2083">
        <f>SUMPRODUCT((区片价!B206:B244=I2)*(区片价!C3:F3=E2)*(区片价!C206:F244))</f>
        <v>0</v>
      </c>
      <c r="N8" s="2084">
        <f>SUMPRODUCT((因素修正幅度!B206:B244=I2)*(因素修正幅度!C3:F3=E2)*(因素修正幅度!C206:F244))</f>
        <v>0</v>
      </c>
      <c r="O8" s="3020"/>
      <c r="P8" s="3020"/>
      <c r="Q8" s="3020"/>
      <c r="R8" s="2074">
        <v>7</v>
      </c>
      <c r="S8" s="2085"/>
      <c r="T8" s="2074">
        <f t="shared" si="1"/>
        <v>0</v>
      </c>
      <c r="U8" s="2085"/>
      <c r="V8" s="2074">
        <f t="shared" si="0"/>
        <v>0</v>
      </c>
      <c r="W8" s="3677" t="s">
        <v>2475</v>
      </c>
      <c r="X8" s="3678"/>
      <c r="Y8" s="2114" t="s">
        <v>2476</v>
      </c>
      <c r="Z8" s="2114" t="s">
        <v>2477</v>
      </c>
      <c r="AA8" s="2114" t="s">
        <v>2478</v>
      </c>
      <c r="AB8" s="2114" t="s">
        <v>2479</v>
      </c>
      <c r="AC8" s="2114" t="s">
        <v>2480</v>
      </c>
      <c r="AD8" s="2114" t="s">
        <v>2481</v>
      </c>
      <c r="AE8" s="2114" t="s">
        <v>2482</v>
      </c>
      <c r="AF8" s="2114" t="s">
        <v>2483</v>
      </c>
      <c r="AG8" s="2114" t="s">
        <v>2484</v>
      </c>
      <c r="AH8" s="2114" t="s">
        <v>2485</v>
      </c>
      <c r="AI8" s="2114" t="s">
        <v>2486</v>
      </c>
      <c r="AJ8" s="2114" t="s">
        <v>2487</v>
      </c>
    </row>
    <row r="9" spans="1:36" ht="15">
      <c r="A9" s="3684"/>
      <c r="B9" s="50" t="s">
        <v>2488</v>
      </c>
      <c r="C9" s="2115">
        <f>SUMIF(修正!C59:C119,C8,修正!E59:E119)</f>
        <v>0</v>
      </c>
      <c r="D9" s="50" t="s">
        <v>90</v>
      </c>
      <c r="E9" s="50" t="e">
        <f>ROUND(C11/E7,4)</f>
        <v>#DIV/0!</v>
      </c>
      <c r="F9" s="2111" t="s">
        <v>2489</v>
      </c>
      <c r="G9" s="2112"/>
      <c r="H9" s="2112"/>
      <c r="I9" s="2112"/>
      <c r="J9" s="2113"/>
      <c r="K9" s="3020"/>
      <c r="L9" s="2082" t="s">
        <v>2490</v>
      </c>
      <c r="M9" s="2083">
        <f>SUMPRODUCT((区片价!B245:B289=I2)*(区片价!C3:F3=E2)*(区片价!C245:F289))</f>
        <v>0</v>
      </c>
      <c r="N9" s="2084">
        <f>SUMPRODUCT((因素修正幅度!B245:B289=I2)*(因素修正幅度!C3:F3=E2)*(因素修正幅度!C245:F289))</f>
        <v>0</v>
      </c>
      <c r="O9" s="3020"/>
      <c r="P9" s="3020"/>
      <c r="Q9" s="3020"/>
      <c r="R9" s="2074">
        <v>8</v>
      </c>
      <c r="S9" s="2085"/>
      <c r="T9" s="2074">
        <f t="shared" si="1"/>
        <v>0</v>
      </c>
      <c r="U9" s="2085"/>
      <c r="V9" s="2074">
        <f t="shared" ref="V9:V16" si="2">ROUND(T9*U9,0)</f>
        <v>0</v>
      </c>
      <c r="W9" s="3678" t="s">
        <v>2491</v>
      </c>
      <c r="X9" s="2116" t="s">
        <v>2492</v>
      </c>
      <c r="Y9" s="2117"/>
      <c r="Z9" s="2118">
        <f>$Y$9</f>
        <v>0</v>
      </c>
      <c r="AA9" s="2118">
        <f t="shared" ref="AA9:AJ9" si="3">$Y$9</f>
        <v>0</v>
      </c>
      <c r="AB9" s="2118">
        <f t="shared" si="3"/>
        <v>0</v>
      </c>
      <c r="AC9" s="2118">
        <f t="shared" si="3"/>
        <v>0</v>
      </c>
      <c r="AD9" s="2118">
        <f t="shared" si="3"/>
        <v>0</v>
      </c>
      <c r="AE9" s="2118">
        <f t="shared" si="3"/>
        <v>0</v>
      </c>
      <c r="AF9" s="2118">
        <f t="shared" si="3"/>
        <v>0</v>
      </c>
      <c r="AG9" s="2118">
        <f t="shared" si="3"/>
        <v>0</v>
      </c>
      <c r="AH9" s="2118">
        <f t="shared" si="3"/>
        <v>0</v>
      </c>
      <c r="AI9" s="2118">
        <f t="shared" si="3"/>
        <v>0</v>
      </c>
      <c r="AJ9" s="2118">
        <f t="shared" si="3"/>
        <v>0</v>
      </c>
    </row>
    <row r="10" spans="1:36" ht="15">
      <c r="A10" s="3684"/>
      <c r="B10" s="50" t="s">
        <v>2493</v>
      </c>
      <c r="C10" s="50">
        <f>SUMIF(修正!C59:C119,C8,修正!F59:F119)</f>
        <v>0</v>
      </c>
      <c r="D10" s="50" t="s">
        <v>91</v>
      </c>
      <c r="E10" s="50" t="e">
        <f>ROUND(C11/E7,4)</f>
        <v>#DIV/0!</v>
      </c>
      <c r="F10" s="2111" t="s">
        <v>2494</v>
      </c>
      <c r="G10" s="2112"/>
      <c r="H10" s="2112"/>
      <c r="I10" s="2112"/>
      <c r="J10" s="2113"/>
      <c r="K10" s="3020"/>
      <c r="L10" s="2082" t="s">
        <v>2495</v>
      </c>
      <c r="M10" s="2083">
        <f>SUMPRODUCT((区片价!B290:B316=I2)*(区片价!C3:F3=E2)*(区片价!C290:F316))</f>
        <v>0</v>
      </c>
      <c r="N10" s="2084">
        <f>SUMPRODUCT((因素修正幅度!B290:B316=I2)*(因素修正幅度!C3:F3=E2)*(因素修正幅度!C290:F316))</f>
        <v>0</v>
      </c>
      <c r="O10" s="3020"/>
      <c r="P10" s="3020"/>
      <c r="Q10" s="3020"/>
      <c r="R10" s="2074">
        <v>9</v>
      </c>
      <c r="S10" s="2085"/>
      <c r="T10" s="2074">
        <f t="shared" si="1"/>
        <v>0</v>
      </c>
      <c r="U10" s="2085"/>
      <c r="V10" s="2074">
        <f t="shared" si="2"/>
        <v>0</v>
      </c>
      <c r="W10" s="3678"/>
      <c r="X10" s="2116">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75" thickBot="1">
      <c r="A11" s="3684"/>
      <c r="B11" s="1578" t="s">
        <v>2496</v>
      </c>
      <c r="C11" s="1578">
        <f>C10/4</f>
        <v>0</v>
      </c>
      <c r="D11" s="1578" t="s">
        <v>92</v>
      </c>
      <c r="E11" s="1578" t="e">
        <f>ROUND(C11/E7,4)</f>
        <v>#DIV/0!</v>
      </c>
      <c r="F11" s="2120" t="s">
        <v>2497</v>
      </c>
      <c r="G11" s="2121"/>
      <c r="H11" s="2121"/>
      <c r="I11" s="2121"/>
      <c r="J11" s="2122"/>
      <c r="K11" s="3020"/>
      <c r="L11" s="2082" t="s">
        <v>2498</v>
      </c>
      <c r="M11" s="2083">
        <f>SUMPRODUCT((区片价!B317:B337=I2)*(区片价!C3:F3=E2)*(区片价!C317:F337))</f>
        <v>0</v>
      </c>
      <c r="N11" s="2084">
        <f>SUMPRODUCT((因素修正幅度!B317:B337=I2)*(因素修正幅度!C3:F3=E2)*(因素修正幅度!C317:F337))</f>
        <v>0</v>
      </c>
      <c r="O11" s="3020"/>
      <c r="P11" s="3020"/>
      <c r="Q11" s="3020"/>
      <c r="R11" s="2074">
        <v>10</v>
      </c>
      <c r="S11" s="2085"/>
      <c r="T11" s="2074">
        <f t="shared" si="1"/>
        <v>0</v>
      </c>
      <c r="U11" s="2085"/>
      <c r="V11" s="2074">
        <f t="shared" si="2"/>
        <v>0</v>
      </c>
      <c r="W11" s="3678" t="s">
        <v>2499</v>
      </c>
      <c r="X11" s="2123" t="s">
        <v>2500</v>
      </c>
      <c r="Y11" s="2124">
        <f>$G$3</f>
        <v>3.37</v>
      </c>
      <c r="Z11" s="2124">
        <f t="shared" ref="Z11:AJ11" si="4">$G$3</f>
        <v>3.37</v>
      </c>
      <c r="AA11" s="2124">
        <f t="shared" si="4"/>
        <v>3.37</v>
      </c>
      <c r="AB11" s="2124">
        <f t="shared" si="4"/>
        <v>3.37</v>
      </c>
      <c r="AC11" s="2124">
        <f t="shared" si="4"/>
        <v>3.37</v>
      </c>
      <c r="AD11" s="2124">
        <f t="shared" si="4"/>
        <v>3.37</v>
      </c>
      <c r="AE11" s="2124">
        <f t="shared" si="4"/>
        <v>3.37</v>
      </c>
      <c r="AF11" s="2124">
        <f t="shared" si="4"/>
        <v>3.37</v>
      </c>
      <c r="AG11" s="2124">
        <f t="shared" si="4"/>
        <v>3.37</v>
      </c>
      <c r="AH11" s="2124">
        <f t="shared" si="4"/>
        <v>3.37</v>
      </c>
      <c r="AI11" s="2124">
        <f t="shared" si="4"/>
        <v>3.37</v>
      </c>
      <c r="AJ11" s="2124">
        <f t="shared" si="4"/>
        <v>3.37</v>
      </c>
    </row>
    <row r="12" spans="1:36" ht="25.5" thickBot="1">
      <c r="A12" s="3683">
        <f>IF(E2="住宅",2,"")</f>
        <v>2</v>
      </c>
      <c r="B12" s="1579" t="s">
        <v>2501</v>
      </c>
      <c r="C12" s="2101">
        <f>ROUND(C15*D15*E15*F15*G15*H15*I15*J15,4)</f>
        <v>1.32</v>
      </c>
      <c r="D12" s="2125" t="s">
        <v>2502</v>
      </c>
      <c r="E12" s="2126"/>
      <c r="F12" s="2126"/>
      <c r="G12" s="2126"/>
      <c r="H12" s="2126"/>
      <c r="I12" s="2126"/>
      <c r="J12" s="2127"/>
      <c r="K12" s="3020"/>
      <c r="L12" s="2128" t="s">
        <v>2503</v>
      </c>
      <c r="M12" s="2129">
        <f>SUMPRODUCT((区片价!B338:B344=I2)*(区片价!C3:F3=E2)*(区片价!C338:F344))</f>
        <v>0</v>
      </c>
      <c r="N12" s="2130">
        <f>SUMPRODUCT((因素修正幅度!B338:B344=I2)*(因素修正幅度!C3:F3=E2)*(因素修正幅度!C338:F344))</f>
        <v>0</v>
      </c>
      <c r="O12" s="3020"/>
      <c r="P12" s="3020"/>
      <c r="Q12" s="3020"/>
      <c r="R12" s="2074">
        <v>11</v>
      </c>
      <c r="S12" s="2085"/>
      <c r="T12" s="2074">
        <f t="shared" si="1"/>
        <v>0</v>
      </c>
      <c r="U12" s="2085"/>
      <c r="V12" s="2074">
        <f t="shared" si="2"/>
        <v>0</v>
      </c>
      <c r="W12" s="3678"/>
      <c r="X12" s="2131" t="s">
        <v>2504</v>
      </c>
      <c r="Y12" s="2118">
        <f t="shared" ref="Y12:AJ12" si="5">Y9</f>
        <v>0</v>
      </c>
      <c r="Z12" s="2118">
        <f t="shared" si="5"/>
        <v>0</v>
      </c>
      <c r="AA12" s="2118">
        <f t="shared" si="5"/>
        <v>0</v>
      </c>
      <c r="AB12" s="2118">
        <f t="shared" si="5"/>
        <v>0</v>
      </c>
      <c r="AC12" s="2118">
        <f t="shared" si="5"/>
        <v>0</v>
      </c>
      <c r="AD12" s="2118">
        <f t="shared" si="5"/>
        <v>0</v>
      </c>
      <c r="AE12" s="2118">
        <f t="shared" si="5"/>
        <v>0</v>
      </c>
      <c r="AF12" s="2118">
        <f t="shared" si="5"/>
        <v>0</v>
      </c>
      <c r="AG12" s="2118">
        <f t="shared" si="5"/>
        <v>0</v>
      </c>
      <c r="AH12" s="2118">
        <f t="shared" si="5"/>
        <v>0</v>
      </c>
      <c r="AI12" s="2118">
        <f t="shared" si="5"/>
        <v>0</v>
      </c>
      <c r="AJ12" s="2118">
        <f t="shared" si="5"/>
        <v>0</v>
      </c>
    </row>
    <row r="13" spans="1:36" ht="24">
      <c r="A13" s="3685"/>
      <c r="B13" s="1580" t="s">
        <v>2505</v>
      </c>
      <c r="C13" s="2132" t="s">
        <v>2506</v>
      </c>
      <c r="D13" s="1581" t="s">
        <v>2507</v>
      </c>
      <c r="E13" s="1581" t="s">
        <v>2508</v>
      </c>
      <c r="F13" s="264" t="s">
        <v>2509</v>
      </c>
      <c r="G13" s="2133" t="s">
        <v>2510</v>
      </c>
      <c r="H13" s="2133" t="s">
        <v>2510</v>
      </c>
      <c r="I13" s="2133" t="s">
        <v>2510</v>
      </c>
      <c r="J13" s="2134" t="s">
        <v>2510</v>
      </c>
      <c r="K13" s="3020"/>
      <c r="L13" s="3020"/>
      <c r="M13" s="3020"/>
      <c r="N13" s="3020"/>
      <c r="O13" s="3020"/>
      <c r="P13" s="3020"/>
      <c r="Q13" s="3020"/>
      <c r="R13" s="2074">
        <v>12</v>
      </c>
      <c r="S13" s="2085"/>
      <c r="T13" s="2074">
        <f t="shared" si="1"/>
        <v>0</v>
      </c>
      <c r="U13" s="2085"/>
      <c r="V13" s="2074">
        <f t="shared" si="2"/>
        <v>0</v>
      </c>
      <c r="W13" s="3678"/>
      <c r="X13" s="2131"/>
      <c r="Y13" s="2119">
        <f>(-0.163*(Y12^2)-0.59*Y12+7617)*(10^(-4))/Y11</f>
        <v>0.22602373887240357</v>
      </c>
      <c r="Z13" s="2119">
        <f t="shared" ref="Z13:AJ13" si="6">(-0.163*(Z12^2)-0.59*Z12+7617)*(10^(-4))/Z11</f>
        <v>0.22602373887240357</v>
      </c>
      <c r="AA13" s="2119">
        <f t="shared" si="6"/>
        <v>0.22602373887240357</v>
      </c>
      <c r="AB13" s="2119">
        <f t="shared" si="6"/>
        <v>0.22602373887240357</v>
      </c>
      <c r="AC13" s="2119">
        <f t="shared" si="6"/>
        <v>0.22602373887240357</v>
      </c>
      <c r="AD13" s="2119">
        <f t="shared" si="6"/>
        <v>0.22602373887240357</v>
      </c>
      <c r="AE13" s="2119">
        <f t="shared" si="6"/>
        <v>0.22602373887240357</v>
      </c>
      <c r="AF13" s="2119">
        <f t="shared" si="6"/>
        <v>0.22602373887240357</v>
      </c>
      <c r="AG13" s="2119">
        <f t="shared" si="6"/>
        <v>0.22602373887240357</v>
      </c>
      <c r="AH13" s="2119">
        <f t="shared" si="6"/>
        <v>0.22602373887240357</v>
      </c>
      <c r="AI13" s="2119">
        <f t="shared" si="6"/>
        <v>0.22602373887240357</v>
      </c>
      <c r="AJ13" s="2119">
        <f t="shared" si="6"/>
        <v>0.22602373887240357</v>
      </c>
    </row>
    <row r="14" spans="1:36" ht="15">
      <c r="A14" s="3685"/>
      <c r="B14" s="1581"/>
      <c r="C14" s="2135" t="s">
        <v>2511</v>
      </c>
      <c r="D14" s="2136" t="s">
        <v>2512</v>
      </c>
      <c r="E14" s="2136" t="s">
        <v>2512</v>
      </c>
      <c r="F14" s="2137" t="s">
        <v>2513</v>
      </c>
      <c r="G14" s="2138" t="s">
        <v>2514</v>
      </c>
      <c r="H14" s="2139"/>
      <c r="I14" s="2140"/>
      <c r="J14" s="2141"/>
      <c r="K14" s="3020"/>
      <c r="L14" s="3020"/>
      <c r="M14" s="3020"/>
      <c r="N14" s="3020"/>
      <c r="O14" s="3020"/>
      <c r="P14" s="3020"/>
      <c r="Q14" s="3020"/>
      <c r="R14" s="2074">
        <v>13</v>
      </c>
      <c r="S14" s="2085"/>
      <c r="T14" s="2074">
        <f t="shared" si="1"/>
        <v>0</v>
      </c>
      <c r="U14" s="2085"/>
      <c r="V14" s="2074">
        <f t="shared" si="2"/>
        <v>0</v>
      </c>
      <c r="W14" s="2075"/>
      <c r="X14" s="2075"/>
      <c r="Y14" s="2075"/>
      <c r="Z14" s="2075"/>
      <c r="AA14" s="2075"/>
      <c r="AB14" s="2075"/>
      <c r="AC14" s="2075"/>
      <c r="AD14" s="2076"/>
      <c r="AE14" s="2076"/>
      <c r="AF14" s="2076"/>
      <c r="AG14" s="2076"/>
      <c r="AH14" s="2076"/>
      <c r="AI14" s="2076"/>
      <c r="AJ14" s="2077"/>
    </row>
    <row r="15" spans="1:36" ht="15.75" thickBot="1">
      <c r="A15" s="3686"/>
      <c r="B15" s="1582" t="s">
        <v>2515</v>
      </c>
      <c r="C15" s="2142">
        <f>IF(C14="有",1.1,1)</f>
        <v>1.1000000000000001</v>
      </c>
      <c r="D15" s="2142">
        <f>IF(D14="有",1.1,1)</f>
        <v>1</v>
      </c>
      <c r="E15" s="2142">
        <f>IF(E14="有",1.1,1)</f>
        <v>1</v>
      </c>
      <c r="F15" s="2142">
        <f>IF(F14="500米范围内",1.2,IF(F14="500-1000米",1.1,1))</f>
        <v>1.2</v>
      </c>
      <c r="G15" s="2143">
        <v>1</v>
      </c>
      <c r="H15" s="2143">
        <v>1</v>
      </c>
      <c r="I15" s="2143">
        <v>1</v>
      </c>
      <c r="J15" s="2144">
        <v>1</v>
      </c>
      <c r="K15" s="3020"/>
      <c r="L15" s="3020"/>
      <c r="M15" s="3020"/>
      <c r="N15" s="3020"/>
      <c r="O15" s="3020"/>
      <c r="P15" s="3020"/>
      <c r="Q15" s="3020"/>
      <c r="R15" s="2074">
        <v>14</v>
      </c>
      <c r="S15" s="2085"/>
      <c r="T15" s="2074">
        <f t="shared" si="1"/>
        <v>0</v>
      </c>
      <c r="U15" s="2085"/>
      <c r="V15" s="2074">
        <f t="shared" si="2"/>
        <v>0</v>
      </c>
      <c r="W15" s="2075"/>
      <c r="X15" s="2075"/>
      <c r="Y15" s="2075"/>
      <c r="Z15" s="2075"/>
      <c r="AA15" s="2075"/>
      <c r="AB15" s="2075"/>
      <c r="AC15" s="2075"/>
      <c r="AD15" s="2076"/>
      <c r="AE15" s="2076"/>
      <c r="AF15" s="2076"/>
      <c r="AG15" s="2076"/>
      <c r="AH15" s="2076"/>
      <c r="AI15" s="2076"/>
      <c r="AJ15" s="2077"/>
    </row>
    <row r="16" spans="1:36" ht="24.6" customHeight="1">
      <c r="A16" s="3687">
        <f>IF(E2="办公",2,IF(E2="工业",2,IF(E2="住宅",3,IF(E2="商业",IF(C8="不临58条商业街",2,3)))))</f>
        <v>3</v>
      </c>
      <c r="B16" s="1601" t="s">
        <v>2521</v>
      </c>
      <c r="C16" s="1577">
        <f>ROUND(IF(F17="与级别开发程度一致",0,(G17-E17)/C17),0)</f>
        <v>0</v>
      </c>
      <c r="D16" s="3700" t="s">
        <v>2525</v>
      </c>
      <c r="E16" s="3701"/>
      <c r="F16" s="3700" t="s">
        <v>2522</v>
      </c>
      <c r="G16" s="3701"/>
      <c r="H16" s="2145"/>
      <c r="I16" s="2145"/>
      <c r="J16" s="2146"/>
      <c r="K16" s="2145"/>
      <c r="L16" s="2145"/>
      <c r="M16" s="2145"/>
      <c r="N16" s="2145"/>
      <c r="O16" s="2147"/>
      <c r="P16" s="3020"/>
      <c r="Q16" s="3020"/>
      <c r="R16" s="2074">
        <v>15</v>
      </c>
      <c r="S16" s="2085"/>
      <c r="T16" s="2074">
        <f t="shared" si="1"/>
        <v>0</v>
      </c>
      <c r="U16" s="2085"/>
      <c r="V16" s="2074">
        <f t="shared" si="2"/>
        <v>0</v>
      </c>
      <c r="W16" s="2075"/>
      <c r="X16" s="2075"/>
      <c r="Y16" s="2075"/>
      <c r="Z16" s="2075"/>
      <c r="AA16" s="2075"/>
      <c r="AB16" s="2075"/>
      <c r="AC16" s="2075"/>
      <c r="AD16" s="2076"/>
      <c r="AE16" s="2076"/>
      <c r="AF16" s="2076"/>
      <c r="AG16" s="2076"/>
      <c r="AH16" s="2076"/>
      <c r="AI16" s="2076"/>
      <c r="AJ16" s="2077"/>
    </row>
    <row r="17" spans="1:35" ht="26.25" thickBot="1">
      <c r="A17" s="3688"/>
      <c r="B17" s="1602" t="s">
        <v>2524</v>
      </c>
      <c r="C17" s="2148">
        <f>SUMPRODUCT((修正!A2:A5=E2)*(修正!B1:M1=G2)*(修正!B2:M5))</f>
        <v>0</v>
      </c>
      <c r="D17" s="2142" t="str">
        <f>IF(OR(G2="八级",G2="九级",G2="十级",G2="十一级",G2="十二级"),"五通一平","七通一平")</f>
        <v>七通一平</v>
      </c>
      <c r="E17" s="2149">
        <f>SUMPRODUCT((修正!B1:M1=G2)*(修正!B15:M15))</f>
        <v>0</v>
      </c>
      <c r="F17" s="2150" t="s">
        <v>2824</v>
      </c>
      <c r="G17" s="1591">
        <f>SUM(H17:O17)</f>
        <v>0</v>
      </c>
      <c r="H17" s="2148">
        <f>SUMPRODUCT((七通一平=H16)*(修正!B1:M1=G2)*(修正!B6:M14))</f>
        <v>0</v>
      </c>
      <c r="I17" s="2148">
        <f>SUMPRODUCT((七通一平=I16)*(修正!B1:M1=G2)*(修正!B6:M14))</f>
        <v>0</v>
      </c>
      <c r="J17" s="2151">
        <f>SUMPRODUCT((七通一平=J16)*(修正!B1:M1=G2)*(修正!B6:M14))</f>
        <v>0</v>
      </c>
      <c r="K17" s="2148">
        <f>SUMPRODUCT((七通一平=K16)*(修正!B1:M1=G2)*(修正!B6:M14))</f>
        <v>0</v>
      </c>
      <c r="L17" s="2148">
        <f>SUMPRODUCT((七通一平=L16)*(修正!B1:M1=G2)*(修正!B6:M14))</f>
        <v>0</v>
      </c>
      <c r="M17" s="2148">
        <f>SUMPRODUCT((七通一平=M16)*(修正!B1:M1=G2)*(修正!B6:M14))</f>
        <v>0</v>
      </c>
      <c r="N17" s="2148">
        <f>SUMPRODUCT((七通一平=N16)*(修正!B1:M1=G2)*(修正!B6:M14))</f>
        <v>0</v>
      </c>
      <c r="O17" s="2152">
        <f>SUMPRODUCT((七通一平=O16)*(修正!B1:M1=G2)*(修正!B6:M14))</f>
        <v>0</v>
      </c>
      <c r="P17" s="3020"/>
      <c r="Q17" s="3020"/>
      <c r="R17" s="1593"/>
      <c r="S17" s="1593"/>
      <c r="T17" s="1593"/>
      <c r="U17" s="1593"/>
      <c r="V17" s="1593"/>
      <c r="W17" s="1593"/>
      <c r="X17" s="1593"/>
      <c r="Y17" s="1593"/>
      <c r="Z17" s="1593"/>
      <c r="AA17" s="1593"/>
      <c r="AB17" s="1593"/>
      <c r="AC17" s="1593"/>
      <c r="AD17" s="1593"/>
      <c r="AE17" s="1593"/>
      <c r="AF17" s="1593"/>
    </row>
    <row r="18" spans="1:35" s="2095" customFormat="1" ht="15.75" thickBot="1">
      <c r="A18" s="2153" t="s">
        <v>2527</v>
      </c>
      <c r="B18" s="1600" t="s">
        <v>2528</v>
      </c>
      <c r="C18" s="2154">
        <f>SUMIF(修正!C18:C39,E3,修正!E18:E39)</f>
        <v>1</v>
      </c>
      <c r="D18" s="2155"/>
      <c r="E18" s="2156"/>
      <c r="F18" s="2156"/>
      <c r="G18" s="2156"/>
      <c r="H18" s="2156"/>
      <c r="I18" s="2156"/>
      <c r="J18" s="2157"/>
      <c r="K18" s="3022"/>
      <c r="L18" s="3022"/>
      <c r="M18" s="3022"/>
      <c r="N18" s="3022"/>
      <c r="O18" s="3020"/>
      <c r="P18" s="3020"/>
      <c r="Q18" s="3020"/>
      <c r="R18" s="3020"/>
      <c r="S18" s="3020"/>
      <c r="T18" s="3020"/>
      <c r="U18" s="3020"/>
      <c r="V18" s="3020"/>
      <c r="W18" s="3020"/>
      <c r="X18" s="1593"/>
      <c r="Y18" s="1593"/>
      <c r="Z18" s="1593"/>
      <c r="AA18" s="1593"/>
      <c r="AB18" s="1593"/>
      <c r="AC18" s="1593"/>
      <c r="AD18" s="1593"/>
      <c r="AE18" s="1593"/>
      <c r="AF18" s="1593"/>
      <c r="AG18" s="1594"/>
      <c r="AH18" s="1594"/>
      <c r="AI18" s="1594"/>
    </row>
    <row r="19" spans="1:35" s="2095" customFormat="1" ht="29.25" thickBot="1">
      <c r="A19" s="2153" t="s">
        <v>2529</v>
      </c>
      <c r="B19" s="1583" t="s">
        <v>2530</v>
      </c>
      <c r="C19" s="2159">
        <f>ROUND(IF(H19="按公示增长率计算",SUMPRODUCT((地价!A3:A37=YEAR(G19)&amp;"-"&amp;ROUNDUP(MONTH(G19)/3,0))*(地价!X2:AB2=E2)*(地价!X3:AB37)),IF(H19="地价指数",M20/M19,(1+I19)^O19)),4)</f>
        <v>1.7434000000000001</v>
      </c>
      <c r="D19" s="2160" t="s">
        <v>2531</v>
      </c>
      <c r="E19" s="2161">
        <v>41640</v>
      </c>
      <c r="F19" s="2160" t="s">
        <v>2532</v>
      </c>
      <c r="G19" s="2162">
        <f>'数据-取费表'!B2</f>
        <v>44645</v>
      </c>
      <c r="H19" s="2163" t="s">
        <v>2667</v>
      </c>
      <c r="I19" s="2164" t="str">
        <f>IF(H19="季度增幅（自定义）",SUMIF(N21:N24,E2,O21:O24),"")</f>
        <v/>
      </c>
      <c r="J19" s="2165"/>
      <c r="K19" s="3022"/>
      <c r="L19" s="2046" t="s">
        <v>2533</v>
      </c>
      <c r="M19" s="2166">
        <f>ROUND(SUMIF(地价!B2:F2,E2,地价!B37:F37),0)</f>
        <v>423</v>
      </c>
      <c r="N19" s="2167" t="s">
        <v>2534</v>
      </c>
      <c r="O19" s="2168">
        <f>ROUNDDOWN(DATEDIF(E19,G19,"M")/3,0)</f>
        <v>32</v>
      </c>
      <c r="P19" s="3020"/>
      <c r="Q19" s="3022"/>
      <c r="R19" s="3020"/>
      <c r="S19" s="3020"/>
      <c r="T19" s="3020"/>
      <c r="U19" s="3020"/>
      <c r="V19" s="3020"/>
      <c r="W19" s="3020"/>
      <c r="X19" s="1593"/>
      <c r="Y19" s="1593"/>
      <c r="Z19" s="1593"/>
      <c r="AA19" s="1593"/>
      <c r="AB19" s="1593"/>
      <c r="AC19" s="1593"/>
      <c r="AD19" s="1593"/>
      <c r="AE19" s="2158"/>
      <c r="AF19" s="2169"/>
      <c r="AG19" s="2170"/>
      <c r="AH19" s="1594"/>
    </row>
    <row r="20" spans="1:35" s="2095" customFormat="1" ht="27.75" thickBot="1">
      <c r="A20" s="1688" t="s">
        <v>2535</v>
      </c>
      <c r="B20" s="1584" t="s">
        <v>2536</v>
      </c>
      <c r="C20" s="2171">
        <f>ROUND(POWER(1+G20,J20-I20)*(POWER(1+G20,I20)-1)/(POWER(1+G20,J20)-1),4)</f>
        <v>0.82169999999999999</v>
      </c>
      <c r="D20" s="2172" t="s">
        <v>2537</v>
      </c>
      <c r="E20" s="3125">
        <f>存贷款利率!E20/100</f>
        <v>4.3499999999999997E-2</v>
      </c>
      <c r="F20" s="2172" t="s">
        <v>2526</v>
      </c>
      <c r="G20" s="3126">
        <f>SUMIF(M26:P26,E2,M28:P28)</f>
        <v>0.05</v>
      </c>
      <c r="H20" s="2172" t="s">
        <v>2538</v>
      </c>
      <c r="I20" s="2173">
        <f>'数据-取费表'!B13</f>
        <v>32.450000000000003</v>
      </c>
      <c r="J20" s="2174">
        <f>IF(E2="住宅",70,IF(E2="商业",40,50))</f>
        <v>70</v>
      </c>
      <c r="K20" s="3022"/>
      <c r="L20" s="2175" t="s">
        <v>2539</v>
      </c>
      <c r="M20" s="2176">
        <f>ROUND(SUMPRODUCT((地价!A4:A37=YEAR(G19)&amp;"-"&amp;ROUNDUP(MONTH(G19)/3,0))*(地价!B2:F2=E2)*(地价!B4:F37)),0)</f>
        <v>737</v>
      </c>
      <c r="N20" s="2177" t="s">
        <v>2540</v>
      </c>
      <c r="O20" s="2178" t="s">
        <v>2541</v>
      </c>
      <c r="P20" s="2179" t="s">
        <v>2542</v>
      </c>
      <c r="Q20" s="3022"/>
      <c r="R20" s="3020"/>
      <c r="S20" s="3020"/>
      <c r="T20" s="3020"/>
      <c r="U20" s="3020"/>
      <c r="V20" s="3020"/>
      <c r="W20" s="3020"/>
      <c r="X20" s="1593"/>
      <c r="Y20" s="1593"/>
      <c r="Z20" s="1593"/>
      <c r="AA20" s="1593"/>
      <c r="AB20" s="1593"/>
      <c r="AC20" s="1593"/>
      <c r="AD20" s="1593"/>
      <c r="AE20" s="2158"/>
      <c r="AF20" s="2158"/>
    </row>
    <row r="21" spans="1:35" s="2095" customFormat="1" ht="14.25">
      <c r="A21" s="2180" t="s">
        <v>2543</v>
      </c>
      <c r="B21" s="1585" t="s">
        <v>2544</v>
      </c>
      <c r="C21" s="2181">
        <f>IF(B21="容积率修正",IF(G3&lt;=10,D22,J22),C23)</f>
        <v>0</v>
      </c>
      <c r="D21" s="2182"/>
      <c r="E21" s="2182"/>
      <c r="F21" s="2182"/>
      <c r="G21" s="2182"/>
      <c r="H21" s="2182"/>
      <c r="I21" s="2182"/>
      <c r="J21" s="2047"/>
      <c r="K21" s="3022"/>
      <c r="L21" s="3022"/>
      <c r="M21" s="3022"/>
      <c r="N21" s="2183" t="s">
        <v>2545</v>
      </c>
      <c r="O21" s="2184"/>
      <c r="P21" s="2185">
        <f>SUMPRODUCT((地价!A3:A37=YEAR(G19)&amp;"-"&amp;ROUNDUP(MONTH(G19)/3,0))*(地价!AD2:AH2=N21)*(地价!AD3:AH37))</f>
        <v>1.03E-2</v>
      </c>
      <c r="Q21" s="3022"/>
      <c r="R21" s="3020"/>
      <c r="S21" s="3020"/>
      <c r="T21" s="3020"/>
      <c r="U21" s="3020"/>
      <c r="V21" s="3020"/>
      <c r="W21" s="3020"/>
      <c r="X21" s="1593"/>
      <c r="Y21" s="1593"/>
      <c r="Z21" s="1593"/>
      <c r="AA21" s="1593"/>
      <c r="AB21" s="1593"/>
      <c r="AC21" s="1593"/>
      <c r="AD21" s="1593"/>
      <c r="AE21" s="2158"/>
      <c r="AF21" s="2158"/>
    </row>
    <row r="22" spans="1:35" s="2095" customFormat="1" ht="14.25">
      <c r="A22" s="2043">
        <v>1</v>
      </c>
      <c r="B22" s="2042" t="s">
        <v>2546</v>
      </c>
      <c r="C22" s="2042" t="s">
        <v>2547</v>
      </c>
      <c r="D22" s="2042">
        <f>IF(E22=G22,F22,IF(G3&lt;=10,ROUND(F22+(H22-F22)*(G3-E22)/(G22-E22),4),"——"))</f>
        <v>0</v>
      </c>
      <c r="E22" s="2086">
        <f>ROUNDDOWN(G3,1)</f>
        <v>3.3</v>
      </c>
      <c r="F22" s="2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86">
        <f>ROUNDUP(G3,1)</f>
        <v>3.4</v>
      </c>
      <c r="H22" s="2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42" t="s">
        <v>104</v>
      </c>
      <c r="J22" s="2186" t="str">
        <f>IF(G3&gt;10,D113,"——")</f>
        <v>——</v>
      </c>
      <c r="K22" s="3022"/>
      <c r="L22" s="3022"/>
      <c r="M22" s="3022"/>
      <c r="N22" s="2183" t="s">
        <v>2548</v>
      </c>
      <c r="O22" s="2184"/>
      <c r="P22" s="2185">
        <f>SUMPRODUCT((地价!A3:A37=YEAR(G19)&amp;"-"&amp;ROUNDUP(MONTH(G19)/3,0))*(地价!AD2:AH2=N22)*(地价!AD3:AH37))</f>
        <v>1.03E-2</v>
      </c>
      <c r="Q22" s="3022"/>
      <c r="R22" s="3020"/>
      <c r="S22" s="3020"/>
      <c r="T22" s="3020"/>
      <c r="U22" s="3020"/>
      <c r="V22" s="3020"/>
      <c r="W22" s="3020"/>
      <c r="X22" s="1593"/>
      <c r="Y22" s="1593"/>
      <c r="Z22" s="1593"/>
      <c r="AA22" s="1593"/>
      <c r="AB22" s="1593"/>
      <c r="AC22" s="1593"/>
      <c r="AD22" s="1593"/>
      <c r="AE22" s="2158"/>
      <c r="AF22" s="2158"/>
    </row>
    <row r="23" spans="1:35" ht="27">
      <c r="A23" s="2043">
        <v>2</v>
      </c>
      <c r="B23" s="2042" t="s">
        <v>2549</v>
      </c>
      <c r="C23" s="2187">
        <f>ROUND(IF(G3&gt;1,IF(I3&lt;7,SUMPRODUCT((B93:B98=I3)*(C92:N92=G2)*(C93:N98)),SUMIF(C92:N92,G2,C100:N100)),IF(I3&lt;7,SUMPRODUCT((B102:B107=I3)*(C92:N92=G2)*(C102:N107)),SUMIF(C92:N92,G2,C109:N109))),4)</f>
        <v>0</v>
      </c>
      <c r="D23" s="2139"/>
      <c r="E23" s="2139"/>
      <c r="F23" s="2188"/>
      <c r="G23" s="2189"/>
      <c r="H23" s="1590"/>
      <c r="I23" s="2042"/>
      <c r="J23" s="2186"/>
      <c r="K23" s="3020"/>
      <c r="L23" s="3020"/>
      <c r="M23" s="3020"/>
      <c r="N23" s="2183" t="s">
        <v>2550</v>
      </c>
      <c r="O23" s="2184"/>
      <c r="P23" s="2185">
        <f>SUMPRODUCT((地价!A3:A37=YEAR(G19)&amp;"-"&amp;ROUNDUP(MONTH(G19)/3,0))*(地价!AD2:AH2=N23)*(地价!AD3:AH37))</f>
        <v>1.8100000000000002E-2</v>
      </c>
      <c r="Q23" s="3020"/>
      <c r="R23" s="3020"/>
      <c r="S23" s="3020"/>
      <c r="T23" s="3020"/>
      <c r="U23" s="3020"/>
      <c r="V23" s="3020"/>
      <c r="W23" s="3020"/>
      <c r="X23" s="1593"/>
      <c r="Y23" s="1593"/>
      <c r="Z23" s="1593"/>
      <c r="AA23" s="1593"/>
      <c r="AB23" s="1593"/>
      <c r="AC23" s="1593"/>
      <c r="AD23" s="1593"/>
      <c r="AE23" s="1593"/>
      <c r="AF23" s="1593"/>
    </row>
    <row r="24" spans="1:35" s="2095" customFormat="1" ht="15.75" thickBot="1">
      <c r="A24" s="2190" t="s">
        <v>2551</v>
      </c>
      <c r="B24" s="1587" t="s">
        <v>2552</v>
      </c>
      <c r="C24" s="2191">
        <f>SUMIF(A46:A88,E2,B46:B88)</f>
        <v>1</v>
      </c>
      <c r="D24" s="2192"/>
      <c r="E24" s="2193"/>
      <c r="F24" s="2193"/>
      <c r="G24" s="2193"/>
      <c r="H24" s="2193"/>
      <c r="I24" s="2193"/>
      <c r="J24" s="2194"/>
      <c r="K24" s="3022"/>
      <c r="L24" s="3022"/>
      <c r="M24" s="3022"/>
      <c r="N24" s="2195" t="s">
        <v>2553</v>
      </c>
      <c r="O24" s="2196"/>
      <c r="P24" s="2197">
        <f>SUMPRODUCT((地价!A3:A37=YEAR(G19)&amp;"-"&amp;ROUNDUP(MONTH(G19)/3,0))*(地价!AD2:AH2=N24)*(地价!AD3:AH37))</f>
        <v>1.2E-2</v>
      </c>
      <c r="Q24" s="3022"/>
      <c r="R24" s="3020"/>
      <c r="S24" s="3020"/>
      <c r="T24" s="3020"/>
      <c r="U24" s="3020"/>
      <c r="V24" s="3020"/>
      <c r="W24" s="3020"/>
      <c r="X24" s="1593"/>
      <c r="Y24" s="1593"/>
      <c r="Z24" s="1593"/>
      <c r="AA24" s="1593"/>
      <c r="AB24" s="1593"/>
      <c r="AC24" s="1593"/>
      <c r="AD24" s="1593"/>
      <c r="AE24" s="2158"/>
      <c r="AF24" s="2158"/>
    </row>
    <row r="25" spans="1:35" ht="15" thickBot="1">
      <c r="A25" s="1688" t="s">
        <v>2554</v>
      </c>
      <c r="B25" s="1588" t="s">
        <v>2555</v>
      </c>
      <c r="C25" s="2198"/>
      <c r="D25" s="2104"/>
      <c r="E25" s="2104"/>
      <c r="F25" s="2199"/>
      <c r="G25" s="2104"/>
      <c r="H25" s="2104"/>
      <c r="I25" s="2104"/>
      <c r="J25" s="2105"/>
      <c r="K25" s="3020"/>
      <c r="L25" s="3020"/>
      <c r="M25" s="3020"/>
      <c r="N25" s="3023" t="s">
        <v>2556</v>
      </c>
      <c r="O25" s="3024"/>
      <c r="P25" s="3025">
        <f>SUMPRODUCT((地价!A3:A37=YEAR(G19)&amp;"-"&amp;ROUNDUP(MONTH(G19)/3,0))*(地价!AD2:AH2=N25)*(地价!AD3:AH37))</f>
        <v>1.6400000000000001E-2</v>
      </c>
      <c r="Q25" s="3020"/>
      <c r="R25" s="3020"/>
      <c r="S25" s="3020"/>
      <c r="T25" s="3020"/>
      <c r="U25" s="3020"/>
      <c r="V25" s="3020"/>
      <c r="W25" s="3020"/>
      <c r="X25" s="1593"/>
      <c r="Y25" s="1593"/>
      <c r="Z25" s="1593"/>
      <c r="AA25" s="1593"/>
      <c r="AB25" s="1593"/>
      <c r="AC25" s="1593"/>
      <c r="AD25" s="1593"/>
      <c r="AE25" s="1593"/>
      <c r="AF25" s="1593"/>
    </row>
    <row r="26" spans="1:35" ht="15">
      <c r="A26" s="1673"/>
      <c r="B26" s="2042" t="s">
        <v>2557</v>
      </c>
      <c r="C26" s="2860">
        <f>IF(B21="容积率修正",E29+SUM(E33:E39),SUM(V2:V16)+SUM(E33:E39))</f>
        <v>0</v>
      </c>
      <c r="D26" s="2200"/>
      <c r="E26" s="2139"/>
      <c r="F26" s="1448"/>
      <c r="G26" s="2139"/>
      <c r="H26" s="2139"/>
      <c r="I26" s="2139"/>
      <c r="J26" s="2201"/>
      <c r="K26" s="3020"/>
      <c r="L26" s="3026" t="s">
        <v>2516</v>
      </c>
      <c r="M26" s="2102" t="s">
        <v>2517</v>
      </c>
      <c r="N26" s="2102" t="s">
        <v>2518</v>
      </c>
      <c r="O26" s="2102" t="s">
        <v>2519</v>
      </c>
      <c r="P26" s="3027" t="s">
        <v>2520</v>
      </c>
      <c r="Q26" s="3020"/>
      <c r="R26" s="3020"/>
      <c r="S26" s="3020"/>
      <c r="T26" s="3020"/>
      <c r="U26" s="3020"/>
      <c r="V26" s="3020"/>
      <c r="W26" s="3020"/>
      <c r="X26" s="1593"/>
      <c r="Y26" s="1593"/>
      <c r="Z26" s="1593"/>
      <c r="AA26" s="1593"/>
      <c r="AB26" s="1593"/>
      <c r="AC26" s="1593"/>
      <c r="AD26" s="1593"/>
      <c r="AE26" s="1593"/>
      <c r="AF26" s="1593"/>
    </row>
    <row r="27" spans="1:35" ht="15.75" thickBot="1">
      <c r="A27" s="1673"/>
      <c r="B27" s="1589" t="s">
        <v>2558</v>
      </c>
      <c r="C27" s="2202">
        <f>E30+SUM(I33:I39)</f>
        <v>0</v>
      </c>
      <c r="D27" s="2151"/>
      <c r="E27" s="2203"/>
      <c r="F27" s="2204"/>
      <c r="G27" s="2203"/>
      <c r="H27" s="2203"/>
      <c r="I27" s="2203"/>
      <c r="J27" s="2205"/>
      <c r="K27" s="3020"/>
      <c r="L27" s="2206" t="s">
        <v>2523</v>
      </c>
      <c r="M27" s="2115">
        <v>0.25</v>
      </c>
      <c r="N27" s="2115">
        <v>0.2</v>
      </c>
      <c r="O27" s="2115">
        <v>0.15</v>
      </c>
      <c r="P27" s="2207">
        <v>0.1</v>
      </c>
      <c r="Q27" s="3020"/>
      <c r="R27" s="3020"/>
      <c r="S27" s="3020"/>
      <c r="T27" s="3020"/>
      <c r="U27" s="3020"/>
      <c r="V27" s="3020"/>
      <c r="W27" s="3020"/>
      <c r="X27" s="1593"/>
      <c r="Y27" s="1593"/>
      <c r="Z27" s="1593"/>
      <c r="AA27" s="1593"/>
      <c r="AB27" s="1593"/>
      <c r="AC27" s="1593"/>
      <c r="AD27" s="1593"/>
      <c r="AE27" s="1593"/>
      <c r="AF27" s="1593"/>
    </row>
    <row r="28" spans="1:35" ht="15.75" thickBot="1">
      <c r="A28" s="1688"/>
      <c r="B28" s="2208" t="s">
        <v>2559</v>
      </c>
      <c r="C28" s="2209" t="s">
        <v>2560</v>
      </c>
      <c r="D28" s="2209" t="s">
        <v>2561</v>
      </c>
      <c r="E28" s="1588" t="s">
        <v>2562</v>
      </c>
      <c r="F28" s="2210"/>
      <c r="G28" s="2126"/>
      <c r="H28" s="2126"/>
      <c r="I28" s="2126"/>
      <c r="J28" s="2127"/>
      <c r="K28" s="3020"/>
      <c r="L28" s="2211" t="s">
        <v>2526</v>
      </c>
      <c r="M28" s="2212">
        <f>ROUND($E$20*(1+M27),3)</f>
        <v>5.3999999999999999E-2</v>
      </c>
      <c r="N28" s="2212">
        <f>ROUND($E$20*(1+N27),3)</f>
        <v>5.1999999999999998E-2</v>
      </c>
      <c r="O28" s="2212">
        <f>ROUND($E$20*(1+O27),3)</f>
        <v>0.05</v>
      </c>
      <c r="P28" s="2130">
        <f>ROUND($E$20*(1+P27),3)</f>
        <v>4.8000000000000001E-2</v>
      </c>
      <c r="Q28" s="3020"/>
      <c r="R28" s="3020"/>
      <c r="S28" s="3020"/>
      <c r="T28" s="3020"/>
      <c r="U28" s="3020"/>
      <c r="V28" s="3020"/>
      <c r="W28" s="3020"/>
      <c r="X28" s="1593"/>
      <c r="Y28" s="1593"/>
      <c r="Z28" s="1593"/>
      <c r="AA28" s="1593"/>
      <c r="AB28" s="1593"/>
      <c r="AC28" s="1593"/>
      <c r="AD28" s="1593"/>
      <c r="AE28" s="1593"/>
      <c r="AF28" s="1593"/>
    </row>
    <row r="29" spans="1:35">
      <c r="A29" s="2213"/>
      <c r="B29" s="1590" t="s">
        <v>2563</v>
      </c>
      <c r="C29" s="54">
        <f>ROUND(C5*C18*C19*C20*C21*C24,0)</f>
        <v>0</v>
      </c>
      <c r="D29" s="2214">
        <f>项目基本情况!C12</f>
        <v>240.88</v>
      </c>
      <c r="E29" s="2001">
        <f>ROUND(C29*D29,0)</f>
        <v>0</v>
      </c>
      <c r="F29" s="2215" t="s">
        <v>2564</v>
      </c>
      <c r="G29" s="2216"/>
      <c r="H29" s="2216"/>
      <c r="I29" s="2216"/>
      <c r="J29" s="2217"/>
      <c r="K29" s="3020"/>
      <c r="L29" s="3020"/>
      <c r="M29" s="3020"/>
      <c r="N29" s="3020"/>
      <c r="O29" s="3020"/>
      <c r="P29" s="3020"/>
      <c r="Q29" s="3020"/>
      <c r="R29" s="3020"/>
      <c r="S29" s="3020"/>
      <c r="T29" s="3020"/>
      <c r="U29" s="3020"/>
      <c r="V29" s="3020"/>
      <c r="W29" s="3020"/>
      <c r="X29" s="1593"/>
      <c r="Y29" s="1593"/>
      <c r="Z29" s="1593"/>
      <c r="AA29" s="1593"/>
      <c r="AB29" s="1593"/>
      <c r="AC29" s="1593"/>
      <c r="AD29" s="1593"/>
      <c r="AE29" s="1593"/>
      <c r="AF29" s="1593"/>
    </row>
    <row r="30" spans="1:35" ht="25.5" thickBot="1">
      <c r="A30" s="2218"/>
      <c r="B30" s="1591" t="s">
        <v>2565</v>
      </c>
      <c r="C30" s="2142">
        <f>ROUND(IF(E2="工业",C29*M39,C29*M38),0)</f>
        <v>0</v>
      </c>
      <c r="D30" s="2219"/>
      <c r="E30" s="2001">
        <f>ROUND(C30*D30,0)</f>
        <v>0</v>
      </c>
      <c r="F30" s="2220" t="s">
        <v>2566</v>
      </c>
      <c r="G30" s="2221"/>
      <c r="H30" s="2221"/>
      <c r="I30" s="2221"/>
      <c r="J30" s="2222"/>
      <c r="K30" s="3020"/>
      <c r="L30" s="3020"/>
      <c r="M30" s="3020"/>
      <c r="N30" s="3020"/>
      <c r="O30" s="3020"/>
      <c r="P30" s="3020"/>
      <c r="Q30" s="3020"/>
      <c r="R30" s="3020"/>
      <c r="S30" s="3020"/>
      <c r="T30" s="3020"/>
      <c r="U30" s="3020"/>
      <c r="V30" s="3020"/>
      <c r="W30" s="3020"/>
      <c r="X30" s="1593"/>
      <c r="Y30" s="1593"/>
      <c r="Z30" s="1593"/>
      <c r="AA30" s="1593"/>
      <c r="AB30" s="1593"/>
      <c r="AC30" s="1593"/>
      <c r="AD30" s="1593"/>
      <c r="AE30" s="1593"/>
      <c r="AF30" s="1593"/>
    </row>
    <row r="31" spans="1:35">
      <c r="A31" s="2223"/>
      <c r="B31" s="1592" t="s">
        <v>2567</v>
      </c>
      <c r="C31" s="2224" t="s">
        <v>2568</v>
      </c>
      <c r="D31" s="2126"/>
      <c r="E31" s="2224"/>
      <c r="F31" s="2224"/>
      <c r="G31" s="2125" t="s">
        <v>2569</v>
      </c>
      <c r="H31" s="2126"/>
      <c r="I31" s="2225"/>
      <c r="J31" s="2127"/>
      <c r="K31" s="3020"/>
      <c r="L31" s="3020"/>
      <c r="M31" s="3020"/>
      <c r="N31" s="3020"/>
      <c r="O31" s="3020"/>
      <c r="P31" s="3020"/>
      <c r="Q31" s="3020"/>
      <c r="R31" s="3020"/>
      <c r="S31" s="3020"/>
      <c r="T31" s="3020"/>
      <c r="U31" s="3020"/>
      <c r="V31" s="3020"/>
      <c r="W31" s="3020"/>
      <c r="X31" s="1593"/>
      <c r="Y31" s="1593"/>
      <c r="Z31" s="1593"/>
      <c r="AA31" s="1593"/>
      <c r="AB31" s="1593"/>
      <c r="AC31" s="1593"/>
      <c r="AD31" s="1593"/>
      <c r="AE31" s="1593"/>
      <c r="AF31" s="1593"/>
    </row>
    <row r="32" spans="1:35" ht="24">
      <c r="A32" s="2213"/>
      <c r="B32" s="2226"/>
      <c r="C32" s="1781" t="s">
        <v>2560</v>
      </c>
      <c r="D32" s="1778" t="s">
        <v>2561</v>
      </c>
      <c r="E32" s="1778" t="s">
        <v>2562</v>
      </c>
      <c r="F32" s="50" t="s">
        <v>2570</v>
      </c>
      <c r="G32" s="2187" t="s">
        <v>2560</v>
      </c>
      <c r="H32" s="2187" t="s">
        <v>2561</v>
      </c>
      <c r="I32" s="2187" t="s">
        <v>2562</v>
      </c>
      <c r="J32" s="2039"/>
      <c r="K32" s="3020"/>
      <c r="L32" s="3020"/>
      <c r="M32" s="3020"/>
      <c r="N32" s="3020"/>
      <c r="O32" s="3020"/>
      <c r="P32" s="3020"/>
      <c r="Q32" s="3020"/>
      <c r="R32" s="3020"/>
      <c r="S32" s="3020"/>
      <c r="T32" s="3020"/>
      <c r="U32" s="3020"/>
      <c r="V32" s="3020"/>
      <c r="W32" s="3020"/>
      <c r="X32" s="1593"/>
      <c r="Y32" s="1593"/>
      <c r="Z32" s="1593"/>
      <c r="AA32" s="1593"/>
      <c r="AB32" s="1593"/>
      <c r="AC32" s="1593"/>
      <c r="AD32" s="1593"/>
      <c r="AE32" s="1593"/>
      <c r="AF32" s="1593"/>
    </row>
    <row r="33" spans="1:33">
      <c r="A33" s="3697" t="s">
        <v>2571</v>
      </c>
      <c r="B33" s="2227" t="s">
        <v>2572</v>
      </c>
      <c r="C33" s="54">
        <f>ROUND(D5*C19*C20*C24*F33,0)</f>
        <v>0</v>
      </c>
      <c r="D33" s="2214"/>
      <c r="E33" s="50">
        <f t="shared" ref="E33:E39" si="7">ROUND(C33*D33,0)</f>
        <v>0</v>
      </c>
      <c r="F33" s="50">
        <f>SUMIF(修正!A45:A56,G2,修正!B45:B56)</f>
        <v>0</v>
      </c>
      <c r="G33" s="50">
        <f t="shared" ref="G33" si="8">ROUND(IF(E2="工业",C33*$M$39,C33*$M$38),0)</f>
        <v>0</v>
      </c>
      <c r="H33" s="50">
        <f>D33</f>
        <v>0</v>
      </c>
      <c r="I33" s="50">
        <f t="shared" ref="I33:I39" si="9">ROUND(G33*H33,0)</f>
        <v>0</v>
      </c>
      <c r="J33" s="2201"/>
      <c r="K33" s="3020"/>
      <c r="L33" s="3020"/>
      <c r="M33" s="3020"/>
      <c r="N33" s="3020"/>
      <c r="O33" s="3020"/>
      <c r="P33" s="3020"/>
      <c r="Q33" s="3020"/>
      <c r="R33" s="3020"/>
      <c r="S33" s="3020"/>
      <c r="T33" s="3020"/>
      <c r="U33" s="3020"/>
      <c r="V33" s="3020"/>
      <c r="W33" s="3020"/>
      <c r="X33" s="1593"/>
      <c r="Y33" s="1593"/>
      <c r="Z33" s="1593"/>
      <c r="AA33" s="1593"/>
      <c r="AB33" s="1593"/>
      <c r="AC33" s="1593"/>
      <c r="AD33" s="1593"/>
      <c r="AE33" s="1593"/>
      <c r="AF33" s="1593"/>
    </row>
    <row r="34" spans="1:33">
      <c r="A34" s="3698"/>
      <c r="B34" s="2132" t="s">
        <v>2573</v>
      </c>
      <c r="C34" s="54">
        <f>ROUND(D5*C19*C20*C24*F34,0)</f>
        <v>0</v>
      </c>
      <c r="D34" s="2214"/>
      <c r="E34" s="50">
        <f t="shared" si="7"/>
        <v>0</v>
      </c>
      <c r="F34" s="50">
        <f>SUMIF(修正!A45:A56,G2,修正!C45:C56)</f>
        <v>0</v>
      </c>
      <c r="G34" s="50">
        <f>ROUND(IF(E2="工业",C34*$M$39,C34*$M$38),0)</f>
        <v>0</v>
      </c>
      <c r="H34" s="50">
        <f t="shared" ref="H34:H39" si="10">D34</f>
        <v>0</v>
      </c>
      <c r="I34" s="50">
        <f t="shared" si="9"/>
        <v>0</v>
      </c>
      <c r="J34" s="2201"/>
      <c r="K34" s="3020"/>
      <c r="L34" s="3020"/>
      <c r="M34" s="3020"/>
      <c r="N34" s="3020"/>
      <c r="O34" s="3020"/>
      <c r="P34" s="3020"/>
      <c r="Q34" s="3020"/>
      <c r="R34" s="3020"/>
      <c r="S34" s="3020"/>
      <c r="T34" s="3020"/>
      <c r="U34" s="3020"/>
      <c r="V34" s="3020"/>
      <c r="W34" s="3020"/>
      <c r="X34" s="1593"/>
      <c r="Y34" s="1593"/>
      <c r="Z34" s="1593"/>
      <c r="AA34" s="1593"/>
      <c r="AB34" s="1593"/>
      <c r="AC34" s="1593"/>
      <c r="AD34" s="1593"/>
      <c r="AE34" s="1593"/>
      <c r="AF34" s="1593"/>
    </row>
    <row r="35" spans="1:33">
      <c r="A35" s="3698"/>
      <c r="B35" s="2132" t="s">
        <v>2574</v>
      </c>
      <c r="C35" s="54">
        <f>ROUND(D5*C19*C20*C24*F35,0)</f>
        <v>0</v>
      </c>
      <c r="D35" s="2214"/>
      <c r="E35" s="50">
        <f t="shared" si="7"/>
        <v>0</v>
      </c>
      <c r="F35" s="50">
        <f>SUMIF(修正!A45:A56,G2,修正!D45:D56)</f>
        <v>0</v>
      </c>
      <c r="G35" s="50">
        <f>ROUND(IF(E2="工业",C35*$M$39,C35*$M$38),0)</f>
        <v>0</v>
      </c>
      <c r="H35" s="50">
        <f t="shared" si="10"/>
        <v>0</v>
      </c>
      <c r="I35" s="50">
        <f t="shared" si="9"/>
        <v>0</v>
      </c>
      <c r="J35" s="2201"/>
      <c r="K35" s="3020"/>
      <c r="L35" s="3020"/>
      <c r="M35" s="3020"/>
      <c r="N35" s="3020"/>
      <c r="O35" s="3020"/>
      <c r="P35" s="3020"/>
      <c r="Q35" s="3020"/>
      <c r="R35" s="3020"/>
      <c r="S35" s="3020"/>
      <c r="T35" s="3020"/>
      <c r="U35" s="3020"/>
      <c r="V35" s="3020"/>
      <c r="W35" s="3020"/>
      <c r="X35" s="1593"/>
      <c r="Y35" s="1593"/>
      <c r="Z35" s="1593"/>
      <c r="AA35" s="1593"/>
      <c r="AB35" s="1593"/>
      <c r="AC35" s="1593"/>
      <c r="AD35" s="1593"/>
      <c r="AE35" s="1593"/>
      <c r="AF35" s="1593"/>
    </row>
    <row r="36" spans="1:33" ht="13.5" thickBot="1">
      <c r="A36" s="3699"/>
      <c r="B36" s="2132" t="s">
        <v>2575</v>
      </c>
      <c r="C36" s="54">
        <f>ROUND(D5*C19*C20*C24*F36,0)</f>
        <v>0</v>
      </c>
      <c r="D36" s="2214"/>
      <c r="E36" s="50">
        <f t="shared" si="7"/>
        <v>0</v>
      </c>
      <c r="F36" s="50">
        <f>SUMIF(修正!A45:A56,G2,修正!E45:E56)</f>
        <v>0</v>
      </c>
      <c r="G36" s="50">
        <f>ROUND(IF(E2="工业",C36*$M$39,C36*$M$38),0)</f>
        <v>0</v>
      </c>
      <c r="H36" s="50">
        <f t="shared" si="10"/>
        <v>0</v>
      </c>
      <c r="I36" s="50">
        <f t="shared" si="9"/>
        <v>0</v>
      </c>
      <c r="J36" s="2201"/>
      <c r="K36" s="3020"/>
      <c r="L36" s="3020"/>
      <c r="M36" s="3020"/>
      <c r="N36" s="3020"/>
      <c r="O36" s="3020"/>
      <c r="P36" s="3020"/>
      <c r="Q36" s="3020"/>
      <c r="R36" s="3020"/>
      <c r="S36" s="3020"/>
      <c r="T36" s="3020"/>
      <c r="U36" s="3020"/>
      <c r="V36" s="3020"/>
      <c r="W36" s="3020"/>
      <c r="X36" s="1593"/>
      <c r="Y36" s="1593"/>
      <c r="Z36" s="1593"/>
      <c r="AA36" s="1593"/>
      <c r="AB36" s="1593"/>
      <c r="AC36" s="1593"/>
      <c r="AD36" s="1593"/>
      <c r="AE36" s="1593"/>
      <c r="AF36" s="1593"/>
    </row>
    <row r="37" spans="1:33">
      <c r="A37" s="2228"/>
      <c r="B37" s="2132" t="s">
        <v>2576</v>
      </c>
      <c r="C37" s="50">
        <f>ROUND(D5*C19*C20*C24*F37,0)</f>
        <v>0</v>
      </c>
      <c r="D37" s="2214"/>
      <c r="E37" s="50">
        <f t="shared" si="7"/>
        <v>0</v>
      </c>
      <c r="F37" s="54">
        <f>SUMIF(修正!A45:A56,G2,修正!F45:F56)</f>
        <v>0</v>
      </c>
      <c r="G37" s="50">
        <f>ROUND(IF(E2="工业",C37*$M$39,C37*$M$38),0)</f>
        <v>0</v>
      </c>
      <c r="H37" s="50">
        <f t="shared" si="10"/>
        <v>0</v>
      </c>
      <c r="I37" s="50">
        <f t="shared" si="9"/>
        <v>0</v>
      </c>
      <c r="J37" s="2201"/>
      <c r="K37" s="3020"/>
      <c r="L37" s="2229" t="s">
        <v>2577</v>
      </c>
      <c r="M37" s="2105"/>
      <c r="N37" s="3020"/>
      <c r="O37" s="3020"/>
      <c r="P37" s="3020"/>
      <c r="Q37" s="3020"/>
      <c r="R37" s="3020"/>
      <c r="S37" s="3020"/>
      <c r="T37" s="3020"/>
      <c r="U37" s="3020"/>
      <c r="V37" s="3020"/>
      <c r="W37" s="3020"/>
      <c r="X37" s="1593"/>
      <c r="Y37" s="1593"/>
      <c r="Z37" s="1593"/>
      <c r="AA37" s="1593"/>
      <c r="AB37" s="1593"/>
      <c r="AC37" s="1593"/>
      <c r="AD37" s="1593"/>
      <c r="AE37" s="1593"/>
      <c r="AF37" s="1593"/>
    </row>
    <row r="38" spans="1:33">
      <c r="A38" s="2228"/>
      <c r="B38" s="2132" t="s">
        <v>2578</v>
      </c>
      <c r="C38" s="50">
        <f>ROUND(D5*C19*C41*C24*F38,0)</f>
        <v>0</v>
      </c>
      <c r="D38" s="2214"/>
      <c r="E38" s="50">
        <f t="shared" si="7"/>
        <v>0</v>
      </c>
      <c r="F38" s="54">
        <f>SUMIF(修正!A45:A56,G2,修正!G45:G56)</f>
        <v>0</v>
      </c>
      <c r="G38" s="50">
        <f>ROUND(IF(E2="工业",C38*$M$39,C38*$M$38),0)</f>
        <v>0</v>
      </c>
      <c r="H38" s="50">
        <f t="shared" si="10"/>
        <v>0</v>
      </c>
      <c r="I38" s="50">
        <f t="shared" si="9"/>
        <v>0</v>
      </c>
      <c r="J38" s="2201"/>
      <c r="K38" s="3020"/>
      <c r="L38" s="2230" t="s">
        <v>2579</v>
      </c>
      <c r="M38" s="2231">
        <v>0.25</v>
      </c>
      <c r="N38" s="3020"/>
      <c r="O38" s="3020"/>
      <c r="P38" s="3020"/>
      <c r="Q38" s="3020"/>
      <c r="R38" s="3020"/>
      <c r="S38" s="3020"/>
      <c r="T38" s="3020"/>
      <c r="U38" s="3020"/>
      <c r="V38" s="3020"/>
      <c r="W38" s="3020"/>
      <c r="X38" s="1593"/>
      <c r="Y38" s="1593"/>
      <c r="Z38" s="1593"/>
      <c r="AA38" s="1593"/>
      <c r="AB38" s="1593"/>
      <c r="AC38" s="1593"/>
      <c r="AD38" s="1593"/>
      <c r="AE38" s="1593"/>
      <c r="AF38" s="1593"/>
    </row>
    <row r="39" spans="1:33" ht="13.5" thickBot="1">
      <c r="A39" s="2218"/>
      <c r="B39" s="2232" t="s">
        <v>2580</v>
      </c>
      <c r="C39" s="2142">
        <f>ROUND(D5*C19*C41*C24*F39,0)</f>
        <v>0</v>
      </c>
      <c r="D39" s="2219"/>
      <c r="E39" s="2142">
        <f t="shared" si="7"/>
        <v>0</v>
      </c>
      <c r="F39" s="56">
        <f>SUMIF(修正!A45:A56,G2,修正!H45:H56)</f>
        <v>0</v>
      </c>
      <c r="G39" s="2142">
        <f>ROUND(IF(E2="工业",C39*$M$39,C39*$M$38),0)</f>
        <v>0</v>
      </c>
      <c r="H39" s="2142">
        <f t="shared" si="10"/>
        <v>0</v>
      </c>
      <c r="I39" s="2142">
        <f t="shared" si="9"/>
        <v>0</v>
      </c>
      <c r="J39" s="2205"/>
      <c r="K39" s="3020"/>
      <c r="L39" s="2233" t="s">
        <v>2520</v>
      </c>
      <c r="M39" s="2234">
        <v>0.15</v>
      </c>
      <c r="N39" s="3020"/>
      <c r="O39" s="3020"/>
      <c r="P39" s="3020"/>
      <c r="Q39" s="3020"/>
      <c r="R39" s="3020"/>
      <c r="S39" s="3020"/>
      <c r="T39" s="3020"/>
      <c r="U39" s="3020"/>
      <c r="V39" s="3020"/>
      <c r="W39" s="3020"/>
      <c r="X39" s="1593"/>
      <c r="Y39" s="1593"/>
      <c r="Z39" s="1593"/>
      <c r="AA39" s="1593"/>
      <c r="AB39" s="1593"/>
      <c r="AC39" s="1593"/>
      <c r="AD39" s="1593"/>
      <c r="AE39" s="1593"/>
      <c r="AF39" s="1593"/>
    </row>
    <row r="40" spans="1:33" s="2235" customFormat="1">
      <c r="A40" s="1593"/>
      <c r="B40" s="1593"/>
      <c r="C40" s="1593"/>
      <c r="D40" s="1593"/>
      <c r="E40" s="1593"/>
      <c r="F40" s="1593"/>
      <c r="G40" s="1593"/>
      <c r="H40" s="1593"/>
      <c r="I40" s="1593"/>
      <c r="J40" s="1593"/>
      <c r="K40" s="3020"/>
      <c r="L40" s="3020"/>
      <c r="M40" s="3020"/>
      <c r="N40" s="3020"/>
      <c r="O40" s="3020"/>
      <c r="P40" s="3020"/>
      <c r="Q40" s="3020"/>
      <c r="R40" s="3020"/>
      <c r="S40" s="3020"/>
      <c r="T40" s="3020"/>
      <c r="U40" s="3020"/>
      <c r="V40" s="3020"/>
      <c r="W40" s="3020"/>
      <c r="X40" s="1593"/>
      <c r="Y40" s="1593"/>
      <c r="Z40" s="1593"/>
      <c r="AA40" s="1593"/>
      <c r="AB40" s="1593"/>
      <c r="AC40" s="1593"/>
      <c r="AD40" s="1593"/>
      <c r="AE40" s="1593"/>
      <c r="AF40" s="1593"/>
    </row>
    <row r="41" spans="1:33" s="2235" customFormat="1">
      <c r="A41" s="1593"/>
      <c r="B41" s="2236" t="s">
        <v>2659</v>
      </c>
      <c r="C41" s="50">
        <f>ROUND(POWER(1+E41,H41-G41)*(POWER(1+E41,G41)-1)/(POWER(1+E41,H41)-1),4)</f>
        <v>0</v>
      </c>
      <c r="D41" s="50" t="s">
        <v>2657</v>
      </c>
      <c r="E41" s="2237">
        <f>G20</f>
        <v>0.05</v>
      </c>
      <c r="F41" s="50" t="s">
        <v>2658</v>
      </c>
      <c r="G41" s="2238"/>
      <c r="H41" s="50">
        <v>50</v>
      </c>
      <c r="I41" s="1593"/>
      <c r="J41" s="1593"/>
      <c r="K41" s="3020"/>
      <c r="L41" s="3020"/>
      <c r="M41" s="3020"/>
      <c r="N41" s="3020"/>
      <c r="O41" s="3020"/>
      <c r="P41" s="3020"/>
      <c r="Q41" s="3020"/>
      <c r="R41" s="3020"/>
      <c r="S41" s="3020"/>
      <c r="T41" s="3020"/>
      <c r="U41" s="3020"/>
      <c r="V41" s="3020"/>
      <c r="W41" s="3020"/>
      <c r="X41" s="1593"/>
      <c r="Y41" s="1593"/>
      <c r="Z41" s="1593"/>
      <c r="AA41" s="1593"/>
      <c r="AB41" s="1593"/>
      <c r="AC41" s="1593"/>
      <c r="AD41" s="1593"/>
      <c r="AE41" s="1593"/>
      <c r="AF41" s="1593"/>
    </row>
    <row r="42" spans="1:33" s="2235" customFormat="1">
      <c r="A42" s="3020"/>
      <c r="B42" s="3020"/>
      <c r="C42" s="3020"/>
      <c r="D42" s="3020"/>
      <c r="E42" s="3020"/>
      <c r="F42" s="3020"/>
      <c r="G42" s="3020"/>
      <c r="H42" s="3020"/>
      <c r="I42" s="3020"/>
      <c r="J42" s="3020"/>
      <c r="K42" s="3020"/>
      <c r="L42" s="3020"/>
      <c r="M42" s="3020"/>
      <c r="N42" s="3020"/>
      <c r="O42" s="3020"/>
      <c r="P42" s="3020"/>
      <c r="Q42" s="3020"/>
      <c r="R42" s="3020"/>
      <c r="S42" s="3020"/>
      <c r="T42" s="3020"/>
      <c r="U42" s="3020"/>
      <c r="V42" s="3020"/>
      <c r="W42" s="3020"/>
      <c r="X42" s="1593"/>
      <c r="Y42" s="1593"/>
      <c r="Z42" s="1593"/>
      <c r="AA42" s="1593"/>
      <c r="AB42" s="1593"/>
      <c r="AC42" s="1593"/>
      <c r="AD42" s="1593"/>
      <c r="AE42" s="1593"/>
      <c r="AF42" s="1593"/>
    </row>
    <row r="43" spans="1:33" s="2235" customFormat="1">
      <c r="A43" s="3020"/>
      <c r="B43" s="3020"/>
      <c r="C43" s="3020"/>
      <c r="D43" s="3020"/>
      <c r="E43" s="3020"/>
      <c r="F43" s="3020"/>
      <c r="G43" s="3020"/>
      <c r="H43" s="3020"/>
      <c r="I43" s="3020"/>
      <c r="J43" s="3020"/>
      <c r="K43" s="3020"/>
      <c r="L43" s="3020"/>
      <c r="M43" s="3020"/>
      <c r="N43" s="3020"/>
      <c r="O43" s="3020"/>
      <c r="P43" s="3020"/>
      <c r="Q43" s="3020"/>
      <c r="R43" s="3020"/>
      <c r="S43" s="3020"/>
      <c r="T43" s="3020"/>
      <c r="U43" s="3020"/>
      <c r="V43" s="3020"/>
      <c r="W43" s="3020"/>
      <c r="X43" s="1593"/>
      <c r="Y43" s="1593"/>
      <c r="Z43" s="1593"/>
      <c r="AA43" s="1593"/>
      <c r="AB43" s="1593"/>
      <c r="AC43" s="1593"/>
      <c r="AD43" s="1593"/>
      <c r="AE43" s="1593"/>
      <c r="AF43" s="1593"/>
    </row>
    <row r="44" spans="1:33" s="2235" customFormat="1">
      <c r="A44" s="3020"/>
      <c r="B44" s="3020"/>
      <c r="C44" s="3020"/>
      <c r="D44" s="3020"/>
      <c r="E44" s="3020"/>
      <c r="F44" s="3020"/>
      <c r="G44" s="3020"/>
      <c r="H44" s="3020"/>
      <c r="I44" s="3020"/>
      <c r="J44" s="3020"/>
      <c r="K44" s="3020"/>
      <c r="L44" s="3020"/>
      <c r="M44" s="3020"/>
      <c r="N44" s="3020"/>
      <c r="O44" s="3020"/>
      <c r="P44" s="3020"/>
      <c r="Q44" s="3020"/>
      <c r="R44" s="3020"/>
      <c r="S44" s="3020"/>
      <c r="T44" s="3020"/>
      <c r="U44" s="3020"/>
      <c r="V44" s="3020"/>
      <c r="W44" s="3020"/>
      <c r="X44" s="1593"/>
      <c r="Y44" s="1593"/>
      <c r="Z44" s="1593"/>
      <c r="AA44" s="1593"/>
      <c r="AB44" s="1593"/>
      <c r="AC44" s="1593"/>
      <c r="AD44" s="1593"/>
      <c r="AE44" s="1593"/>
      <c r="AF44" s="1593"/>
    </row>
    <row r="45" spans="1:33" s="2235" customFormat="1" ht="15.75" thickBot="1">
      <c r="A45" s="2239" t="s">
        <v>2581</v>
      </c>
      <c r="B45" s="2240"/>
      <c r="C45" s="608"/>
      <c r="D45" s="608"/>
      <c r="E45" s="608"/>
      <c r="F45" s="608"/>
      <c r="G45" s="608"/>
      <c r="H45" s="608"/>
      <c r="I45" s="608"/>
      <c r="J45" s="608"/>
      <c r="K45" s="608"/>
      <c r="L45" s="608"/>
      <c r="M45" s="608"/>
      <c r="N45" s="2070"/>
      <c r="O45" s="1593"/>
      <c r="P45" s="1593"/>
      <c r="Q45" s="3020"/>
      <c r="R45" s="3020"/>
      <c r="S45" s="3020"/>
      <c r="T45" s="3020"/>
      <c r="U45" s="3020"/>
      <c r="V45" s="3020"/>
      <c r="W45" s="3020"/>
      <c r="X45" s="1593"/>
      <c r="Y45" s="1593"/>
      <c r="Z45" s="1593"/>
      <c r="AA45" s="1593"/>
      <c r="AB45" s="1593"/>
      <c r="AC45" s="1593"/>
      <c r="AD45" s="1593"/>
      <c r="AE45" s="1593"/>
      <c r="AF45" s="1593"/>
    </row>
    <row r="46" spans="1:33" s="2235" customFormat="1" ht="15">
      <c r="A46" s="2241" t="s">
        <v>2582</v>
      </c>
      <c r="B46" s="2242">
        <f>1+E48</f>
        <v>1</v>
      </c>
      <c r="C46" s="2243"/>
      <c r="D46" s="2244"/>
      <c r="E46" s="2245"/>
      <c r="F46" s="2246"/>
      <c r="G46" s="608"/>
      <c r="H46" s="608"/>
      <c r="I46" s="608"/>
      <c r="J46" s="608"/>
      <c r="K46" s="608"/>
      <c r="L46" s="608"/>
      <c r="M46" s="2070"/>
      <c r="N46" s="2247"/>
      <c r="O46" s="1593"/>
      <c r="P46" s="1593"/>
      <c r="Q46" s="3020"/>
      <c r="R46" s="3020"/>
      <c r="S46" s="3020"/>
      <c r="T46" s="3020"/>
      <c r="U46" s="3020"/>
      <c r="V46" s="3020"/>
      <c r="W46" s="3020"/>
      <c r="X46" s="1593"/>
      <c r="Y46" s="1593"/>
      <c r="Z46" s="1593"/>
      <c r="AA46" s="1593"/>
      <c r="AB46" s="1593"/>
      <c r="AC46" s="1593"/>
      <c r="AD46" s="1593"/>
      <c r="AE46" s="1593"/>
    </row>
    <row r="47" spans="1:33" s="2235" customFormat="1" ht="24.75">
      <c r="A47" s="2248" t="s">
        <v>2583</v>
      </c>
      <c r="B47" s="2249" t="s">
        <v>2584</v>
      </c>
      <c r="C47" s="2249" t="s">
        <v>2585</v>
      </c>
      <c r="D47" s="2249" t="s">
        <v>2586</v>
      </c>
      <c r="E47" s="2250" t="s">
        <v>2587</v>
      </c>
      <c r="F47" s="2200" t="s">
        <v>2588</v>
      </c>
      <c r="G47" s="2249" t="s">
        <v>2589</v>
      </c>
      <c r="H47" s="2251" t="s">
        <v>2590</v>
      </c>
      <c r="I47" s="2249" t="s">
        <v>2591</v>
      </c>
      <c r="J47" s="1876" t="s">
        <v>2592</v>
      </c>
      <c r="K47" s="1876" t="s">
        <v>2593</v>
      </c>
      <c r="L47" s="1876" t="s">
        <v>2594</v>
      </c>
      <c r="M47" s="1876" t="s">
        <v>2595</v>
      </c>
      <c r="N47" s="1876" t="s">
        <v>2596</v>
      </c>
      <c r="O47" s="1593"/>
      <c r="P47" s="1593"/>
      <c r="Q47" s="3020"/>
      <c r="R47" s="3020"/>
      <c r="S47" s="3020"/>
      <c r="T47" s="3020"/>
      <c r="U47" s="3020"/>
      <c r="V47" s="3020"/>
      <c r="W47" s="3020"/>
      <c r="X47" s="1593"/>
      <c r="Y47" s="1593"/>
      <c r="Z47" s="1593"/>
      <c r="AA47" s="1593"/>
      <c r="AB47" s="1593"/>
      <c r="AC47" s="1593"/>
      <c r="AD47" s="1593"/>
      <c r="AE47" s="1593"/>
      <c r="AF47" s="1593"/>
      <c r="AG47" s="1593"/>
    </row>
    <row r="48" spans="1:33" s="2235" customFormat="1" ht="38.25">
      <c r="A48" s="2248" t="s">
        <v>2597</v>
      </c>
      <c r="B48" s="2252">
        <f>估价对象房地状况!C16</f>
        <v>0</v>
      </c>
      <c r="C48" s="2136"/>
      <c r="D48" s="2253">
        <f t="shared" ref="D48:D56" si="11">SUMIF($J$47:$N$47,C48,J48:N48)</f>
        <v>0</v>
      </c>
      <c r="E48" s="2254">
        <f>ROUND(SUM(D48:D56),4)</f>
        <v>0</v>
      </c>
      <c r="F48" s="2255" t="str">
        <f>IF(E2="商业",SUMIF(L1:L12,G2,N1:N12),"——")</f>
        <v>——</v>
      </c>
      <c r="G48" s="2256"/>
      <c r="H48" s="2257" t="str">
        <f t="shared" ref="H48:H56" si="12">IFERROR(ROUNDDOWN($F$48*I48/2,4),"——")</f>
        <v>——</v>
      </c>
      <c r="I48" s="2258">
        <v>0.33</v>
      </c>
      <c r="J48" s="2259">
        <f t="shared" ref="J48:J56" si="13">K48+$G48</f>
        <v>0</v>
      </c>
      <c r="K48" s="2259">
        <f t="shared" ref="K48:K56" si="14">$L48+$G48</f>
        <v>0</v>
      </c>
      <c r="L48" s="2259">
        <v>0</v>
      </c>
      <c r="M48" s="2259">
        <f t="shared" ref="M48:N56" si="15">L48-$G48</f>
        <v>0</v>
      </c>
      <c r="N48" s="2259">
        <f t="shared" si="15"/>
        <v>0</v>
      </c>
      <c r="O48" s="1593"/>
      <c r="P48" s="1593"/>
      <c r="Q48" s="3020"/>
      <c r="R48" s="3020"/>
      <c r="S48" s="3020"/>
      <c r="T48" s="3020"/>
      <c r="U48" s="3020"/>
      <c r="V48" s="3020"/>
      <c r="W48" s="3020"/>
      <c r="X48" s="1593"/>
      <c r="Y48" s="1593"/>
      <c r="Z48" s="1593"/>
      <c r="AA48" s="1593"/>
      <c r="AB48" s="1593"/>
      <c r="AC48" s="1593"/>
      <c r="AD48" s="1593"/>
      <c r="AE48" s="1593"/>
      <c r="AF48" s="1593"/>
      <c r="AG48" s="1593"/>
    </row>
    <row r="49" spans="1:33" s="2235" customFormat="1" ht="51">
      <c r="A49" s="2248" t="s">
        <v>2598</v>
      </c>
      <c r="B49" s="2260" t="str">
        <f>估价对象房地状况!C18</f>
        <v>较好</v>
      </c>
      <c r="C49" s="2136"/>
      <c r="D49" s="2253">
        <f t="shared" si="11"/>
        <v>0</v>
      </c>
      <c r="E49" s="2261"/>
      <c r="F49" s="2255"/>
      <c r="G49" s="2256"/>
      <c r="H49" s="2257" t="str">
        <f t="shared" si="12"/>
        <v>——</v>
      </c>
      <c r="I49" s="2258">
        <v>0.25</v>
      </c>
      <c r="J49" s="2259">
        <f t="shared" si="13"/>
        <v>0</v>
      </c>
      <c r="K49" s="2259">
        <f t="shared" si="14"/>
        <v>0</v>
      </c>
      <c r="L49" s="2259">
        <v>0</v>
      </c>
      <c r="M49" s="2259">
        <f t="shared" si="15"/>
        <v>0</v>
      </c>
      <c r="N49" s="2259">
        <f t="shared" si="15"/>
        <v>0</v>
      </c>
      <c r="O49" s="1593"/>
      <c r="P49" s="1593"/>
      <c r="Q49" s="3020"/>
      <c r="R49" s="3020"/>
      <c r="S49" s="3020"/>
      <c r="T49" s="3020"/>
      <c r="U49" s="3020"/>
      <c r="V49" s="3020"/>
      <c r="W49" s="3020"/>
      <c r="X49" s="1593"/>
      <c r="Y49" s="1593"/>
      <c r="Z49" s="1593"/>
      <c r="AA49" s="1593"/>
      <c r="AB49" s="1593"/>
      <c r="AC49" s="1593"/>
      <c r="AD49" s="1593"/>
      <c r="AE49" s="1593"/>
      <c r="AF49" s="1593"/>
      <c r="AG49" s="1593"/>
    </row>
    <row r="50" spans="1:33" s="2235" customFormat="1" ht="24">
      <c r="A50" s="2248" t="s">
        <v>2599</v>
      </c>
      <c r="B50" s="2260" t="str">
        <f>估价对象房地状况!C19</f>
        <v>较一致</v>
      </c>
      <c r="C50" s="2136"/>
      <c r="D50" s="2253">
        <f t="shared" si="11"/>
        <v>0</v>
      </c>
      <c r="E50" s="2261"/>
      <c r="F50" s="2255"/>
      <c r="G50" s="2256"/>
      <c r="H50" s="2257" t="str">
        <f t="shared" si="12"/>
        <v>——</v>
      </c>
      <c r="I50" s="2258">
        <v>0.05</v>
      </c>
      <c r="J50" s="2259">
        <f t="shared" si="13"/>
        <v>0</v>
      </c>
      <c r="K50" s="2259">
        <f t="shared" si="14"/>
        <v>0</v>
      </c>
      <c r="L50" s="2259">
        <v>0</v>
      </c>
      <c r="M50" s="2259">
        <f t="shared" si="15"/>
        <v>0</v>
      </c>
      <c r="N50" s="2259">
        <f t="shared" si="15"/>
        <v>0</v>
      </c>
      <c r="O50" s="1593"/>
      <c r="P50" s="1593"/>
      <c r="Q50" s="3020"/>
      <c r="R50" s="3020"/>
      <c r="S50" s="3020"/>
      <c r="T50" s="3020"/>
      <c r="U50" s="3020"/>
      <c r="V50" s="3020"/>
      <c r="W50" s="3020"/>
      <c r="X50" s="1593"/>
      <c r="Y50" s="1593"/>
      <c r="Z50" s="1593"/>
      <c r="AA50" s="1593"/>
      <c r="AB50" s="1593"/>
      <c r="AC50" s="1593"/>
      <c r="AD50" s="1593"/>
      <c r="AE50" s="1593"/>
      <c r="AF50" s="1593"/>
      <c r="AG50" s="1593"/>
    </row>
    <row r="51" spans="1:33" s="2235" customFormat="1" ht="36.75">
      <c r="A51" s="2248" t="s">
        <v>2600</v>
      </c>
      <c r="B51" s="2262" t="s">
        <v>2601</v>
      </c>
      <c r="C51" s="2136"/>
      <c r="D51" s="2253">
        <f t="shared" si="11"/>
        <v>0</v>
      </c>
      <c r="E51" s="2261"/>
      <c r="F51" s="2255"/>
      <c r="G51" s="2256"/>
      <c r="H51" s="2257" t="str">
        <f t="shared" si="12"/>
        <v>——</v>
      </c>
      <c r="I51" s="2258">
        <v>0.05</v>
      </c>
      <c r="J51" s="2259">
        <f t="shared" si="13"/>
        <v>0</v>
      </c>
      <c r="K51" s="2259">
        <f t="shared" si="14"/>
        <v>0</v>
      </c>
      <c r="L51" s="2259">
        <v>0</v>
      </c>
      <c r="M51" s="2259">
        <f t="shared" si="15"/>
        <v>0</v>
      </c>
      <c r="N51" s="2259">
        <f t="shared" si="15"/>
        <v>0</v>
      </c>
      <c r="O51" s="1593"/>
      <c r="P51" s="1593"/>
      <c r="Q51" s="3020"/>
      <c r="R51" s="3020"/>
      <c r="S51" s="3020"/>
      <c r="T51" s="3020"/>
      <c r="U51" s="3020"/>
      <c r="V51" s="3020"/>
      <c r="W51" s="3020"/>
      <c r="X51" s="1593"/>
      <c r="Y51" s="1593"/>
      <c r="Z51" s="1593"/>
      <c r="AA51" s="1593"/>
      <c r="AB51" s="1593"/>
      <c r="AC51" s="1593"/>
      <c r="AD51" s="1593"/>
      <c r="AE51" s="1593"/>
      <c r="AF51" s="1593"/>
      <c r="AG51" s="1593"/>
    </row>
    <row r="52" spans="1:33" s="2235" customFormat="1" ht="24">
      <c r="A52" s="2248" t="s">
        <v>2602</v>
      </c>
      <c r="B52" s="2260">
        <f>估价对象房地状况!C24</f>
        <v>0</v>
      </c>
      <c r="C52" s="2136"/>
      <c r="D52" s="2253">
        <f t="shared" si="11"/>
        <v>0</v>
      </c>
      <c r="E52" s="2261"/>
      <c r="F52" s="2255"/>
      <c r="G52" s="2256"/>
      <c r="H52" s="2257" t="str">
        <f t="shared" si="12"/>
        <v>——</v>
      </c>
      <c r="I52" s="2258">
        <v>0.08</v>
      </c>
      <c r="J52" s="2259">
        <f t="shared" si="13"/>
        <v>0</v>
      </c>
      <c r="K52" s="2259">
        <f t="shared" si="14"/>
        <v>0</v>
      </c>
      <c r="L52" s="2259">
        <v>0</v>
      </c>
      <c r="M52" s="2259">
        <f t="shared" si="15"/>
        <v>0</v>
      </c>
      <c r="N52" s="2259">
        <f t="shared" si="15"/>
        <v>0</v>
      </c>
      <c r="O52" s="1593"/>
      <c r="P52" s="1593"/>
      <c r="Q52" s="3020"/>
      <c r="R52" s="3020"/>
      <c r="S52" s="3020"/>
      <c r="T52" s="3020"/>
      <c r="U52" s="3020"/>
      <c r="V52" s="3020"/>
      <c r="W52" s="3020"/>
      <c r="X52" s="1593"/>
      <c r="Y52" s="1593"/>
      <c r="Z52" s="1593"/>
      <c r="AA52" s="1593"/>
      <c r="AB52" s="1593"/>
      <c r="AC52" s="1593"/>
      <c r="AD52" s="1593"/>
      <c r="AE52" s="1593"/>
      <c r="AF52" s="1593"/>
      <c r="AG52" s="1593"/>
    </row>
    <row r="53" spans="1:33" s="2235" customFormat="1" ht="24">
      <c r="A53" s="2248" t="s">
        <v>2603</v>
      </c>
      <c r="B53" s="2263" t="s">
        <v>2604</v>
      </c>
      <c r="C53" s="2136"/>
      <c r="D53" s="2253">
        <f t="shared" si="11"/>
        <v>0</v>
      </c>
      <c r="E53" s="2261"/>
      <c r="F53" s="2255"/>
      <c r="G53" s="2256"/>
      <c r="H53" s="2257" t="str">
        <f t="shared" si="12"/>
        <v>——</v>
      </c>
      <c r="I53" s="2258">
        <v>0.03</v>
      </c>
      <c r="J53" s="2259">
        <f t="shared" si="13"/>
        <v>0</v>
      </c>
      <c r="K53" s="2259">
        <f t="shared" si="14"/>
        <v>0</v>
      </c>
      <c r="L53" s="2259">
        <v>0</v>
      </c>
      <c r="M53" s="2259">
        <f t="shared" si="15"/>
        <v>0</v>
      </c>
      <c r="N53" s="2259">
        <f t="shared" si="15"/>
        <v>0</v>
      </c>
      <c r="O53" s="1593"/>
      <c r="P53" s="1593"/>
      <c r="Q53" s="3020"/>
      <c r="R53" s="3020"/>
      <c r="S53" s="3020"/>
      <c r="T53" s="3020"/>
      <c r="U53" s="3020"/>
      <c r="V53" s="3020"/>
      <c r="W53" s="3020"/>
      <c r="X53" s="1593"/>
      <c r="Y53" s="1593"/>
      <c r="Z53" s="1593"/>
      <c r="AA53" s="1593"/>
      <c r="AB53" s="1593"/>
      <c r="AC53" s="1593"/>
      <c r="AD53" s="1593"/>
      <c r="AE53" s="1593"/>
      <c r="AF53" s="1593"/>
      <c r="AG53" s="1593"/>
    </row>
    <row r="54" spans="1:33" s="2235" customFormat="1" ht="25.5">
      <c r="A54" s="2264" t="s">
        <v>2605</v>
      </c>
      <c r="B54" s="2265" t="str">
        <f>估价对象房地状况!C21</f>
        <v>较好</v>
      </c>
      <c r="C54" s="2136"/>
      <c r="D54" s="2253">
        <f t="shared" si="11"/>
        <v>0</v>
      </c>
      <c r="E54" s="2261"/>
      <c r="F54" s="2255"/>
      <c r="G54" s="2256"/>
      <c r="H54" s="2257" t="str">
        <f t="shared" si="12"/>
        <v>——</v>
      </c>
      <c r="I54" s="2258">
        <v>0.05</v>
      </c>
      <c r="J54" s="2259">
        <f t="shared" si="13"/>
        <v>0</v>
      </c>
      <c r="K54" s="2259">
        <f t="shared" si="14"/>
        <v>0</v>
      </c>
      <c r="L54" s="2259">
        <v>0</v>
      </c>
      <c r="M54" s="2259">
        <f t="shared" si="15"/>
        <v>0</v>
      </c>
      <c r="N54" s="2259">
        <f t="shared" si="15"/>
        <v>0</v>
      </c>
      <c r="O54" s="1593"/>
      <c r="P54" s="1593"/>
      <c r="Q54" s="3020"/>
      <c r="R54" s="3020"/>
      <c r="S54" s="3020"/>
      <c r="T54" s="3020"/>
      <c r="U54" s="3020"/>
      <c r="V54" s="3020"/>
      <c r="W54" s="3020"/>
      <c r="X54" s="1593"/>
      <c r="Y54" s="1593"/>
      <c r="Z54" s="1593"/>
      <c r="AA54" s="1593"/>
      <c r="AB54" s="1593"/>
      <c r="AC54" s="1593"/>
      <c r="AD54" s="1593"/>
      <c r="AE54" s="1593"/>
      <c r="AF54" s="1593"/>
      <c r="AG54" s="1593"/>
    </row>
    <row r="55" spans="1:33" s="2235" customFormat="1" ht="25.5">
      <c r="A55" s="2264" t="s">
        <v>2606</v>
      </c>
      <c r="B55" s="2260" t="str">
        <f>估价对象房地状况!C22</f>
        <v>七通</v>
      </c>
      <c r="C55" s="2136"/>
      <c r="D55" s="2253">
        <f t="shared" si="11"/>
        <v>0</v>
      </c>
      <c r="E55" s="2261"/>
      <c r="F55" s="2255"/>
      <c r="G55" s="2256"/>
      <c r="H55" s="2257" t="str">
        <f t="shared" si="12"/>
        <v>——</v>
      </c>
      <c r="I55" s="2258">
        <v>0.1</v>
      </c>
      <c r="J55" s="2259">
        <f t="shared" si="13"/>
        <v>0</v>
      </c>
      <c r="K55" s="2259">
        <f t="shared" si="14"/>
        <v>0</v>
      </c>
      <c r="L55" s="2259">
        <v>0</v>
      </c>
      <c r="M55" s="2259">
        <f t="shared" si="15"/>
        <v>0</v>
      </c>
      <c r="N55" s="2259">
        <f t="shared" si="15"/>
        <v>0</v>
      </c>
      <c r="O55" s="1593"/>
      <c r="P55" s="1593"/>
      <c r="Q55" s="3020"/>
      <c r="R55" s="3020"/>
      <c r="S55" s="3020"/>
      <c r="T55" s="3020"/>
      <c r="U55" s="3020"/>
      <c r="V55" s="3020"/>
      <c r="W55" s="3020"/>
      <c r="X55" s="1593"/>
      <c r="Y55" s="1593"/>
      <c r="Z55" s="1593"/>
      <c r="AA55" s="1593"/>
      <c r="AB55" s="1593"/>
      <c r="AC55" s="1593"/>
      <c r="AD55" s="1593"/>
      <c r="AE55" s="1593"/>
      <c r="AF55" s="1593"/>
      <c r="AG55" s="1593"/>
    </row>
    <row r="56" spans="1:33" s="2235" customFormat="1" ht="39" thickBot="1">
      <c r="A56" s="2266" t="s">
        <v>2607</v>
      </c>
      <c r="B56" s="2267" t="str">
        <f>估价对象房地状况!C20</f>
        <v>较好</v>
      </c>
      <c r="C56" s="2136"/>
      <c r="D56" s="2253">
        <f t="shared" si="11"/>
        <v>0</v>
      </c>
      <c r="E56" s="2268"/>
      <c r="F56" s="2255"/>
      <c r="G56" s="2256"/>
      <c r="H56" s="2257" t="str">
        <f t="shared" si="12"/>
        <v>——</v>
      </c>
      <c r="I56" s="2269">
        <v>0.06</v>
      </c>
      <c r="J56" s="2259">
        <f t="shared" si="13"/>
        <v>0</v>
      </c>
      <c r="K56" s="2259">
        <f t="shared" si="14"/>
        <v>0</v>
      </c>
      <c r="L56" s="2259">
        <v>0</v>
      </c>
      <c r="M56" s="2259">
        <f t="shared" si="15"/>
        <v>0</v>
      </c>
      <c r="N56" s="2259">
        <f t="shared" si="15"/>
        <v>0</v>
      </c>
      <c r="O56" s="1593"/>
      <c r="P56" s="1593"/>
      <c r="Q56" s="3020"/>
      <c r="R56" s="3020"/>
      <c r="S56" s="3020"/>
      <c r="T56" s="3020"/>
      <c r="U56" s="3020"/>
      <c r="V56" s="3020"/>
      <c r="W56" s="3020"/>
      <c r="X56" s="1593"/>
      <c r="Y56" s="1593"/>
      <c r="Z56" s="1593"/>
      <c r="AA56" s="1593"/>
      <c r="AB56" s="1593"/>
      <c r="AC56" s="1593"/>
      <c r="AD56" s="1593"/>
      <c r="AE56" s="1593"/>
      <c r="AF56" s="1593"/>
      <c r="AG56" s="1593"/>
    </row>
    <row r="57" spans="1:33" s="2235" customFormat="1" ht="15">
      <c r="A57" s="2241" t="s">
        <v>2608</v>
      </c>
      <c r="B57" s="2270">
        <f>1+E59</f>
        <v>1</v>
      </c>
      <c r="C57" s="2244"/>
      <c r="D57" s="2244"/>
      <c r="E57" s="2245"/>
      <c r="F57" s="2246"/>
      <c r="G57" s="608"/>
      <c r="H57" s="608"/>
      <c r="I57" s="608"/>
      <c r="J57" s="608"/>
      <c r="K57" s="608"/>
      <c r="L57" s="608"/>
      <c r="M57" s="608"/>
      <c r="N57" s="608"/>
      <c r="O57" s="1593"/>
      <c r="P57" s="1593"/>
      <c r="Q57" s="3020"/>
      <c r="R57" s="3020"/>
      <c r="S57" s="3020"/>
      <c r="T57" s="3020"/>
      <c r="U57" s="3020"/>
      <c r="V57" s="3020"/>
      <c r="W57" s="3020"/>
      <c r="X57" s="1593"/>
      <c r="Y57" s="1593"/>
      <c r="Z57" s="1593"/>
      <c r="AA57" s="1593"/>
      <c r="AB57" s="1593"/>
      <c r="AC57" s="1593"/>
      <c r="AD57" s="1593"/>
      <c r="AE57" s="1593"/>
      <c r="AF57" s="1593"/>
      <c r="AG57" s="1593"/>
    </row>
    <row r="58" spans="1:33" s="2235" customFormat="1" ht="24.75">
      <c r="A58" s="2248" t="s">
        <v>2583</v>
      </c>
      <c r="B58" s="2260"/>
      <c r="C58" s="2249" t="s">
        <v>2585</v>
      </c>
      <c r="D58" s="2249" t="s">
        <v>2586</v>
      </c>
      <c r="E58" s="2250" t="s">
        <v>2587</v>
      </c>
      <c r="F58" s="2200" t="s">
        <v>2588</v>
      </c>
      <c r="G58" s="2249" t="s">
        <v>2609</v>
      </c>
      <c r="H58" s="2251" t="s">
        <v>2610</v>
      </c>
      <c r="I58" s="2249" t="s">
        <v>2611</v>
      </c>
      <c r="J58" s="1876" t="s">
        <v>2251</v>
      </c>
      <c r="K58" s="1876" t="s">
        <v>2252</v>
      </c>
      <c r="L58" s="1876" t="s">
        <v>2253</v>
      </c>
      <c r="M58" s="1876" t="s">
        <v>2254</v>
      </c>
      <c r="N58" s="1876" t="s">
        <v>2255</v>
      </c>
      <c r="O58" s="1593"/>
      <c r="P58" s="1593"/>
      <c r="Q58" s="3020"/>
      <c r="R58" s="3020"/>
      <c r="S58" s="3020"/>
      <c r="T58" s="3020"/>
      <c r="U58" s="3020"/>
      <c r="V58" s="3020"/>
      <c r="W58" s="3020"/>
      <c r="X58" s="1593"/>
      <c r="Y58" s="1593"/>
      <c r="Z58" s="1593"/>
      <c r="AA58" s="1593"/>
      <c r="AB58" s="1593"/>
      <c r="AC58" s="1593"/>
      <c r="AD58" s="1593"/>
      <c r="AE58" s="1593"/>
      <c r="AF58" s="1593"/>
      <c r="AG58" s="1593"/>
    </row>
    <row r="59" spans="1:33" s="2235" customFormat="1" ht="38.25">
      <c r="A59" s="2248" t="s">
        <v>2612</v>
      </c>
      <c r="B59" s="2252" t="str">
        <f>估价对象房地状况!C17</f>
        <v>较好</v>
      </c>
      <c r="C59" s="2136"/>
      <c r="D59" s="2253">
        <f t="shared" ref="D59:D67" si="16">SUMIF($J$58:$N$58,C59,J59:N59)</f>
        <v>0</v>
      </c>
      <c r="E59" s="2254">
        <f>ROUND(SUM(D59:D67),4)</f>
        <v>0</v>
      </c>
      <c r="F59" s="2255" t="str">
        <f>IF(E2="办公",SUMIF(L1:L12,G2,N1:N12),"——")</f>
        <v>——</v>
      </c>
      <c r="G59" s="2256"/>
      <c r="H59" s="2257" t="str">
        <f t="shared" ref="H59:H67" si="17">IFERROR(ROUNDDOWN($F$59*I59/2,4),"——")</f>
        <v>——</v>
      </c>
      <c r="I59" s="2258">
        <v>0.24</v>
      </c>
      <c r="J59" s="2259">
        <f t="shared" ref="J59:J67" si="18">K59+$G59</f>
        <v>0</v>
      </c>
      <c r="K59" s="2259">
        <f t="shared" ref="K59:K67" si="19">$L59+$G59</f>
        <v>0</v>
      </c>
      <c r="L59" s="2259">
        <v>0</v>
      </c>
      <c r="M59" s="2259">
        <f t="shared" ref="M59:N67" si="20">L59-$G59</f>
        <v>0</v>
      </c>
      <c r="N59" s="2259">
        <f t="shared" si="20"/>
        <v>0</v>
      </c>
      <c r="O59" s="1593"/>
      <c r="P59" s="1593"/>
      <c r="Q59" s="3020"/>
      <c r="R59" s="3020"/>
      <c r="S59" s="3020"/>
      <c r="T59" s="3020"/>
      <c r="U59" s="3020"/>
      <c r="V59" s="3020"/>
      <c r="W59" s="3020"/>
      <c r="X59" s="1593"/>
      <c r="Y59" s="1593"/>
      <c r="Z59" s="1593"/>
      <c r="AA59" s="1593"/>
      <c r="AB59" s="1593"/>
      <c r="AC59" s="1593"/>
      <c r="AD59" s="1593"/>
      <c r="AE59" s="1593"/>
      <c r="AF59" s="1593"/>
      <c r="AG59" s="1593"/>
    </row>
    <row r="60" spans="1:33" s="2235" customFormat="1" ht="51">
      <c r="A60" s="2248" t="s">
        <v>2598</v>
      </c>
      <c r="B60" s="2260" t="str">
        <f>估价对象房地状况!C18</f>
        <v>较好</v>
      </c>
      <c r="C60" s="2136"/>
      <c r="D60" s="2253">
        <f t="shared" si="16"/>
        <v>0</v>
      </c>
      <c r="E60" s="2261"/>
      <c r="F60" s="2255"/>
      <c r="G60" s="2256"/>
      <c r="H60" s="2257" t="str">
        <f t="shared" si="17"/>
        <v>——</v>
      </c>
      <c r="I60" s="2258">
        <v>0.3</v>
      </c>
      <c r="J60" s="2259">
        <f t="shared" si="18"/>
        <v>0</v>
      </c>
      <c r="K60" s="2259">
        <f t="shared" si="19"/>
        <v>0</v>
      </c>
      <c r="L60" s="2259">
        <v>0</v>
      </c>
      <c r="M60" s="2259">
        <f t="shared" si="20"/>
        <v>0</v>
      </c>
      <c r="N60" s="2259">
        <f t="shared" si="20"/>
        <v>0</v>
      </c>
      <c r="O60" s="1593"/>
      <c r="P60" s="1593"/>
      <c r="Q60" s="3020"/>
      <c r="R60" s="3020"/>
      <c r="S60" s="3020"/>
      <c r="T60" s="3020"/>
      <c r="U60" s="3020"/>
      <c r="V60" s="3020"/>
      <c r="W60" s="3020"/>
      <c r="X60" s="1593"/>
      <c r="Y60" s="1593"/>
      <c r="Z60" s="1593"/>
      <c r="AA60" s="1593"/>
      <c r="AB60" s="1593"/>
      <c r="AC60" s="1593"/>
      <c r="AD60" s="1593"/>
      <c r="AE60" s="1593"/>
      <c r="AF60" s="1593"/>
      <c r="AG60" s="1593"/>
    </row>
    <row r="61" spans="1:33" s="2235" customFormat="1" ht="24">
      <c r="A61" s="2248" t="s">
        <v>2599</v>
      </c>
      <c r="B61" s="2260" t="str">
        <f>估价对象房地状况!C19</f>
        <v>较一致</v>
      </c>
      <c r="C61" s="2136"/>
      <c r="D61" s="2253">
        <f t="shared" si="16"/>
        <v>0</v>
      </c>
      <c r="E61" s="2261"/>
      <c r="F61" s="2255"/>
      <c r="G61" s="2256"/>
      <c r="H61" s="2257" t="str">
        <f t="shared" si="17"/>
        <v>——</v>
      </c>
      <c r="I61" s="2258">
        <v>0.08</v>
      </c>
      <c r="J61" s="2259">
        <f t="shared" si="18"/>
        <v>0</v>
      </c>
      <c r="K61" s="2259">
        <f t="shared" si="19"/>
        <v>0</v>
      </c>
      <c r="L61" s="2259">
        <v>0</v>
      </c>
      <c r="M61" s="2259">
        <f t="shared" si="20"/>
        <v>0</v>
      </c>
      <c r="N61" s="2259">
        <f t="shared" si="20"/>
        <v>0</v>
      </c>
      <c r="O61" s="1593"/>
      <c r="P61" s="1593"/>
      <c r="Q61" s="3020"/>
      <c r="R61" s="3020"/>
      <c r="S61" s="3020"/>
      <c r="T61" s="3020"/>
      <c r="U61" s="3020"/>
      <c r="V61" s="3020"/>
      <c r="W61" s="3020"/>
      <c r="X61" s="1593"/>
      <c r="Y61" s="1593"/>
      <c r="Z61" s="1593"/>
      <c r="AA61" s="1593"/>
      <c r="AB61" s="1593"/>
      <c r="AC61" s="1593"/>
      <c r="AD61" s="1593"/>
      <c r="AE61" s="1593"/>
      <c r="AF61" s="1593"/>
      <c r="AG61" s="1593"/>
    </row>
    <row r="62" spans="1:33" s="2235" customFormat="1" ht="36.75">
      <c r="A62" s="2248" t="s">
        <v>2600</v>
      </c>
      <c r="B62" s="2262" t="s">
        <v>2601</v>
      </c>
      <c r="C62" s="2136"/>
      <c r="D62" s="2253">
        <f t="shared" si="16"/>
        <v>0</v>
      </c>
      <c r="E62" s="2261"/>
      <c r="F62" s="2255"/>
      <c r="G62" s="2256"/>
      <c r="H62" s="2257" t="str">
        <f t="shared" si="17"/>
        <v>——</v>
      </c>
      <c r="I62" s="2258">
        <v>0.04</v>
      </c>
      <c r="J62" s="2259">
        <f t="shared" si="18"/>
        <v>0</v>
      </c>
      <c r="K62" s="2259">
        <f t="shared" si="19"/>
        <v>0</v>
      </c>
      <c r="L62" s="2259">
        <v>0</v>
      </c>
      <c r="M62" s="2259">
        <f t="shared" si="20"/>
        <v>0</v>
      </c>
      <c r="N62" s="2259">
        <f t="shared" si="20"/>
        <v>0</v>
      </c>
      <c r="O62" s="1593"/>
      <c r="P62" s="1593"/>
      <c r="Q62" s="3020"/>
      <c r="R62" s="3020"/>
      <c r="S62" s="3020"/>
      <c r="T62" s="3020"/>
      <c r="U62" s="3020"/>
      <c r="V62" s="3020"/>
      <c r="W62" s="3020"/>
      <c r="X62" s="1593"/>
      <c r="Y62" s="1593"/>
      <c r="Z62" s="1593"/>
      <c r="AA62" s="1593"/>
      <c r="AB62" s="1593"/>
      <c r="AC62" s="1593"/>
      <c r="AD62" s="1593"/>
      <c r="AE62" s="1593"/>
      <c r="AF62" s="1593"/>
      <c r="AG62" s="1593"/>
    </row>
    <row r="63" spans="1:33" s="2235" customFormat="1" ht="24">
      <c r="A63" s="2248" t="s">
        <v>2602</v>
      </c>
      <c r="B63" s="2260">
        <f>估价对象房地状况!C24</f>
        <v>0</v>
      </c>
      <c r="C63" s="2136"/>
      <c r="D63" s="2253">
        <f t="shared" si="16"/>
        <v>0</v>
      </c>
      <c r="E63" s="2261"/>
      <c r="F63" s="2255"/>
      <c r="G63" s="2256"/>
      <c r="H63" s="2257" t="str">
        <f t="shared" si="17"/>
        <v>——</v>
      </c>
      <c r="I63" s="2258">
        <v>0.05</v>
      </c>
      <c r="J63" s="2259">
        <f t="shared" si="18"/>
        <v>0</v>
      </c>
      <c r="K63" s="2259">
        <f t="shared" si="19"/>
        <v>0</v>
      </c>
      <c r="L63" s="2259">
        <v>0</v>
      </c>
      <c r="M63" s="2259">
        <f t="shared" si="20"/>
        <v>0</v>
      </c>
      <c r="N63" s="2259">
        <f t="shared" si="20"/>
        <v>0</v>
      </c>
      <c r="O63" s="1593"/>
      <c r="P63" s="1593"/>
      <c r="Q63" s="3020"/>
      <c r="R63" s="3020"/>
      <c r="S63" s="3020"/>
      <c r="T63" s="3020"/>
      <c r="U63" s="3020"/>
      <c r="V63" s="3020"/>
      <c r="W63" s="3020"/>
      <c r="X63" s="1593"/>
      <c r="Y63" s="1593"/>
      <c r="Z63" s="1593"/>
      <c r="AA63" s="1593"/>
      <c r="AB63" s="1593"/>
      <c r="AC63" s="1593"/>
      <c r="AD63" s="1593"/>
      <c r="AE63" s="1593"/>
      <c r="AF63" s="1593"/>
      <c r="AG63" s="1593"/>
    </row>
    <row r="64" spans="1:33" s="2235" customFormat="1" ht="24">
      <c r="A64" s="2248" t="s">
        <v>2603</v>
      </c>
      <c r="B64" s="2263" t="s">
        <v>2604</v>
      </c>
      <c r="C64" s="2136"/>
      <c r="D64" s="2253">
        <f t="shared" si="16"/>
        <v>0</v>
      </c>
      <c r="E64" s="2261"/>
      <c r="F64" s="2255"/>
      <c r="G64" s="2256"/>
      <c r="H64" s="2257" t="str">
        <f t="shared" si="17"/>
        <v>——</v>
      </c>
      <c r="I64" s="2258">
        <v>0.05</v>
      </c>
      <c r="J64" s="2259">
        <f t="shared" si="18"/>
        <v>0</v>
      </c>
      <c r="K64" s="2259">
        <f t="shared" si="19"/>
        <v>0</v>
      </c>
      <c r="L64" s="2259">
        <v>0</v>
      </c>
      <c r="M64" s="2259">
        <f t="shared" si="20"/>
        <v>0</v>
      </c>
      <c r="N64" s="2259">
        <f t="shared" si="20"/>
        <v>0</v>
      </c>
      <c r="O64" s="1593"/>
      <c r="P64" s="1593"/>
      <c r="Q64" s="3020"/>
      <c r="R64" s="3020"/>
      <c r="S64" s="3020"/>
      <c r="T64" s="3020"/>
      <c r="U64" s="3020"/>
      <c r="V64" s="3020"/>
      <c r="W64" s="3020"/>
      <c r="X64" s="1593"/>
      <c r="Y64" s="1593"/>
      <c r="Z64" s="1593"/>
      <c r="AA64" s="1593"/>
      <c r="AB64" s="1593"/>
      <c r="AC64" s="1593"/>
      <c r="AD64" s="1593"/>
      <c r="AE64" s="1593"/>
      <c r="AF64" s="1593"/>
      <c r="AG64" s="1593"/>
    </row>
    <row r="65" spans="1:33" s="2235" customFormat="1" ht="25.5">
      <c r="A65" s="2248" t="s">
        <v>2605</v>
      </c>
      <c r="B65" s="2265" t="str">
        <f>估价对象房地状况!C21</f>
        <v>较好</v>
      </c>
      <c r="C65" s="2136"/>
      <c r="D65" s="2253">
        <f t="shared" si="16"/>
        <v>0</v>
      </c>
      <c r="E65" s="2261"/>
      <c r="F65" s="2255"/>
      <c r="G65" s="2256"/>
      <c r="H65" s="2257" t="str">
        <f t="shared" si="17"/>
        <v>——</v>
      </c>
      <c r="I65" s="2258">
        <v>0.06</v>
      </c>
      <c r="J65" s="2259">
        <f t="shared" si="18"/>
        <v>0</v>
      </c>
      <c r="K65" s="2259">
        <f t="shared" si="19"/>
        <v>0</v>
      </c>
      <c r="L65" s="2259">
        <v>0</v>
      </c>
      <c r="M65" s="2259">
        <f t="shared" si="20"/>
        <v>0</v>
      </c>
      <c r="N65" s="2259">
        <f t="shared" si="20"/>
        <v>0</v>
      </c>
      <c r="O65" s="1593"/>
      <c r="P65" s="1593"/>
      <c r="Q65" s="3020"/>
      <c r="R65" s="3020"/>
      <c r="S65" s="3020"/>
      <c r="T65" s="3020"/>
      <c r="U65" s="3020"/>
      <c r="V65" s="3020"/>
      <c r="W65" s="3020"/>
      <c r="X65" s="1593"/>
      <c r="Y65" s="1593"/>
      <c r="Z65" s="1593"/>
      <c r="AA65" s="1593"/>
      <c r="AB65" s="1593"/>
      <c r="AC65" s="1593"/>
      <c r="AD65" s="1593"/>
      <c r="AE65" s="1593"/>
      <c r="AF65" s="1593"/>
      <c r="AG65" s="1593"/>
    </row>
    <row r="66" spans="1:33" s="2235" customFormat="1" ht="25.5">
      <c r="A66" s="2248" t="s">
        <v>2606</v>
      </c>
      <c r="B66" s="2265" t="str">
        <f>估价对象房地状况!C22</f>
        <v>七通</v>
      </c>
      <c r="C66" s="2136"/>
      <c r="D66" s="2253">
        <f t="shared" si="16"/>
        <v>0</v>
      </c>
      <c r="E66" s="2261"/>
      <c r="F66" s="2255"/>
      <c r="G66" s="2256"/>
      <c r="H66" s="2257" t="str">
        <f t="shared" si="17"/>
        <v>——</v>
      </c>
      <c r="I66" s="2258">
        <v>0.12</v>
      </c>
      <c r="J66" s="2259">
        <f t="shared" si="18"/>
        <v>0</v>
      </c>
      <c r="K66" s="2259">
        <f t="shared" si="19"/>
        <v>0</v>
      </c>
      <c r="L66" s="2259">
        <v>0</v>
      </c>
      <c r="M66" s="2259">
        <f t="shared" si="20"/>
        <v>0</v>
      </c>
      <c r="N66" s="2259">
        <f t="shared" si="20"/>
        <v>0</v>
      </c>
      <c r="O66" s="1593"/>
      <c r="P66" s="1593"/>
      <c r="Q66" s="3020"/>
      <c r="R66" s="3020"/>
      <c r="S66" s="3020"/>
      <c r="T66" s="3020"/>
      <c r="U66" s="3020"/>
      <c r="V66" s="3020"/>
      <c r="W66" s="3020"/>
      <c r="X66" s="1593"/>
      <c r="Y66" s="1593"/>
      <c r="Z66" s="1593"/>
      <c r="AA66" s="1593"/>
      <c r="AB66" s="1593"/>
      <c r="AC66" s="1593"/>
      <c r="AD66" s="1593"/>
      <c r="AE66" s="1593"/>
      <c r="AF66" s="1593"/>
      <c r="AG66" s="1593"/>
    </row>
    <row r="67" spans="1:33" s="2235" customFormat="1" ht="39" thickBot="1">
      <c r="A67" s="2266" t="s">
        <v>2607</v>
      </c>
      <c r="B67" s="2271" t="str">
        <f>估价对象房地状况!C20</f>
        <v>较好</v>
      </c>
      <c r="C67" s="2136"/>
      <c r="D67" s="2253">
        <f t="shared" si="16"/>
        <v>0</v>
      </c>
      <c r="E67" s="2268"/>
      <c r="F67" s="2255"/>
      <c r="G67" s="2256"/>
      <c r="H67" s="2257" t="str">
        <f t="shared" si="17"/>
        <v>——</v>
      </c>
      <c r="I67" s="2269">
        <v>0.06</v>
      </c>
      <c r="J67" s="2259">
        <f t="shared" si="18"/>
        <v>0</v>
      </c>
      <c r="K67" s="2259">
        <f t="shared" si="19"/>
        <v>0</v>
      </c>
      <c r="L67" s="2259">
        <v>0</v>
      </c>
      <c r="M67" s="2259">
        <f t="shared" si="20"/>
        <v>0</v>
      </c>
      <c r="N67" s="2259">
        <f t="shared" si="20"/>
        <v>0</v>
      </c>
      <c r="O67" s="1593"/>
      <c r="P67" s="1593"/>
      <c r="Q67" s="3020"/>
      <c r="R67" s="3020"/>
      <c r="S67" s="3020"/>
      <c r="T67" s="3020"/>
      <c r="U67" s="3020"/>
      <c r="V67" s="3020"/>
      <c r="W67" s="3020"/>
      <c r="X67" s="1593"/>
      <c r="Y67" s="1593"/>
      <c r="Z67" s="1593"/>
      <c r="AA67" s="1593"/>
      <c r="AB67" s="1593"/>
      <c r="AC67" s="1593"/>
      <c r="AD67" s="1593"/>
      <c r="AE67" s="1593"/>
      <c r="AF67" s="1593"/>
      <c r="AG67" s="1593"/>
    </row>
    <row r="68" spans="1:33" s="2235" customFormat="1" ht="15">
      <c r="A68" s="2241" t="s">
        <v>2613</v>
      </c>
      <c r="B68" s="2270">
        <f>1+E70</f>
        <v>1</v>
      </c>
      <c r="C68" s="2244"/>
      <c r="D68" s="2244"/>
      <c r="E68" s="2245"/>
      <c r="F68" s="2246"/>
      <c r="G68" s="608"/>
      <c r="H68" s="608"/>
      <c r="I68" s="608"/>
      <c r="J68" s="608"/>
      <c r="K68" s="608"/>
      <c r="L68" s="608"/>
      <c r="M68" s="608"/>
      <c r="N68" s="608"/>
      <c r="O68" s="1593"/>
      <c r="P68" s="1593"/>
      <c r="Q68" s="3020"/>
      <c r="R68" s="3020"/>
      <c r="S68" s="3020"/>
      <c r="T68" s="3020"/>
      <c r="U68" s="3020"/>
      <c r="V68" s="3020"/>
      <c r="W68" s="3020"/>
      <c r="X68" s="1593"/>
      <c r="Y68" s="1593"/>
      <c r="Z68" s="1593"/>
      <c r="AA68" s="1593"/>
      <c r="AB68" s="1593"/>
      <c r="AC68" s="1593"/>
      <c r="AD68" s="1593"/>
      <c r="AE68" s="1593"/>
      <c r="AF68" s="1593"/>
      <c r="AG68" s="1593"/>
    </row>
    <row r="69" spans="1:33" s="2235" customFormat="1" ht="24.75">
      <c r="A69" s="2248" t="s">
        <v>2583</v>
      </c>
      <c r="B69" s="2260"/>
      <c r="C69" s="2249" t="s">
        <v>2585</v>
      </c>
      <c r="D69" s="2249" t="s">
        <v>2586</v>
      </c>
      <c r="E69" s="2250" t="s">
        <v>2587</v>
      </c>
      <c r="F69" s="2200" t="s">
        <v>2588</v>
      </c>
      <c r="G69" s="2249" t="s">
        <v>2609</v>
      </c>
      <c r="H69" s="2251" t="s">
        <v>2610</v>
      </c>
      <c r="I69" s="2249" t="s">
        <v>2611</v>
      </c>
      <c r="J69" s="1876" t="s">
        <v>2251</v>
      </c>
      <c r="K69" s="1876" t="s">
        <v>2252</v>
      </c>
      <c r="L69" s="1876" t="s">
        <v>2253</v>
      </c>
      <c r="M69" s="1876" t="s">
        <v>2254</v>
      </c>
      <c r="N69" s="1876" t="s">
        <v>2255</v>
      </c>
      <c r="O69" s="1593"/>
      <c r="P69" s="1593"/>
      <c r="Q69" s="3020"/>
      <c r="R69" s="3020"/>
      <c r="S69" s="3020"/>
      <c r="T69" s="3020"/>
      <c r="U69" s="3020"/>
      <c r="V69" s="3020"/>
      <c r="W69" s="3020"/>
      <c r="X69" s="1593"/>
      <c r="Y69" s="1593"/>
      <c r="Z69" s="1593"/>
      <c r="AA69" s="1593"/>
      <c r="AB69" s="1593"/>
      <c r="AC69" s="1593"/>
      <c r="AD69" s="1593"/>
      <c r="AE69" s="1593"/>
      <c r="AF69" s="1593"/>
      <c r="AG69" s="1593"/>
    </row>
    <row r="70" spans="1:33" s="2235" customFormat="1" ht="51">
      <c r="A70" s="2248" t="s">
        <v>2614</v>
      </c>
      <c r="B70" s="2252">
        <f>估价对象房地状况!C15</f>
        <v>0</v>
      </c>
      <c r="C70" s="2136"/>
      <c r="D70" s="2253">
        <f t="shared" ref="D70:D78" si="21">SUMIF($J$69:$N$69,C70,J70:N70)</f>
        <v>0</v>
      </c>
      <c r="E70" s="2254">
        <f>ROUND(SUM(D70:D78),4)</f>
        <v>0</v>
      </c>
      <c r="F70" s="2255">
        <f>IF(E2="住宅",SUMIF(L1:L12,G2,N1:N12),"——")</f>
        <v>0</v>
      </c>
      <c r="G70" s="2256"/>
      <c r="H70" s="2257">
        <f t="shared" ref="H70:H78" si="22">IFERROR(ROUNDDOWN($F$70*I70/2,4),"——")</f>
        <v>0</v>
      </c>
      <c r="I70" s="2258">
        <v>0.14000000000000001</v>
      </c>
      <c r="J70" s="2259">
        <f t="shared" ref="J70:J78" si="23">K70+$G70</f>
        <v>0</v>
      </c>
      <c r="K70" s="2259">
        <f t="shared" ref="K70:K78" si="24">$L70+$G70</f>
        <v>0</v>
      </c>
      <c r="L70" s="2259">
        <v>0</v>
      </c>
      <c r="M70" s="2259">
        <f t="shared" ref="M70:N78" si="25">L70-$G70</f>
        <v>0</v>
      </c>
      <c r="N70" s="2259">
        <f t="shared" si="25"/>
        <v>0</v>
      </c>
      <c r="O70" s="1593"/>
      <c r="P70" s="1593"/>
      <c r="Q70" s="3020"/>
      <c r="R70" s="3020"/>
      <c r="S70" s="3020"/>
      <c r="T70" s="3020"/>
      <c r="U70" s="3020"/>
      <c r="V70" s="3020"/>
      <c r="W70" s="3020"/>
      <c r="X70" s="1593"/>
      <c r="Y70" s="1593"/>
      <c r="Z70" s="1593"/>
      <c r="AA70" s="1593"/>
      <c r="AB70" s="1593"/>
      <c r="AC70" s="1593"/>
      <c r="AD70" s="1593"/>
      <c r="AE70" s="1593"/>
      <c r="AF70" s="1593"/>
      <c r="AG70" s="1593"/>
    </row>
    <row r="71" spans="1:33" s="2235" customFormat="1" ht="51">
      <c r="A71" s="2248" t="s">
        <v>2598</v>
      </c>
      <c r="B71" s="2260" t="str">
        <f>估价对象房地状况!C18</f>
        <v>较好</v>
      </c>
      <c r="C71" s="2136"/>
      <c r="D71" s="2253">
        <f t="shared" si="21"/>
        <v>0</v>
      </c>
      <c r="E71" s="2261"/>
      <c r="F71" s="2255"/>
      <c r="G71" s="2256"/>
      <c r="H71" s="2257">
        <f t="shared" si="22"/>
        <v>0</v>
      </c>
      <c r="I71" s="2258">
        <v>0.3</v>
      </c>
      <c r="J71" s="2259">
        <f t="shared" si="23"/>
        <v>0</v>
      </c>
      <c r="K71" s="2259">
        <f t="shared" si="24"/>
        <v>0</v>
      </c>
      <c r="L71" s="2259">
        <v>0</v>
      </c>
      <c r="M71" s="2259">
        <f t="shared" si="25"/>
        <v>0</v>
      </c>
      <c r="N71" s="2259">
        <f t="shared" si="25"/>
        <v>0</v>
      </c>
      <c r="O71" s="1593"/>
      <c r="P71" s="1593"/>
      <c r="Q71" s="3020"/>
      <c r="R71" s="3020"/>
      <c r="S71" s="3020"/>
      <c r="T71" s="3020"/>
      <c r="U71" s="3020"/>
      <c r="V71" s="3020"/>
      <c r="W71" s="3020"/>
      <c r="X71" s="1593"/>
      <c r="Y71" s="1593"/>
      <c r="Z71" s="1593"/>
      <c r="AA71" s="1593"/>
      <c r="AB71" s="1593"/>
      <c r="AC71" s="1593"/>
      <c r="AD71" s="1593"/>
      <c r="AE71" s="1593"/>
      <c r="AF71" s="1593"/>
      <c r="AG71" s="1593"/>
    </row>
    <row r="72" spans="1:33" s="2235" customFormat="1" ht="24">
      <c r="A72" s="2248" t="s">
        <v>2599</v>
      </c>
      <c r="B72" s="2260" t="str">
        <f>估价对象房地状况!C19</f>
        <v>较一致</v>
      </c>
      <c r="C72" s="2136"/>
      <c r="D72" s="2253">
        <f t="shared" si="21"/>
        <v>0</v>
      </c>
      <c r="E72" s="2261"/>
      <c r="F72" s="2255"/>
      <c r="G72" s="2256"/>
      <c r="H72" s="2257">
        <f t="shared" si="22"/>
        <v>0</v>
      </c>
      <c r="I72" s="2258">
        <v>0.08</v>
      </c>
      <c r="J72" s="2259">
        <f t="shared" si="23"/>
        <v>0</v>
      </c>
      <c r="K72" s="2259">
        <f t="shared" si="24"/>
        <v>0</v>
      </c>
      <c r="L72" s="2259">
        <v>0</v>
      </c>
      <c r="M72" s="2259">
        <f t="shared" si="25"/>
        <v>0</v>
      </c>
      <c r="N72" s="2259">
        <f t="shared" si="25"/>
        <v>0</v>
      </c>
      <c r="O72" s="1593"/>
      <c r="P72" s="1593"/>
      <c r="Q72" s="3020"/>
      <c r="R72" s="3020"/>
      <c r="S72" s="3020"/>
      <c r="T72" s="3020"/>
      <c r="U72" s="3020"/>
      <c r="V72" s="3020"/>
      <c r="W72" s="3020"/>
      <c r="X72" s="1593"/>
      <c r="Y72" s="1593"/>
      <c r="Z72" s="1593"/>
      <c r="AA72" s="1593"/>
      <c r="AB72" s="1593"/>
      <c r="AC72" s="1593"/>
      <c r="AD72" s="1593"/>
      <c r="AE72" s="1593"/>
      <c r="AF72" s="1593"/>
      <c r="AG72" s="1593"/>
    </row>
    <row r="73" spans="1:33" s="2235" customFormat="1" ht="14.25">
      <c r="A73" s="2248" t="s">
        <v>2615</v>
      </c>
      <c r="B73" s="2260">
        <f>估价对象房地状况!C24</f>
        <v>0</v>
      </c>
      <c r="C73" s="2136"/>
      <c r="D73" s="2253">
        <f t="shared" si="21"/>
        <v>0</v>
      </c>
      <c r="E73" s="2261"/>
      <c r="F73" s="2255"/>
      <c r="G73" s="2256"/>
      <c r="H73" s="2257">
        <f t="shared" si="22"/>
        <v>0</v>
      </c>
      <c r="I73" s="2258">
        <v>0.04</v>
      </c>
      <c r="J73" s="2259">
        <f t="shared" si="23"/>
        <v>0</v>
      </c>
      <c r="K73" s="2259">
        <f t="shared" si="24"/>
        <v>0</v>
      </c>
      <c r="L73" s="2259">
        <v>0</v>
      </c>
      <c r="M73" s="2259">
        <f t="shared" si="25"/>
        <v>0</v>
      </c>
      <c r="N73" s="2259">
        <f t="shared" si="25"/>
        <v>0</v>
      </c>
      <c r="O73" s="1593"/>
      <c r="P73" s="1593"/>
      <c r="Q73" s="3020"/>
      <c r="R73" s="3020"/>
      <c r="S73" s="3020"/>
      <c r="T73" s="3020"/>
      <c r="U73" s="3020"/>
      <c r="V73" s="3020"/>
      <c r="W73" s="3020"/>
      <c r="X73" s="1593"/>
      <c r="Y73" s="1593"/>
      <c r="Z73" s="1593"/>
      <c r="AA73" s="1593"/>
      <c r="AB73" s="1593"/>
      <c r="AC73" s="1593"/>
      <c r="AD73" s="1593"/>
      <c r="AE73" s="1593"/>
      <c r="AF73" s="1593"/>
      <c r="AG73" s="1593"/>
    </row>
    <row r="74" spans="1:33" s="2235" customFormat="1" ht="25.5">
      <c r="A74" s="2248" t="s">
        <v>2605</v>
      </c>
      <c r="B74" s="2265" t="str">
        <f>估价对象房地状况!C21</f>
        <v>较好</v>
      </c>
      <c r="C74" s="2136"/>
      <c r="D74" s="2253">
        <f t="shared" si="21"/>
        <v>0</v>
      </c>
      <c r="E74" s="2261"/>
      <c r="F74" s="2255"/>
      <c r="G74" s="2256"/>
      <c r="H74" s="2257">
        <f t="shared" si="22"/>
        <v>0</v>
      </c>
      <c r="I74" s="2258">
        <v>0.08</v>
      </c>
      <c r="J74" s="2259">
        <f t="shared" si="23"/>
        <v>0</v>
      </c>
      <c r="K74" s="2259">
        <f t="shared" si="24"/>
        <v>0</v>
      </c>
      <c r="L74" s="2259">
        <v>0</v>
      </c>
      <c r="M74" s="2259">
        <f t="shared" si="25"/>
        <v>0</v>
      </c>
      <c r="N74" s="2259">
        <f t="shared" si="25"/>
        <v>0</v>
      </c>
      <c r="O74" s="1593"/>
      <c r="P74" s="1593"/>
      <c r="Q74" s="3020"/>
      <c r="R74" s="3020"/>
      <c r="S74" s="3020"/>
      <c r="T74" s="3020"/>
      <c r="U74" s="3020"/>
      <c r="V74" s="3020"/>
      <c r="W74" s="3020"/>
      <c r="X74" s="1593"/>
      <c r="Y74" s="1593"/>
      <c r="Z74" s="1593"/>
      <c r="AA74" s="1593"/>
      <c r="AB74" s="1593"/>
      <c r="AC74" s="1593"/>
      <c r="AD74" s="1593"/>
      <c r="AE74" s="1593"/>
      <c r="AF74" s="1593"/>
      <c r="AG74" s="1593"/>
    </row>
    <row r="75" spans="1:33" s="2235" customFormat="1" ht="25.5">
      <c r="A75" s="2248" t="s">
        <v>2606</v>
      </c>
      <c r="B75" s="2265" t="str">
        <f>估价对象房地状况!C22</f>
        <v>七通</v>
      </c>
      <c r="C75" s="2136"/>
      <c r="D75" s="2253">
        <f t="shared" si="21"/>
        <v>0</v>
      </c>
      <c r="E75" s="2261"/>
      <c r="F75" s="2255"/>
      <c r="G75" s="2256"/>
      <c r="H75" s="2257">
        <f t="shared" si="22"/>
        <v>0</v>
      </c>
      <c r="I75" s="2258">
        <v>0.12</v>
      </c>
      <c r="J75" s="2259">
        <f t="shared" si="23"/>
        <v>0</v>
      </c>
      <c r="K75" s="2259">
        <f t="shared" si="24"/>
        <v>0</v>
      </c>
      <c r="L75" s="2259">
        <v>0</v>
      </c>
      <c r="M75" s="2259">
        <f t="shared" si="25"/>
        <v>0</v>
      </c>
      <c r="N75" s="2259">
        <f t="shared" si="25"/>
        <v>0</v>
      </c>
      <c r="O75" s="1593"/>
      <c r="P75" s="1593"/>
      <c r="Q75" s="3020"/>
      <c r="R75" s="3020"/>
      <c r="S75" s="3020"/>
      <c r="T75" s="3020"/>
      <c r="U75" s="3020"/>
      <c r="V75" s="3020"/>
      <c r="W75" s="3020"/>
      <c r="X75" s="1593"/>
      <c r="Y75" s="1593"/>
      <c r="Z75" s="1593"/>
      <c r="AA75" s="1593"/>
      <c r="AB75" s="1593"/>
      <c r="AC75" s="1593"/>
      <c r="AD75" s="1593"/>
      <c r="AE75" s="1593"/>
      <c r="AF75" s="1593"/>
      <c r="AG75" s="1593"/>
    </row>
    <row r="76" spans="1:33" ht="24">
      <c r="A76" s="2248" t="s">
        <v>2603</v>
      </c>
      <c r="B76" s="2263" t="s">
        <v>2604</v>
      </c>
      <c r="C76" s="2136"/>
      <c r="D76" s="2253">
        <f t="shared" si="21"/>
        <v>0</v>
      </c>
      <c r="E76" s="2261"/>
      <c r="F76" s="2255"/>
      <c r="G76" s="2256"/>
      <c r="H76" s="2257">
        <f t="shared" si="22"/>
        <v>0</v>
      </c>
      <c r="I76" s="2258">
        <v>0.05</v>
      </c>
      <c r="J76" s="2259">
        <f t="shared" si="23"/>
        <v>0</v>
      </c>
      <c r="K76" s="2259">
        <f t="shared" si="24"/>
        <v>0</v>
      </c>
      <c r="L76" s="2259">
        <v>0</v>
      </c>
      <c r="M76" s="2259">
        <f t="shared" si="25"/>
        <v>0</v>
      </c>
      <c r="N76" s="2259">
        <f t="shared" si="25"/>
        <v>0</v>
      </c>
      <c r="Q76" s="3028"/>
      <c r="R76" s="3028"/>
      <c r="S76" s="3028"/>
      <c r="T76" s="3028"/>
      <c r="U76" s="3028"/>
      <c r="V76" s="3028"/>
      <c r="W76" s="3028"/>
      <c r="AA76" s="1594"/>
      <c r="AG76" s="2235"/>
    </row>
    <row r="77" spans="1:33" ht="38.25">
      <c r="A77" s="2248" t="s">
        <v>2607</v>
      </c>
      <c r="B77" s="2252" t="str">
        <f>估价对象房地状况!C20</f>
        <v>较好</v>
      </c>
      <c r="C77" s="2136"/>
      <c r="D77" s="2253">
        <f t="shared" si="21"/>
        <v>0</v>
      </c>
      <c r="E77" s="2261"/>
      <c r="F77" s="2255"/>
      <c r="G77" s="2256"/>
      <c r="H77" s="2257">
        <f t="shared" si="22"/>
        <v>0</v>
      </c>
      <c r="I77" s="2258">
        <v>0.15</v>
      </c>
      <c r="J77" s="2259">
        <f t="shared" si="23"/>
        <v>0</v>
      </c>
      <c r="K77" s="2259">
        <f t="shared" si="24"/>
        <v>0</v>
      </c>
      <c r="L77" s="2259">
        <v>0</v>
      </c>
      <c r="M77" s="2259">
        <f t="shared" si="25"/>
        <v>0</v>
      </c>
      <c r="N77" s="2259">
        <f t="shared" si="25"/>
        <v>0</v>
      </c>
      <c r="Q77" s="3028"/>
      <c r="R77" s="3028"/>
      <c r="S77" s="3028"/>
      <c r="T77" s="3028"/>
      <c r="U77" s="3028"/>
      <c r="V77" s="3028"/>
      <c r="W77" s="3028"/>
      <c r="AA77" s="1594"/>
      <c r="AG77" s="2235"/>
    </row>
    <row r="78" spans="1:33" ht="24.75" thickBot="1">
      <c r="A78" s="2266" t="s">
        <v>2616</v>
      </c>
      <c r="B78" s="2272"/>
      <c r="C78" s="2136"/>
      <c r="D78" s="2253">
        <f t="shared" si="21"/>
        <v>0</v>
      </c>
      <c r="E78" s="2268"/>
      <c r="F78" s="2255"/>
      <c r="G78" s="2256"/>
      <c r="H78" s="2257">
        <f t="shared" si="22"/>
        <v>0</v>
      </c>
      <c r="I78" s="2269">
        <v>0.04</v>
      </c>
      <c r="J78" s="2259">
        <f t="shared" si="23"/>
        <v>0</v>
      </c>
      <c r="K78" s="2259">
        <f t="shared" si="24"/>
        <v>0</v>
      </c>
      <c r="L78" s="2259">
        <v>0</v>
      </c>
      <c r="M78" s="2259">
        <f t="shared" si="25"/>
        <v>0</v>
      </c>
      <c r="N78" s="2259">
        <f t="shared" si="25"/>
        <v>0</v>
      </c>
      <c r="Q78" s="3028"/>
      <c r="R78" s="3028"/>
      <c r="S78" s="3028"/>
      <c r="T78" s="3028"/>
      <c r="U78" s="3028"/>
      <c r="V78" s="3028"/>
      <c r="W78" s="3028"/>
      <c r="AA78" s="1594"/>
      <c r="AG78" s="2235"/>
    </row>
    <row r="79" spans="1:33" ht="15">
      <c r="A79" s="2241" t="s">
        <v>2617</v>
      </c>
      <c r="B79" s="2270">
        <f>1+E81</f>
        <v>1</v>
      </c>
      <c r="C79" s="2244"/>
      <c r="D79" s="2244"/>
      <c r="E79" s="2245"/>
      <c r="F79" s="2246"/>
      <c r="G79" s="608"/>
      <c r="H79" s="608"/>
      <c r="I79" s="608"/>
      <c r="J79" s="608"/>
      <c r="K79" s="608"/>
      <c r="L79" s="608"/>
      <c r="M79" s="608"/>
      <c r="N79" s="608"/>
      <c r="Q79" s="3028"/>
      <c r="R79" s="3028"/>
      <c r="S79" s="3028"/>
      <c r="T79" s="3028"/>
      <c r="U79" s="3028"/>
      <c r="V79" s="3028"/>
      <c r="W79" s="3028"/>
      <c r="AA79" s="1594"/>
      <c r="AG79" s="2235"/>
    </row>
    <row r="80" spans="1:33" ht="24.75">
      <c r="A80" s="2248" t="s">
        <v>2583</v>
      </c>
      <c r="B80" s="2260"/>
      <c r="C80" s="2249" t="s">
        <v>2585</v>
      </c>
      <c r="D80" s="2249" t="s">
        <v>2586</v>
      </c>
      <c r="E80" s="2250" t="s">
        <v>2587</v>
      </c>
      <c r="F80" s="2200" t="s">
        <v>2588</v>
      </c>
      <c r="G80" s="2249" t="s">
        <v>2609</v>
      </c>
      <c r="H80" s="2251" t="s">
        <v>2610</v>
      </c>
      <c r="I80" s="2249" t="s">
        <v>2611</v>
      </c>
      <c r="J80" s="1876" t="s">
        <v>2251</v>
      </c>
      <c r="K80" s="1876" t="s">
        <v>2252</v>
      </c>
      <c r="L80" s="1876" t="s">
        <v>2253</v>
      </c>
      <c r="M80" s="1876" t="s">
        <v>2254</v>
      </c>
      <c r="N80" s="1876" t="s">
        <v>2255</v>
      </c>
      <c r="Q80" s="3028"/>
      <c r="R80" s="3028"/>
      <c r="S80" s="3028"/>
      <c r="T80" s="3028"/>
      <c r="U80" s="3028"/>
      <c r="V80" s="3028"/>
      <c r="W80" s="3028"/>
      <c r="AA80" s="1594"/>
      <c r="AG80" s="2235"/>
    </row>
    <row r="81" spans="1:33" ht="38.25">
      <c r="A81" s="2248" t="s">
        <v>2618</v>
      </c>
      <c r="B81" s="2260">
        <f>估价对象房地状况!G15</f>
        <v>0</v>
      </c>
      <c r="C81" s="2136"/>
      <c r="D81" s="2253">
        <f t="shared" ref="D81:D88" si="26">SUMIF($J$80:$N$80,C81,J81:N81)</f>
        <v>0</v>
      </c>
      <c r="E81" s="2254">
        <f>ROUND(SUM(D81:D88),4)</f>
        <v>0</v>
      </c>
      <c r="F81" s="2255" t="str">
        <f>IF(E2="工业",SUMIF(L1:L12,G2,N1:N12),"——")</f>
        <v>——</v>
      </c>
      <c r="G81" s="2256"/>
      <c r="H81" s="2257" t="str">
        <f t="shared" ref="H81:H88" si="27">IFERROR(ROUNDDOWN($F$81*I81/2,4),"——")</f>
        <v>——</v>
      </c>
      <c r="I81" s="2258">
        <v>0.26</v>
      </c>
      <c r="J81" s="2259">
        <f t="shared" ref="J81:J88" si="28">K81+$G81</f>
        <v>0</v>
      </c>
      <c r="K81" s="2259">
        <f t="shared" ref="K81:K88" si="29">$L81+$G81</f>
        <v>0</v>
      </c>
      <c r="L81" s="2259">
        <v>0</v>
      </c>
      <c r="M81" s="2259">
        <f t="shared" ref="M81:N88" si="30">L81-$G81</f>
        <v>0</v>
      </c>
      <c r="N81" s="2259">
        <f t="shared" si="30"/>
        <v>0</v>
      </c>
      <c r="Q81" s="3028"/>
      <c r="R81" s="3028"/>
      <c r="S81" s="3028"/>
      <c r="T81" s="3028"/>
      <c r="U81" s="3028"/>
      <c r="V81" s="3028"/>
      <c r="W81" s="3028"/>
      <c r="AA81" s="1594"/>
      <c r="AG81" s="2235"/>
    </row>
    <row r="82" spans="1:33" ht="51">
      <c r="A82" s="2248" t="s">
        <v>2598</v>
      </c>
      <c r="B82" s="2260">
        <f>估价对象房地状况!G16</f>
        <v>0</v>
      </c>
      <c r="C82" s="2136"/>
      <c r="D82" s="2253">
        <f t="shared" si="26"/>
        <v>0</v>
      </c>
      <c r="E82" s="2261"/>
      <c r="F82" s="2255"/>
      <c r="G82" s="2256"/>
      <c r="H82" s="2257" t="str">
        <f t="shared" si="27"/>
        <v>——</v>
      </c>
      <c r="I82" s="2258">
        <v>0.33</v>
      </c>
      <c r="J82" s="2259">
        <f t="shared" si="28"/>
        <v>0</v>
      </c>
      <c r="K82" s="2259">
        <f t="shared" si="29"/>
        <v>0</v>
      </c>
      <c r="L82" s="2259">
        <v>0</v>
      </c>
      <c r="M82" s="2259">
        <f t="shared" si="30"/>
        <v>0</v>
      </c>
      <c r="N82" s="2259">
        <f t="shared" si="30"/>
        <v>0</v>
      </c>
      <c r="Q82" s="3028"/>
      <c r="R82" s="3028"/>
      <c r="S82" s="3028"/>
      <c r="T82" s="3028"/>
      <c r="U82" s="3028"/>
      <c r="V82" s="3028"/>
      <c r="W82" s="3028"/>
      <c r="AA82" s="1594"/>
      <c r="AG82" s="2235"/>
    </row>
    <row r="83" spans="1:33" ht="24">
      <c r="A83" s="2248" t="s">
        <v>2599</v>
      </c>
      <c r="B83" s="2260">
        <f>估价对象房地状况!G17</f>
        <v>0</v>
      </c>
      <c r="C83" s="2136"/>
      <c r="D83" s="2253">
        <f t="shared" si="26"/>
        <v>0</v>
      </c>
      <c r="E83" s="2261"/>
      <c r="F83" s="2255"/>
      <c r="G83" s="2256"/>
      <c r="H83" s="2257" t="str">
        <f t="shared" si="27"/>
        <v>——</v>
      </c>
      <c r="I83" s="2258">
        <v>0.05</v>
      </c>
      <c r="J83" s="2259">
        <f t="shared" si="28"/>
        <v>0</v>
      </c>
      <c r="K83" s="2259">
        <f t="shared" si="29"/>
        <v>0</v>
      </c>
      <c r="L83" s="2259">
        <v>0</v>
      </c>
      <c r="M83" s="2259">
        <f t="shared" si="30"/>
        <v>0</v>
      </c>
      <c r="N83" s="2259">
        <f t="shared" si="30"/>
        <v>0</v>
      </c>
      <c r="Q83" s="3028"/>
      <c r="R83" s="3028"/>
      <c r="S83" s="3028"/>
      <c r="T83" s="3028"/>
      <c r="U83" s="3028"/>
      <c r="V83" s="3028"/>
      <c r="W83" s="3028"/>
      <c r="AA83" s="1594"/>
      <c r="AG83" s="2235"/>
    </row>
    <row r="84" spans="1:33" ht="14.25">
      <c r="A84" s="2248" t="s">
        <v>2615</v>
      </c>
      <c r="B84" s="2260">
        <f>估价对象房地状况!G22</f>
        <v>0</v>
      </c>
      <c r="C84" s="2136"/>
      <c r="D84" s="2253">
        <f t="shared" si="26"/>
        <v>0</v>
      </c>
      <c r="E84" s="2261"/>
      <c r="F84" s="2255"/>
      <c r="G84" s="2256"/>
      <c r="H84" s="2257" t="str">
        <f t="shared" si="27"/>
        <v>——</v>
      </c>
      <c r="I84" s="2258">
        <v>0.04</v>
      </c>
      <c r="J84" s="2259">
        <f t="shared" si="28"/>
        <v>0</v>
      </c>
      <c r="K84" s="2259">
        <f t="shared" si="29"/>
        <v>0</v>
      </c>
      <c r="L84" s="2259">
        <v>0</v>
      </c>
      <c r="M84" s="2259">
        <f t="shared" si="30"/>
        <v>0</v>
      </c>
      <c r="N84" s="2259">
        <f t="shared" si="30"/>
        <v>0</v>
      </c>
      <c r="Q84" s="3028"/>
      <c r="R84" s="3028"/>
      <c r="S84" s="3028"/>
      <c r="T84" s="3028"/>
      <c r="U84" s="3028"/>
      <c r="V84" s="3028"/>
      <c r="W84" s="3028"/>
      <c r="AA84" s="1594"/>
      <c r="AG84" s="2235"/>
    </row>
    <row r="85" spans="1:33" ht="25.5">
      <c r="A85" s="2248" t="s">
        <v>2605</v>
      </c>
      <c r="B85" s="2265">
        <f>估价对象房地状况!G19</f>
        <v>0</v>
      </c>
      <c r="C85" s="2136"/>
      <c r="D85" s="2253">
        <f t="shared" si="26"/>
        <v>0</v>
      </c>
      <c r="E85" s="2261"/>
      <c r="F85" s="2255"/>
      <c r="G85" s="2256"/>
      <c r="H85" s="2257" t="str">
        <f t="shared" si="27"/>
        <v>——</v>
      </c>
      <c r="I85" s="2258">
        <v>0.06</v>
      </c>
      <c r="J85" s="2259">
        <f t="shared" si="28"/>
        <v>0</v>
      </c>
      <c r="K85" s="2259">
        <f t="shared" si="29"/>
        <v>0</v>
      </c>
      <c r="L85" s="2259">
        <v>0</v>
      </c>
      <c r="M85" s="2259">
        <f t="shared" si="30"/>
        <v>0</v>
      </c>
      <c r="N85" s="2259">
        <f t="shared" si="30"/>
        <v>0</v>
      </c>
      <c r="Q85" s="3028"/>
      <c r="R85" s="3028"/>
      <c r="S85" s="3028"/>
      <c r="T85" s="3028"/>
      <c r="U85" s="3028"/>
      <c r="V85" s="3028"/>
      <c r="W85" s="3028"/>
      <c r="AA85" s="1594"/>
      <c r="AG85" s="2235"/>
    </row>
    <row r="86" spans="1:33" ht="25.5">
      <c r="A86" s="2248" t="s">
        <v>2606</v>
      </c>
      <c r="B86" s="2265">
        <f>估价对象房地状况!G20</f>
        <v>0</v>
      </c>
      <c r="C86" s="2136"/>
      <c r="D86" s="2253">
        <f t="shared" si="26"/>
        <v>0</v>
      </c>
      <c r="E86" s="2261"/>
      <c r="F86" s="2255"/>
      <c r="G86" s="2256"/>
      <c r="H86" s="2257" t="str">
        <f t="shared" si="27"/>
        <v>——</v>
      </c>
      <c r="I86" s="2258">
        <v>0.15</v>
      </c>
      <c r="J86" s="2259">
        <f t="shared" si="28"/>
        <v>0</v>
      </c>
      <c r="K86" s="2259">
        <f t="shared" si="29"/>
        <v>0</v>
      </c>
      <c r="L86" s="2259">
        <v>0</v>
      </c>
      <c r="M86" s="2259">
        <f t="shared" si="30"/>
        <v>0</v>
      </c>
      <c r="N86" s="2259">
        <f t="shared" si="30"/>
        <v>0</v>
      </c>
      <c r="Q86" s="3028"/>
      <c r="R86" s="3028"/>
      <c r="S86" s="3028"/>
      <c r="T86" s="3028"/>
      <c r="U86" s="3028"/>
      <c r="V86" s="3028"/>
      <c r="W86" s="3028"/>
      <c r="AA86" s="1594"/>
      <c r="AG86" s="2235"/>
    </row>
    <row r="87" spans="1:33" ht="24">
      <c r="A87" s="2248" t="s">
        <v>2603</v>
      </c>
      <c r="B87" s="2263" t="s">
        <v>2604</v>
      </c>
      <c r="C87" s="2136"/>
      <c r="D87" s="2253">
        <f t="shared" si="26"/>
        <v>0</v>
      </c>
      <c r="E87" s="2261"/>
      <c r="F87" s="2255"/>
      <c r="G87" s="2256"/>
      <c r="H87" s="2257" t="str">
        <f t="shared" si="27"/>
        <v>——</v>
      </c>
      <c r="I87" s="2258">
        <v>0.05</v>
      </c>
      <c r="J87" s="2259">
        <f t="shared" si="28"/>
        <v>0</v>
      </c>
      <c r="K87" s="2259">
        <f t="shared" si="29"/>
        <v>0</v>
      </c>
      <c r="L87" s="2259">
        <v>0</v>
      </c>
      <c r="M87" s="2259">
        <f t="shared" si="30"/>
        <v>0</v>
      </c>
      <c r="N87" s="2259">
        <f t="shared" si="30"/>
        <v>0</v>
      </c>
      <c r="Q87" s="3028"/>
      <c r="R87" s="3028"/>
      <c r="S87" s="3028"/>
      <c r="T87" s="3028"/>
      <c r="U87" s="3028"/>
      <c r="V87" s="3028"/>
      <c r="W87" s="3028"/>
      <c r="AA87" s="1594"/>
      <c r="AG87" s="2235"/>
    </row>
    <row r="88" spans="1:33" ht="39" thickBot="1">
      <c r="A88" s="2266" t="s">
        <v>2619</v>
      </c>
      <c r="B88" s="2273">
        <f>估价对象房地状况!G18</f>
        <v>0</v>
      </c>
      <c r="C88" s="2274"/>
      <c r="D88" s="2275">
        <f t="shared" si="26"/>
        <v>0</v>
      </c>
      <c r="E88" s="2268"/>
      <c r="F88" s="2255"/>
      <c r="G88" s="2256"/>
      <c r="H88" s="2257" t="str">
        <f t="shared" si="27"/>
        <v>——</v>
      </c>
      <c r="I88" s="2269">
        <v>0.06</v>
      </c>
      <c r="J88" s="2259">
        <f t="shared" si="28"/>
        <v>0</v>
      </c>
      <c r="K88" s="2259">
        <f t="shared" si="29"/>
        <v>0</v>
      </c>
      <c r="L88" s="2259">
        <v>0</v>
      </c>
      <c r="M88" s="2259">
        <f t="shared" si="30"/>
        <v>0</v>
      </c>
      <c r="N88" s="2259">
        <f t="shared" si="30"/>
        <v>0</v>
      </c>
      <c r="Q88" s="3028"/>
      <c r="R88" s="3028"/>
      <c r="S88" s="3028"/>
      <c r="T88" s="3028"/>
      <c r="U88" s="3028"/>
      <c r="V88" s="3028"/>
      <c r="W88" s="3028"/>
      <c r="AA88" s="1594"/>
      <c r="AG88" s="2235"/>
    </row>
    <row r="89" spans="1:33">
      <c r="Q89" s="3028"/>
      <c r="R89" s="3028"/>
      <c r="S89" s="3028"/>
      <c r="T89" s="3028"/>
      <c r="U89" s="3028"/>
      <c r="V89" s="3028"/>
      <c r="W89" s="3028"/>
    </row>
    <row r="90" spans="1:33">
      <c r="A90" s="3689" t="s">
        <v>2620</v>
      </c>
      <c r="B90" s="3689"/>
      <c r="C90" s="3689"/>
      <c r="D90" s="3689"/>
      <c r="E90" s="3689"/>
      <c r="F90" s="3689"/>
      <c r="G90" s="3689"/>
      <c r="H90" s="3689"/>
      <c r="I90" s="3689"/>
      <c r="J90" s="3689"/>
      <c r="K90" s="2276"/>
      <c r="L90" s="2276"/>
      <c r="M90" s="2276"/>
      <c r="N90" s="2276"/>
      <c r="Q90" s="3028"/>
      <c r="R90" s="3028"/>
      <c r="S90" s="3028"/>
      <c r="T90" s="3028"/>
      <c r="U90" s="3028"/>
      <c r="V90" s="3028"/>
      <c r="W90" s="3028"/>
    </row>
    <row r="91" spans="1:33">
      <c r="A91" s="3691" t="s">
        <v>2621</v>
      </c>
      <c r="B91" s="3691" t="s">
        <v>2622</v>
      </c>
      <c r="C91" s="2215" t="s">
        <v>2623</v>
      </c>
      <c r="D91" s="2216"/>
      <c r="E91" s="2216"/>
      <c r="F91" s="2216"/>
      <c r="G91" s="2216"/>
      <c r="H91" s="2216"/>
      <c r="I91" s="2216"/>
      <c r="J91" s="2278"/>
      <c r="K91" s="2038"/>
      <c r="L91" s="2038"/>
      <c r="M91" s="2038"/>
      <c r="N91" s="2038"/>
      <c r="Q91" s="3028"/>
      <c r="R91" s="3028"/>
      <c r="S91" s="3028"/>
      <c r="T91" s="3028"/>
      <c r="U91" s="3028"/>
      <c r="V91" s="3028"/>
      <c r="W91" s="3028"/>
    </row>
    <row r="92" spans="1:33">
      <c r="A92" s="3691"/>
      <c r="B92" s="3691"/>
      <c r="C92" s="2001" t="s">
        <v>2476</v>
      </c>
      <c r="D92" s="2001" t="s">
        <v>2477</v>
      </c>
      <c r="E92" s="2001" t="s">
        <v>2478</v>
      </c>
      <c r="F92" s="2001" t="s">
        <v>2479</v>
      </c>
      <c r="G92" s="2001" t="s">
        <v>2480</v>
      </c>
      <c r="H92" s="2001" t="s">
        <v>2481</v>
      </c>
      <c r="I92" s="2001" t="s">
        <v>2482</v>
      </c>
      <c r="J92" s="2001" t="s">
        <v>2483</v>
      </c>
      <c r="K92" s="2001" t="s">
        <v>2484</v>
      </c>
      <c r="L92" s="2001" t="s">
        <v>2485</v>
      </c>
      <c r="M92" s="2001" t="s">
        <v>2486</v>
      </c>
      <c r="N92" s="2001" t="s">
        <v>2487</v>
      </c>
      <c r="Q92" s="3028"/>
      <c r="R92" s="3028"/>
      <c r="S92" s="3028"/>
      <c r="T92" s="3028"/>
      <c r="U92" s="3028"/>
      <c r="V92" s="3028"/>
      <c r="W92" s="3028"/>
    </row>
    <row r="93" spans="1:33">
      <c r="A93" s="3692" t="s">
        <v>2624</v>
      </c>
      <c r="B93" s="2279">
        <v>1</v>
      </c>
      <c r="C93" s="2280">
        <v>1.9361999999999999</v>
      </c>
      <c r="D93" s="2280">
        <v>1.9361999999999999</v>
      </c>
      <c r="E93" s="2280">
        <v>1.8629</v>
      </c>
      <c r="F93" s="2280">
        <v>1.8629</v>
      </c>
      <c r="G93" s="2280">
        <v>1.8629</v>
      </c>
      <c r="H93" s="2280">
        <v>1.8629</v>
      </c>
      <c r="I93" s="2280">
        <v>1.8629</v>
      </c>
      <c r="J93" s="2280">
        <v>1.9419999999999999</v>
      </c>
      <c r="K93" s="2280">
        <v>1.9419999999999999</v>
      </c>
      <c r="L93" s="2280">
        <v>1.9419999999999999</v>
      </c>
      <c r="M93" s="2280">
        <v>1.9419999999999999</v>
      </c>
      <c r="N93" s="2280">
        <v>1.9419999999999999</v>
      </c>
      <c r="Q93" s="3028"/>
      <c r="R93" s="3028"/>
      <c r="S93" s="3028"/>
      <c r="T93" s="3028"/>
      <c r="U93" s="3028"/>
      <c r="V93" s="3028"/>
      <c r="W93" s="3028"/>
    </row>
    <row r="94" spans="1:33">
      <c r="A94" s="3693"/>
      <c r="B94" s="2279">
        <v>2</v>
      </c>
      <c r="C94" s="2280">
        <v>1.4198</v>
      </c>
      <c r="D94" s="2280">
        <v>1.4198</v>
      </c>
      <c r="E94" s="2280">
        <v>1.3371999999999999</v>
      </c>
      <c r="F94" s="2280">
        <v>1.3371999999999999</v>
      </c>
      <c r="G94" s="2280">
        <v>1.3371999999999999</v>
      </c>
      <c r="H94" s="2280">
        <v>1.3371999999999999</v>
      </c>
      <c r="I94" s="2280">
        <v>1.3371999999999999</v>
      </c>
      <c r="J94" s="2280">
        <v>1.2799</v>
      </c>
      <c r="K94" s="2280">
        <v>1.2799</v>
      </c>
      <c r="L94" s="2280">
        <v>1.2799</v>
      </c>
      <c r="M94" s="2280">
        <v>1.2799</v>
      </c>
      <c r="N94" s="2280">
        <v>1.2799</v>
      </c>
      <c r="Q94" s="3028"/>
      <c r="R94" s="3028"/>
      <c r="S94" s="3028"/>
      <c r="T94" s="3028"/>
      <c r="U94" s="3028"/>
      <c r="V94" s="3028"/>
      <c r="W94" s="3028"/>
    </row>
    <row r="95" spans="1:33">
      <c r="A95" s="3693"/>
      <c r="B95" s="2279">
        <v>3</v>
      </c>
      <c r="C95" s="2280">
        <v>1.1594</v>
      </c>
      <c r="D95" s="2280">
        <v>1.1594</v>
      </c>
      <c r="E95" s="2280">
        <v>1.0788</v>
      </c>
      <c r="F95" s="2280">
        <v>1.0788</v>
      </c>
      <c r="G95" s="2280">
        <v>1.0788</v>
      </c>
      <c r="H95" s="2280">
        <v>1.0788</v>
      </c>
      <c r="I95" s="2280">
        <v>1.0788</v>
      </c>
      <c r="J95" s="2280">
        <v>1.0072000000000001</v>
      </c>
      <c r="K95" s="2280">
        <v>1.0072000000000001</v>
      </c>
      <c r="L95" s="2280">
        <v>1.0072000000000001</v>
      </c>
      <c r="M95" s="2280">
        <v>1.0072000000000001</v>
      </c>
      <c r="N95" s="2280">
        <v>1.0072000000000001</v>
      </c>
      <c r="Q95" s="3028"/>
      <c r="R95" s="3028"/>
      <c r="S95" s="3028"/>
      <c r="T95" s="3028"/>
      <c r="U95" s="3028"/>
      <c r="V95" s="3028"/>
      <c r="W95" s="3028"/>
    </row>
    <row r="96" spans="1:33">
      <c r="A96" s="3693"/>
      <c r="B96" s="2279">
        <v>4</v>
      </c>
      <c r="C96" s="2280">
        <v>0.96220000000000006</v>
      </c>
      <c r="D96" s="2280">
        <v>0.96220000000000006</v>
      </c>
      <c r="E96" s="2280">
        <v>0.86560000000000004</v>
      </c>
      <c r="F96" s="2280">
        <v>0.86560000000000004</v>
      </c>
      <c r="G96" s="2280">
        <v>0.86560000000000004</v>
      </c>
      <c r="H96" s="2280">
        <v>0.86560000000000004</v>
      </c>
      <c r="I96" s="2280">
        <v>0.86560000000000004</v>
      </c>
      <c r="J96" s="2280">
        <v>0.75249999999999995</v>
      </c>
      <c r="K96" s="2280">
        <v>0.75249999999999995</v>
      </c>
      <c r="L96" s="2280">
        <v>0.75249999999999995</v>
      </c>
      <c r="M96" s="2280">
        <v>0.75249999999999995</v>
      </c>
      <c r="N96" s="2280">
        <v>0.75249999999999995</v>
      </c>
      <c r="Q96" s="3028"/>
      <c r="R96" s="3028"/>
      <c r="S96" s="3028"/>
      <c r="T96" s="3028"/>
      <c r="U96" s="3028"/>
      <c r="V96" s="3028"/>
      <c r="W96" s="3028"/>
    </row>
    <row r="97" spans="1:23">
      <c r="A97" s="3693"/>
      <c r="B97" s="2279">
        <v>5</v>
      </c>
      <c r="C97" s="2280">
        <v>0.8417</v>
      </c>
      <c r="D97" s="2280">
        <v>0.8417</v>
      </c>
      <c r="E97" s="2280">
        <v>0.73709999999999998</v>
      </c>
      <c r="F97" s="2280">
        <v>0.73709999999999998</v>
      </c>
      <c r="G97" s="2280">
        <v>0.73709999999999998</v>
      </c>
      <c r="H97" s="2280">
        <v>0.73709999999999998</v>
      </c>
      <c r="I97" s="2280">
        <v>0.73709999999999998</v>
      </c>
      <c r="J97" s="2280">
        <v>0.56589999999999996</v>
      </c>
      <c r="K97" s="2280">
        <v>0.56589999999999996</v>
      </c>
      <c r="L97" s="2280">
        <v>0.56589999999999996</v>
      </c>
      <c r="M97" s="2280">
        <v>0.56589999999999996</v>
      </c>
      <c r="N97" s="2280">
        <v>0.56589999999999996</v>
      </c>
      <c r="Q97" s="3028"/>
      <c r="R97" s="3028"/>
      <c r="S97" s="3028"/>
      <c r="T97" s="3028"/>
      <c r="U97" s="3028"/>
      <c r="V97" s="3028"/>
      <c r="W97" s="3028"/>
    </row>
    <row r="98" spans="1:23">
      <c r="A98" s="3693"/>
      <c r="B98" s="2279">
        <v>6</v>
      </c>
      <c r="C98" s="2280">
        <v>0.76080000000000003</v>
      </c>
      <c r="D98" s="2280">
        <v>0.76080000000000003</v>
      </c>
      <c r="E98" s="2280">
        <v>0.6482</v>
      </c>
      <c r="F98" s="2280">
        <v>0.6482</v>
      </c>
      <c r="G98" s="2280">
        <v>0.6482</v>
      </c>
      <c r="H98" s="2280">
        <v>0.6482</v>
      </c>
      <c r="I98" s="2280">
        <v>0.6482</v>
      </c>
      <c r="J98" s="2280">
        <v>0.45250000000000001</v>
      </c>
      <c r="K98" s="2280">
        <v>0.45250000000000001</v>
      </c>
      <c r="L98" s="2280">
        <v>0.45250000000000001</v>
      </c>
      <c r="M98" s="2280">
        <v>0.45250000000000001</v>
      </c>
      <c r="N98" s="2280">
        <v>0.45250000000000001</v>
      </c>
      <c r="Q98" s="3028"/>
      <c r="R98" s="3028"/>
      <c r="S98" s="3028"/>
      <c r="T98" s="3028"/>
      <c r="U98" s="3028"/>
      <c r="V98" s="3028"/>
      <c r="W98" s="3028"/>
    </row>
    <row r="99" spans="1:23">
      <c r="A99" s="3693"/>
      <c r="B99" s="2279" t="s">
        <v>2492</v>
      </c>
      <c r="C99" s="2281">
        <f>$I$3</f>
        <v>0</v>
      </c>
      <c r="D99" s="2281">
        <f t="shared" ref="D99:M99" si="31">$I$3</f>
        <v>0</v>
      </c>
      <c r="E99" s="2281">
        <f t="shared" si="31"/>
        <v>0</v>
      </c>
      <c r="F99" s="2281">
        <f t="shared" si="31"/>
        <v>0</v>
      </c>
      <c r="G99" s="2281">
        <f t="shared" si="31"/>
        <v>0</v>
      </c>
      <c r="H99" s="2281">
        <f t="shared" si="31"/>
        <v>0</v>
      </c>
      <c r="I99" s="2281">
        <f t="shared" si="31"/>
        <v>0</v>
      </c>
      <c r="J99" s="2281">
        <f t="shared" si="31"/>
        <v>0</v>
      </c>
      <c r="K99" s="2281">
        <f t="shared" si="31"/>
        <v>0</v>
      </c>
      <c r="L99" s="2281">
        <f t="shared" si="31"/>
        <v>0</v>
      </c>
      <c r="M99" s="2281">
        <f t="shared" si="31"/>
        <v>0</v>
      </c>
      <c r="N99" s="2281">
        <f>$I$3</f>
        <v>0</v>
      </c>
      <c r="Q99" s="3028"/>
      <c r="R99" s="3028"/>
      <c r="S99" s="3028"/>
      <c r="T99" s="3028"/>
      <c r="U99" s="3028"/>
      <c r="V99" s="3028"/>
      <c r="W99" s="3028"/>
    </row>
    <row r="100" spans="1:23">
      <c r="A100" s="3694"/>
      <c r="B100" s="2279">
        <v>7</v>
      </c>
      <c r="C100" s="2282">
        <f>(-0.163*(C99^2)-0.59*C99+7617)*(10^(-4))</f>
        <v>0.76170000000000004</v>
      </c>
      <c r="D100" s="2282">
        <f>(-0.163*(D99^2)-0.59*D99+7617)*(10^(-4))</f>
        <v>0.76170000000000004</v>
      </c>
      <c r="E100" s="2282">
        <f>(-0.161*(E99^2)-7.509*E99+6533)*(10^(-4))</f>
        <v>0.65329999999999999</v>
      </c>
      <c r="F100" s="2282">
        <f>(-0.161*(F99^2)-7.509*F99+6533)*(10^(-4))</f>
        <v>0.65329999999999999</v>
      </c>
      <c r="G100" s="2282">
        <f>(-0.161*(G99^2)-7.509*G99+6533)*(10^(-4))</f>
        <v>0.65329999999999999</v>
      </c>
      <c r="H100" s="2282">
        <f>(-0.161*(H99^2)-7.509*H99+6533)*(10^(-4))</f>
        <v>0.65329999999999999</v>
      </c>
      <c r="I100" s="2282">
        <f>(-0.161*(I99^2)-7.509*I99+6533)*(10^(-4))</f>
        <v>0.65329999999999999</v>
      </c>
      <c r="J100" s="2282">
        <f>(-0.214*(J99^2)-21.991*J99+4665)*(10^(-4))</f>
        <v>0.46650000000000003</v>
      </c>
      <c r="K100" s="2282">
        <f>(-0.214*(K99^2)-21.991*K99+4665)*(10^(-4))</f>
        <v>0.46650000000000003</v>
      </c>
      <c r="L100" s="2282">
        <f>(-0.214*(L99^2)-21.991*L99+4665)*(10^(-4))</f>
        <v>0.46650000000000003</v>
      </c>
      <c r="M100" s="2282">
        <f>(-0.214*(M99^2)-21.991*M99+4665)*(10^(-4))</f>
        <v>0.46650000000000003</v>
      </c>
      <c r="N100" s="2282">
        <f>(-0.214*(N99^2)-21.991*N99+4665)*(10^(-4))</f>
        <v>0.46650000000000003</v>
      </c>
      <c r="Q100" s="3028"/>
      <c r="R100" s="3028"/>
      <c r="S100" s="3028"/>
      <c r="T100" s="3028"/>
      <c r="U100" s="3028"/>
      <c r="V100" s="3028"/>
      <c r="W100" s="3028"/>
    </row>
    <row r="101" spans="1:23">
      <c r="A101" s="3692" t="s">
        <v>2625</v>
      </c>
      <c r="B101" s="2283" t="s">
        <v>2626</v>
      </c>
      <c r="C101" s="2284">
        <f>$G$3</f>
        <v>3.37</v>
      </c>
      <c r="D101" s="2284">
        <f t="shared" ref="D101:N101" si="32">$G$3</f>
        <v>3.37</v>
      </c>
      <c r="E101" s="2284">
        <f t="shared" si="32"/>
        <v>3.37</v>
      </c>
      <c r="F101" s="2284">
        <f t="shared" si="32"/>
        <v>3.37</v>
      </c>
      <c r="G101" s="2284">
        <f t="shared" si="32"/>
        <v>3.37</v>
      </c>
      <c r="H101" s="2284">
        <f t="shared" si="32"/>
        <v>3.37</v>
      </c>
      <c r="I101" s="2284">
        <f t="shared" si="32"/>
        <v>3.37</v>
      </c>
      <c r="J101" s="2284">
        <f t="shared" si="32"/>
        <v>3.37</v>
      </c>
      <c r="K101" s="2284">
        <f t="shared" si="32"/>
        <v>3.37</v>
      </c>
      <c r="L101" s="2284">
        <f t="shared" si="32"/>
        <v>3.37</v>
      </c>
      <c r="M101" s="2284">
        <f t="shared" si="32"/>
        <v>3.37</v>
      </c>
      <c r="N101" s="2284">
        <f t="shared" si="32"/>
        <v>3.37</v>
      </c>
      <c r="Q101" s="3028"/>
      <c r="R101" s="3028"/>
      <c r="S101" s="3028"/>
      <c r="T101" s="3028"/>
      <c r="U101" s="3028"/>
      <c r="V101" s="3028"/>
      <c r="W101" s="3028"/>
    </row>
    <row r="102" spans="1:23">
      <c r="A102" s="3693"/>
      <c r="B102" s="2279">
        <v>1</v>
      </c>
      <c r="C102" s="2280">
        <f>1.9362/C101</f>
        <v>0.574540059347181</v>
      </c>
      <c r="D102" s="2280">
        <f>1.9362/D101</f>
        <v>0.574540059347181</v>
      </c>
      <c r="E102" s="2280">
        <f>1.8629/E101</f>
        <v>0.55278931750741833</v>
      </c>
      <c r="F102" s="2280">
        <f>1.8629/F101</f>
        <v>0.55278931750741833</v>
      </c>
      <c r="G102" s="2280">
        <f>1.8629/G101</f>
        <v>0.55278931750741833</v>
      </c>
      <c r="H102" s="2280">
        <f>1.8629/H101</f>
        <v>0.55278931750741833</v>
      </c>
      <c r="I102" s="2280">
        <f>1.8629/I101</f>
        <v>0.55278931750741833</v>
      </c>
      <c r="J102" s="2280">
        <f>1.942/J101</f>
        <v>0.5762611275964391</v>
      </c>
      <c r="K102" s="2280">
        <f>1.942/K101</f>
        <v>0.5762611275964391</v>
      </c>
      <c r="L102" s="2280">
        <f>1.942/L101</f>
        <v>0.5762611275964391</v>
      </c>
      <c r="M102" s="2280">
        <f>1.942/M101</f>
        <v>0.5762611275964391</v>
      </c>
      <c r="N102" s="2280">
        <f>1.942/N101</f>
        <v>0.5762611275964391</v>
      </c>
      <c r="Q102" s="3028"/>
      <c r="R102" s="3028"/>
      <c r="S102" s="3028"/>
      <c r="T102" s="3028"/>
      <c r="U102" s="3028"/>
      <c r="V102" s="3028"/>
      <c r="W102" s="3028"/>
    </row>
    <row r="103" spans="1:23">
      <c r="A103" s="3693"/>
      <c r="B103" s="2279">
        <v>2</v>
      </c>
      <c r="C103" s="2280">
        <f>1.4198/C101</f>
        <v>0.42130563798219584</v>
      </c>
      <c r="D103" s="2280">
        <f>1.4198/D101</f>
        <v>0.42130563798219584</v>
      </c>
      <c r="E103" s="2280">
        <f>1.3372/E101</f>
        <v>0.39679525222551926</v>
      </c>
      <c r="F103" s="2280">
        <f>1.3372/F101</f>
        <v>0.39679525222551926</v>
      </c>
      <c r="G103" s="2280">
        <f>1.3372/G101</f>
        <v>0.39679525222551926</v>
      </c>
      <c r="H103" s="2280">
        <f>1.3372/H101</f>
        <v>0.39679525222551926</v>
      </c>
      <c r="I103" s="2280">
        <f>1.3372/I101</f>
        <v>0.39679525222551926</v>
      </c>
      <c r="J103" s="2280">
        <f>1.2799/J101</f>
        <v>0.37979228486646882</v>
      </c>
      <c r="K103" s="2280">
        <f>1.2799/K101</f>
        <v>0.37979228486646882</v>
      </c>
      <c r="L103" s="2280">
        <f>1.2799/L101</f>
        <v>0.37979228486646882</v>
      </c>
      <c r="M103" s="2280">
        <f>1.2799/M101</f>
        <v>0.37979228486646882</v>
      </c>
      <c r="N103" s="2280">
        <f>1.2799/N101</f>
        <v>0.37979228486646882</v>
      </c>
      <c r="Q103" s="3028"/>
      <c r="R103" s="3028"/>
      <c r="S103" s="3028"/>
      <c r="T103" s="3028"/>
      <c r="U103" s="3028"/>
      <c r="V103" s="3028"/>
      <c r="W103" s="3028"/>
    </row>
    <row r="104" spans="1:23">
      <c r="A104" s="3693"/>
      <c r="B104" s="2279">
        <v>3</v>
      </c>
      <c r="C104" s="2280">
        <f>1.1594/C101</f>
        <v>0.3440356083086053</v>
      </c>
      <c r="D104" s="2280">
        <f>1.1594/D101</f>
        <v>0.3440356083086053</v>
      </c>
      <c r="E104" s="2280">
        <f>1.0788/E101</f>
        <v>0.32011869436201779</v>
      </c>
      <c r="F104" s="2280">
        <f>1.0788/F101</f>
        <v>0.32011869436201779</v>
      </c>
      <c r="G104" s="2280">
        <f>1.0788/G101</f>
        <v>0.32011869436201779</v>
      </c>
      <c r="H104" s="2280">
        <f>1.0788/H101</f>
        <v>0.32011869436201779</v>
      </c>
      <c r="I104" s="2280">
        <f>1.0788/I101</f>
        <v>0.32011869436201779</v>
      </c>
      <c r="J104" s="2280">
        <f>1.0072/J101</f>
        <v>0.29887240356083089</v>
      </c>
      <c r="K104" s="2280">
        <f>1.0072/K101</f>
        <v>0.29887240356083089</v>
      </c>
      <c r="L104" s="2280">
        <f>1.0072/L101</f>
        <v>0.29887240356083089</v>
      </c>
      <c r="M104" s="2280">
        <f>1.0072/M101</f>
        <v>0.29887240356083089</v>
      </c>
      <c r="N104" s="2280">
        <f>1.0072/N101</f>
        <v>0.29887240356083089</v>
      </c>
      <c r="Q104" s="3028"/>
      <c r="R104" s="3028"/>
      <c r="S104" s="3028"/>
      <c r="T104" s="3028"/>
      <c r="U104" s="3028"/>
      <c r="V104" s="3028"/>
      <c r="W104" s="3028"/>
    </row>
    <row r="105" spans="1:23">
      <c r="A105" s="3693"/>
      <c r="B105" s="2279">
        <v>4</v>
      </c>
      <c r="C105" s="2280">
        <f>0.9622/C101</f>
        <v>0.28551928783382791</v>
      </c>
      <c r="D105" s="2280">
        <f>0.9622/D101</f>
        <v>0.28551928783382791</v>
      </c>
      <c r="E105" s="2280">
        <f>0.8656/E101</f>
        <v>0.25685459940652822</v>
      </c>
      <c r="F105" s="2280">
        <f>0.8656/F101</f>
        <v>0.25685459940652822</v>
      </c>
      <c r="G105" s="2280">
        <f>0.8656/G101</f>
        <v>0.25685459940652822</v>
      </c>
      <c r="H105" s="2280">
        <f>0.8656/H101</f>
        <v>0.25685459940652822</v>
      </c>
      <c r="I105" s="2280">
        <f>0.8656/I101</f>
        <v>0.25685459940652822</v>
      </c>
      <c r="J105" s="2280">
        <f>0.7525/J101</f>
        <v>0.22329376854599403</v>
      </c>
      <c r="K105" s="2280">
        <f>0.7525/K101</f>
        <v>0.22329376854599403</v>
      </c>
      <c r="L105" s="2280">
        <f>0.7525/L101</f>
        <v>0.22329376854599403</v>
      </c>
      <c r="M105" s="2280">
        <f>0.7525/M101</f>
        <v>0.22329376854599403</v>
      </c>
      <c r="N105" s="2280">
        <f>0.7525/N101</f>
        <v>0.22329376854599403</v>
      </c>
      <c r="Q105" s="3028"/>
      <c r="R105" s="3028"/>
      <c r="S105" s="3028"/>
      <c r="T105" s="3028"/>
      <c r="U105" s="3028"/>
      <c r="V105" s="3028"/>
      <c r="W105" s="3028"/>
    </row>
    <row r="106" spans="1:23">
      <c r="A106" s="3693"/>
      <c r="B106" s="2279">
        <v>5</v>
      </c>
      <c r="C106" s="2280">
        <f>0.8417/C101</f>
        <v>0.24976261127596439</v>
      </c>
      <c r="D106" s="2280">
        <f>0.8417/D101</f>
        <v>0.24976261127596439</v>
      </c>
      <c r="E106" s="2280">
        <f>0.7371/E101</f>
        <v>0.21872403560830858</v>
      </c>
      <c r="F106" s="2280">
        <f>0.7371/F101</f>
        <v>0.21872403560830858</v>
      </c>
      <c r="G106" s="2280">
        <f>0.7371/G101</f>
        <v>0.21872403560830858</v>
      </c>
      <c r="H106" s="2280">
        <f>0.7371/H101</f>
        <v>0.21872403560830858</v>
      </c>
      <c r="I106" s="2280">
        <f>0.7371/I101</f>
        <v>0.21872403560830858</v>
      </c>
      <c r="J106" s="2280">
        <f>0.5659/J101</f>
        <v>0.1679228486646884</v>
      </c>
      <c r="K106" s="2280">
        <f>0.5659/K101</f>
        <v>0.1679228486646884</v>
      </c>
      <c r="L106" s="2280">
        <f>0.5659/L101</f>
        <v>0.1679228486646884</v>
      </c>
      <c r="M106" s="2280">
        <f>0.5659/M101</f>
        <v>0.1679228486646884</v>
      </c>
      <c r="N106" s="2280">
        <f>0.5659/N101</f>
        <v>0.1679228486646884</v>
      </c>
      <c r="Q106" s="3028"/>
      <c r="R106" s="3028"/>
      <c r="S106" s="3028"/>
      <c r="T106" s="3028"/>
      <c r="U106" s="3028"/>
      <c r="V106" s="3028"/>
      <c r="W106" s="3028"/>
    </row>
    <row r="107" spans="1:23">
      <c r="A107" s="3693"/>
      <c r="B107" s="2279">
        <v>6</v>
      </c>
      <c r="C107" s="2280">
        <f>0.7608/C101</f>
        <v>0.22575667655786349</v>
      </c>
      <c r="D107" s="2280">
        <f>0.7608/D101</f>
        <v>0.22575667655786349</v>
      </c>
      <c r="E107" s="2280">
        <f>0.6482/E101</f>
        <v>0.19234421364985163</v>
      </c>
      <c r="F107" s="2280">
        <f>0.6482/F101</f>
        <v>0.19234421364985163</v>
      </c>
      <c r="G107" s="2280">
        <f>0.6482/G101</f>
        <v>0.19234421364985163</v>
      </c>
      <c r="H107" s="2280">
        <f>0.6482/H101</f>
        <v>0.19234421364985163</v>
      </c>
      <c r="I107" s="2280">
        <f>0.6482/I101</f>
        <v>0.19234421364985163</v>
      </c>
      <c r="J107" s="2280">
        <f>0.4525/J101</f>
        <v>0.13427299703264095</v>
      </c>
      <c r="K107" s="2280">
        <f>0.4525/K101</f>
        <v>0.13427299703264095</v>
      </c>
      <c r="L107" s="2280">
        <f>0.4525/L101</f>
        <v>0.13427299703264095</v>
      </c>
      <c r="M107" s="2280">
        <f>0.4525/M101</f>
        <v>0.13427299703264095</v>
      </c>
      <c r="N107" s="2280">
        <f>0.4525/N101</f>
        <v>0.13427299703264095</v>
      </c>
      <c r="Q107" s="3028"/>
      <c r="R107" s="3028"/>
      <c r="S107" s="3028"/>
      <c r="T107" s="3028"/>
      <c r="U107" s="3028"/>
      <c r="V107" s="3028"/>
      <c r="W107" s="3028"/>
    </row>
    <row r="108" spans="1:23">
      <c r="A108" s="3693"/>
      <c r="B108" s="3695" t="s">
        <v>2627</v>
      </c>
      <c r="C108" s="2281">
        <f>C99</f>
        <v>0</v>
      </c>
      <c r="D108" s="2281">
        <f t="shared" ref="D108:N108" si="33">D99</f>
        <v>0</v>
      </c>
      <c r="E108" s="2281">
        <f t="shared" si="33"/>
        <v>0</v>
      </c>
      <c r="F108" s="2281">
        <f t="shared" si="33"/>
        <v>0</v>
      </c>
      <c r="G108" s="2281">
        <f t="shared" si="33"/>
        <v>0</v>
      </c>
      <c r="H108" s="2281">
        <f t="shared" si="33"/>
        <v>0</v>
      </c>
      <c r="I108" s="2281">
        <f t="shared" si="33"/>
        <v>0</v>
      </c>
      <c r="J108" s="2281">
        <f t="shared" si="33"/>
        <v>0</v>
      </c>
      <c r="K108" s="2281">
        <f t="shared" si="33"/>
        <v>0</v>
      </c>
      <c r="L108" s="2281">
        <f t="shared" si="33"/>
        <v>0</v>
      </c>
      <c r="M108" s="2281">
        <f t="shared" si="33"/>
        <v>0</v>
      </c>
      <c r="N108" s="2281">
        <f t="shared" si="33"/>
        <v>0</v>
      </c>
      <c r="Q108" s="3028"/>
      <c r="R108" s="3028"/>
      <c r="S108" s="3028"/>
      <c r="T108" s="3028"/>
      <c r="U108" s="3028"/>
      <c r="V108" s="3028"/>
      <c r="W108" s="3028"/>
    </row>
    <row r="109" spans="1:23">
      <c r="A109" s="3694"/>
      <c r="B109" s="3696"/>
      <c r="C109" s="2282">
        <f>(-0.163*(C108^2)-0.59*C108+7617)*(10^(-4))/C101</f>
        <v>0.22602373887240357</v>
      </c>
      <c r="D109" s="2282">
        <f>(-0.163*(D108^2)-0.59*D108+7617)*(10^(-4))/D101</f>
        <v>0.22602373887240357</v>
      </c>
      <c r="E109" s="2282">
        <f>(-0.161*(E108^2)-7.509*E108+6533)*(10^(-4))/E101</f>
        <v>0.19385756676557864</v>
      </c>
      <c r="F109" s="2282">
        <f>(-0.161*(F108^2)-7.509*F108+6533)*(10^(-4))/F101</f>
        <v>0.19385756676557864</v>
      </c>
      <c r="G109" s="2282">
        <f>(-0.161*(G108^2)-7.509*G108+6533)*(10^(-4))/G101</f>
        <v>0.19385756676557864</v>
      </c>
      <c r="H109" s="2282">
        <f>(-0.161*(H108^2)-7.509*H108+6533)*(10^(-4))/H101</f>
        <v>0.19385756676557864</v>
      </c>
      <c r="I109" s="2282">
        <f>(-0.161*(I108^2)-7.509*I108+6533)*(10^(-4))/I101</f>
        <v>0.19385756676557864</v>
      </c>
      <c r="J109" s="2282">
        <f>(-0.214*(J108^2)-21.991*J108+4665)*(10^(-4))/J101</f>
        <v>0.13842729970326409</v>
      </c>
      <c r="K109" s="2282">
        <f>(-0.214*(K108^2)-21.991*K108+4665)*(10^(-4))/K101</f>
        <v>0.13842729970326409</v>
      </c>
      <c r="L109" s="2282">
        <f>(-0.214*(L108^2)-21.991*L108+4665)*(10^(-4))/L101</f>
        <v>0.13842729970326409</v>
      </c>
      <c r="M109" s="2282">
        <f>(-0.214*(M108^2)-21.991*M108+4665)*(10^(-4))/M101</f>
        <v>0.13842729970326409</v>
      </c>
      <c r="N109" s="2282">
        <f>(-0.214*(N108^2)-21.991*N108+4665)*(10^(-4))/N101</f>
        <v>0.13842729970326409</v>
      </c>
      <c r="Q109" s="3028"/>
      <c r="R109" s="3028"/>
      <c r="S109" s="3028"/>
      <c r="T109" s="3028"/>
      <c r="U109" s="3028"/>
      <c r="V109" s="3028"/>
      <c r="W109" s="3028"/>
    </row>
    <row r="110" spans="1:23">
      <c r="A110" s="3690" t="s">
        <v>2628</v>
      </c>
      <c r="B110" s="3690"/>
      <c r="C110" s="3690"/>
      <c r="D110" s="3690"/>
      <c r="E110" s="3690"/>
      <c r="F110" s="3690"/>
      <c r="G110" s="3690"/>
      <c r="H110" s="3690"/>
      <c r="I110" s="3690"/>
      <c r="J110" s="3690"/>
      <c r="K110" s="2050"/>
      <c r="L110" s="2050"/>
      <c r="M110" s="2050"/>
      <c r="N110" s="2050"/>
      <c r="Q110" s="3028"/>
      <c r="R110" s="3028"/>
      <c r="S110" s="3028"/>
      <c r="T110" s="3028"/>
      <c r="U110" s="3028"/>
      <c r="V110" s="3028"/>
      <c r="W110" s="3028"/>
    </row>
    <row r="112" spans="1:23" ht="13.5" thickBot="1"/>
    <row r="113" spans="1:13" ht="25.5" thickBot="1">
      <c r="A113" s="2285" t="s">
        <v>2629</v>
      </c>
      <c r="B113" s="2286">
        <f>G3</f>
        <v>3.37</v>
      </c>
      <c r="C113" s="2287" t="s">
        <v>2630</v>
      </c>
      <c r="D113" s="2288">
        <f>SUMPRODUCT((A115:A118=F113)*(B114:M114=H113)*B115:M118)</f>
        <v>0</v>
      </c>
      <c r="E113" s="1572" t="s">
        <v>2516</v>
      </c>
      <c r="F113" s="2289" t="str">
        <f>E2</f>
        <v>住宅</v>
      </c>
      <c r="G113" s="1572" t="s">
        <v>2450</v>
      </c>
      <c r="H113" s="2289">
        <f>G2</f>
        <v>0</v>
      </c>
      <c r="I113" s="1572"/>
      <c r="J113" s="2290"/>
      <c r="K113" s="2290"/>
      <c r="L113" s="2290"/>
      <c r="M113" s="2290"/>
    </row>
    <row r="114" spans="1:13">
      <c r="A114" s="2291"/>
      <c r="B114" s="2292" t="s">
        <v>2631</v>
      </c>
      <c r="C114" s="2292" t="s">
        <v>2632</v>
      </c>
      <c r="D114" s="2292" t="s">
        <v>2633</v>
      </c>
      <c r="E114" s="2293" t="s">
        <v>2634</v>
      </c>
      <c r="F114" s="2293" t="s">
        <v>2635</v>
      </c>
      <c r="G114" s="2293" t="s">
        <v>2636</v>
      </c>
      <c r="H114" s="2294" t="s">
        <v>2637</v>
      </c>
      <c r="I114" s="2294" t="s">
        <v>2638</v>
      </c>
      <c r="J114" s="2295" t="s">
        <v>2639</v>
      </c>
      <c r="K114" s="2295" t="s">
        <v>2640</v>
      </c>
      <c r="L114" s="2295" t="s">
        <v>2641</v>
      </c>
      <c r="M114" s="2296" t="s">
        <v>2642</v>
      </c>
    </row>
    <row r="115" spans="1:13">
      <c r="A115" s="2297" t="s">
        <v>2517</v>
      </c>
      <c r="B115" s="2298">
        <f>ROUND(0.9335-0.0094*B113,4)</f>
        <v>0.90180000000000005</v>
      </c>
      <c r="C115" s="2298">
        <f>B115</f>
        <v>0.90180000000000005</v>
      </c>
      <c r="D115" s="2298">
        <f>ROUND(0.8331-0.0109*B113,4)</f>
        <v>0.7964</v>
      </c>
      <c r="E115" s="2298">
        <f>D115</f>
        <v>0.7964</v>
      </c>
      <c r="F115" s="2298">
        <f>E115</f>
        <v>0.7964</v>
      </c>
      <c r="G115" s="2298">
        <f>F115</f>
        <v>0.7964</v>
      </c>
      <c r="H115" s="2298">
        <f>G115</f>
        <v>0.7964</v>
      </c>
      <c r="I115" s="2298">
        <f>ROUND(0.689-0.0155*B113,4)</f>
        <v>0.63680000000000003</v>
      </c>
      <c r="J115" s="2298">
        <f t="shared" ref="J115:M118" si="34">I115</f>
        <v>0.63680000000000003</v>
      </c>
      <c r="K115" s="2298">
        <f t="shared" si="34"/>
        <v>0.63680000000000003</v>
      </c>
      <c r="L115" s="2298">
        <f t="shared" si="34"/>
        <v>0.63680000000000003</v>
      </c>
      <c r="M115" s="2299">
        <f t="shared" si="34"/>
        <v>0.63680000000000003</v>
      </c>
    </row>
    <row r="116" spans="1:13">
      <c r="A116" s="2297" t="s">
        <v>2518</v>
      </c>
      <c r="B116" s="2298">
        <f>ROUND(0.949-0.012*B113,4)</f>
        <v>0.90859999999999996</v>
      </c>
      <c r="C116" s="2298">
        <f>B116</f>
        <v>0.90859999999999996</v>
      </c>
      <c r="D116" s="2298">
        <f>ROUND(0.8567-0.013*B113,4)</f>
        <v>0.81289999999999996</v>
      </c>
      <c r="E116" s="2298">
        <f t="shared" ref="E116:H117" si="35">D116</f>
        <v>0.81289999999999996</v>
      </c>
      <c r="F116" s="2298">
        <f t="shared" si="35"/>
        <v>0.81289999999999996</v>
      </c>
      <c r="G116" s="2298">
        <f t="shared" si="35"/>
        <v>0.81289999999999996</v>
      </c>
      <c r="H116" s="2298">
        <f t="shared" si="35"/>
        <v>0.81289999999999996</v>
      </c>
      <c r="I116" s="2298">
        <f>ROUND(0.7694-0.014*B113,4)</f>
        <v>0.72219999999999995</v>
      </c>
      <c r="J116" s="2298">
        <f t="shared" si="34"/>
        <v>0.72219999999999995</v>
      </c>
      <c r="K116" s="2298">
        <f t="shared" si="34"/>
        <v>0.72219999999999995</v>
      </c>
      <c r="L116" s="2298">
        <f t="shared" si="34"/>
        <v>0.72219999999999995</v>
      </c>
      <c r="M116" s="2299">
        <f t="shared" si="34"/>
        <v>0.72219999999999995</v>
      </c>
    </row>
    <row r="117" spans="1:13">
      <c r="A117" s="2297" t="s">
        <v>2519</v>
      </c>
      <c r="B117" s="2298">
        <f>ROUND(0.8808-0.006*B113,4)</f>
        <v>0.86060000000000003</v>
      </c>
      <c r="C117" s="2298">
        <f>B117</f>
        <v>0.86060000000000003</v>
      </c>
      <c r="D117" s="2298">
        <f>ROUND(0.8748-0.008*B113,4)</f>
        <v>0.8478</v>
      </c>
      <c r="E117" s="2298">
        <f t="shared" si="35"/>
        <v>0.8478</v>
      </c>
      <c r="F117" s="2298">
        <f t="shared" si="35"/>
        <v>0.8478</v>
      </c>
      <c r="G117" s="2298">
        <f t="shared" si="35"/>
        <v>0.8478</v>
      </c>
      <c r="H117" s="2298">
        <f t="shared" si="35"/>
        <v>0.8478</v>
      </c>
      <c r="I117" s="2298">
        <f>ROUND(0.7412-0.0095*B113,4)</f>
        <v>0.70920000000000005</v>
      </c>
      <c r="J117" s="2298">
        <f t="shared" si="34"/>
        <v>0.70920000000000005</v>
      </c>
      <c r="K117" s="2298">
        <f t="shared" si="34"/>
        <v>0.70920000000000005</v>
      </c>
      <c r="L117" s="2298">
        <f t="shared" si="34"/>
        <v>0.70920000000000005</v>
      </c>
      <c r="M117" s="2299">
        <f t="shared" si="34"/>
        <v>0.70920000000000005</v>
      </c>
    </row>
    <row r="118" spans="1:13" ht="13.5" thickBot="1">
      <c r="A118" s="2300" t="s">
        <v>2520</v>
      </c>
      <c r="B118" s="2301">
        <f>ROUND(0.7275-0.01*B113,4)</f>
        <v>0.69379999999999997</v>
      </c>
      <c r="C118" s="2301">
        <f>B118</f>
        <v>0.69379999999999997</v>
      </c>
      <c r="D118" s="2301">
        <f>ROUND(0.7043-0.012*B113,4)</f>
        <v>0.66390000000000005</v>
      </c>
      <c r="E118" s="2301">
        <f>D118</f>
        <v>0.66390000000000005</v>
      </c>
      <c r="F118" s="2301">
        <f>E118</f>
        <v>0.66390000000000005</v>
      </c>
      <c r="G118" s="2301">
        <f>ROUND(0.6299-0.0122*B113,4)</f>
        <v>0.58879999999999999</v>
      </c>
      <c r="H118" s="2301">
        <f>G118</f>
        <v>0.58879999999999999</v>
      </c>
      <c r="I118" s="2301">
        <f>ROUND(0.5667-0.0136*B113,4)</f>
        <v>0.52090000000000003</v>
      </c>
      <c r="J118" s="2301">
        <f t="shared" si="34"/>
        <v>0.52090000000000003</v>
      </c>
      <c r="K118" s="2301">
        <f t="shared" si="34"/>
        <v>0.52090000000000003</v>
      </c>
      <c r="L118" s="2301">
        <f t="shared" si="34"/>
        <v>0.52090000000000003</v>
      </c>
      <c r="M118" s="2302">
        <f t="shared" si="34"/>
        <v>0.52090000000000003</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3.5"/>
  <cols>
    <col min="1" max="1" width="12.625" style="741" customWidth="1"/>
    <col min="2" max="2" width="10.25" style="674" customWidth="1"/>
  </cols>
  <sheetData>
    <row r="1" spans="1:6">
      <c r="A1" s="3702" t="s">
        <v>779</v>
      </c>
      <c r="B1" s="3702"/>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f>估价对象房地状况!C4</f>
        <v>0</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t="str">
        <f>估价对象房地状况!C19</f>
        <v>较一致</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较好</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较好</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t="str">
        <f>估价对象房地状况!C19</f>
        <v>较一致</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较好</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较好</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f>估价对象房地状况!C3</f>
        <v>0</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t="str">
        <f>估价对象房地状况!C19</f>
        <v>较一致</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较好</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较好</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14.25">
      <c r="A37" s="681" t="s">
        <v>726</v>
      </c>
      <c r="B37" s="682">
        <f>估价对象房地状况!G3</f>
        <v>0</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14.25">
      <c r="A38" s="681" t="s">
        <v>714</v>
      </c>
      <c r="B38" s="682">
        <f>估价对象房地状况!G4</f>
        <v>0</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f>估价对象房地状况!G19</f>
        <v>0</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15" thickBot="1">
      <c r="A44" s="696" t="s">
        <v>727</v>
      </c>
      <c r="B44" s="703">
        <f>估价对象房地状况!G18</f>
        <v>0</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702" t="s">
        <v>105</v>
      </c>
      <c r="B1" s="3702"/>
      <c r="C1" s="3702"/>
      <c r="D1" s="3702"/>
      <c r="E1" s="3702"/>
      <c r="F1" s="3702"/>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03" t="s">
        <v>118</v>
      </c>
      <c r="B2" s="3703"/>
      <c r="C2" s="3703"/>
      <c r="D2" s="3703"/>
      <c r="E2" s="3703"/>
      <c r="F2" s="3703"/>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04"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05"/>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2661</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06" t="s">
        <v>132</v>
      </c>
      <c r="B18" s="768" t="s">
        <v>517</v>
      </c>
      <c r="C18" s="769" t="s">
        <v>518</v>
      </c>
      <c r="D18" s="770"/>
      <c r="E18" s="768">
        <v>1</v>
      </c>
      <c r="F18" s="771" t="s">
        <v>519</v>
      </c>
      <c r="G18" s="772"/>
      <c r="H18" s="764"/>
      <c r="I18" s="764"/>
    </row>
    <row r="19" spans="1:9" s="773" customFormat="1" ht="19.5" customHeight="1">
      <c r="A19" s="3706"/>
      <c r="B19" s="3706" t="s">
        <v>520</v>
      </c>
      <c r="C19" s="769" t="s">
        <v>521</v>
      </c>
      <c r="D19" s="770"/>
      <c r="E19" s="768">
        <v>0.9</v>
      </c>
      <c r="F19" s="771" t="s">
        <v>522</v>
      </c>
      <c r="G19" s="772"/>
      <c r="H19" s="764"/>
      <c r="I19" s="764"/>
    </row>
    <row r="20" spans="1:9" s="773" customFormat="1" ht="19.5" customHeight="1">
      <c r="A20" s="3706"/>
      <c r="B20" s="3706"/>
      <c r="C20" s="769" t="s">
        <v>523</v>
      </c>
      <c r="D20" s="770"/>
      <c r="E20" s="768">
        <v>1.1000000000000001</v>
      </c>
      <c r="F20" s="771" t="s">
        <v>524</v>
      </c>
      <c r="G20" s="772"/>
      <c r="H20" s="764"/>
      <c r="I20" s="764"/>
    </row>
    <row r="21" spans="1:9" s="773" customFormat="1" ht="19.5" customHeight="1">
      <c r="A21" s="3706"/>
      <c r="B21" s="3706"/>
      <c r="C21" s="769" t="s">
        <v>525</v>
      </c>
      <c r="D21" s="770"/>
      <c r="E21" s="768">
        <v>0.8</v>
      </c>
      <c r="F21" s="771" t="s">
        <v>526</v>
      </c>
      <c r="G21" s="772"/>
      <c r="H21" s="764"/>
      <c r="I21" s="764"/>
    </row>
    <row r="22" spans="1:9" s="773" customFormat="1" ht="19.5" customHeight="1">
      <c r="A22" s="3706"/>
      <c r="B22" s="3706"/>
      <c r="C22" s="769" t="s">
        <v>527</v>
      </c>
      <c r="D22" s="770"/>
      <c r="E22" s="768">
        <v>0.5</v>
      </c>
      <c r="F22" s="771"/>
      <c r="G22" s="772"/>
      <c r="H22" s="764"/>
      <c r="I22" s="764"/>
    </row>
    <row r="23" spans="1:9" s="773" customFormat="1" ht="19.5" customHeight="1">
      <c r="A23" s="3706" t="s">
        <v>133</v>
      </c>
      <c r="B23" s="768" t="s">
        <v>517</v>
      </c>
      <c r="C23" s="769" t="s">
        <v>528</v>
      </c>
      <c r="D23" s="770"/>
      <c r="E23" s="768">
        <v>1</v>
      </c>
      <c r="F23" s="771" t="s">
        <v>529</v>
      </c>
      <c r="G23" s="772"/>
      <c r="H23" s="764"/>
      <c r="I23" s="764"/>
    </row>
    <row r="24" spans="1:9" s="773" customFormat="1" ht="19.5" customHeight="1">
      <c r="A24" s="3706"/>
      <c r="B24" s="3706" t="s">
        <v>520</v>
      </c>
      <c r="C24" s="769" t="s">
        <v>530</v>
      </c>
      <c r="D24" s="770"/>
      <c r="E24" s="768">
        <v>0.5</v>
      </c>
      <c r="F24" s="771"/>
      <c r="G24" s="772"/>
      <c r="H24" s="764"/>
      <c r="I24" s="764"/>
    </row>
    <row r="25" spans="1:9" s="773" customFormat="1" ht="19.5" customHeight="1">
      <c r="A25" s="3706"/>
      <c r="B25" s="3706"/>
      <c r="C25" s="769" t="s">
        <v>531</v>
      </c>
      <c r="D25" s="770"/>
      <c r="E25" s="768">
        <v>1.1000000000000001</v>
      </c>
      <c r="F25" s="771"/>
      <c r="G25" s="772"/>
      <c r="H25" s="764"/>
      <c r="I25" s="764"/>
    </row>
    <row r="26" spans="1:9" s="773" customFormat="1" ht="19.5" customHeight="1">
      <c r="A26" s="3706"/>
      <c r="B26" s="3706"/>
      <c r="C26" s="769" t="s">
        <v>532</v>
      </c>
      <c r="D26" s="770"/>
      <c r="E26" s="768">
        <v>1.1000000000000001</v>
      </c>
      <c r="F26" s="771"/>
      <c r="G26" s="772"/>
      <c r="H26" s="764"/>
      <c r="I26" s="764"/>
    </row>
    <row r="27" spans="1:9" s="773" customFormat="1" ht="19.5" customHeight="1">
      <c r="A27" s="3706"/>
      <c r="B27" s="3706"/>
      <c r="C27" s="769" t="s">
        <v>533</v>
      </c>
      <c r="D27" s="770"/>
      <c r="E27" s="768">
        <v>0.9</v>
      </c>
      <c r="F27" s="771" t="s">
        <v>534</v>
      </c>
      <c r="G27" s="772"/>
      <c r="H27" s="764"/>
      <c r="I27" s="764"/>
    </row>
    <row r="28" spans="1:9" s="773" customFormat="1" ht="19.5" customHeight="1">
      <c r="A28" s="3706"/>
      <c r="B28" s="3706"/>
      <c r="C28" s="769" t="s">
        <v>535</v>
      </c>
      <c r="D28" s="770"/>
      <c r="E28" s="768">
        <v>0.9</v>
      </c>
      <c r="F28" s="771" t="s">
        <v>536</v>
      </c>
      <c r="G28" s="772"/>
      <c r="H28" s="764"/>
      <c r="I28" s="764"/>
    </row>
    <row r="29" spans="1:9" s="773" customFormat="1" ht="19.5" customHeight="1">
      <c r="A29" s="3706"/>
      <c r="B29" s="3706"/>
      <c r="C29" s="769" t="s">
        <v>537</v>
      </c>
      <c r="D29" s="770"/>
      <c r="E29" s="768">
        <v>0.9</v>
      </c>
      <c r="F29" s="771" t="s">
        <v>538</v>
      </c>
      <c r="G29" s="772"/>
      <c r="H29" s="764"/>
      <c r="I29" s="764"/>
    </row>
    <row r="30" spans="1:9" s="773" customFormat="1" ht="19.5" customHeight="1">
      <c r="A30" s="3706"/>
      <c r="B30" s="3706"/>
      <c r="C30" s="769" t="s">
        <v>539</v>
      </c>
      <c r="D30" s="770"/>
      <c r="E30" s="768">
        <v>0.9</v>
      </c>
      <c r="F30" s="771" t="s">
        <v>540</v>
      </c>
      <c r="G30" s="772"/>
      <c r="H30" s="764"/>
      <c r="I30" s="764"/>
    </row>
    <row r="31" spans="1:9" s="773" customFormat="1" ht="19.5" customHeight="1">
      <c r="A31" s="3706"/>
      <c r="B31" s="3706"/>
      <c r="C31" s="769" t="s">
        <v>541</v>
      </c>
      <c r="D31" s="770"/>
      <c r="E31" s="768">
        <v>0.8</v>
      </c>
      <c r="F31" s="771" t="s">
        <v>542</v>
      </c>
      <c r="G31" s="772"/>
      <c r="H31" s="764"/>
      <c r="I31" s="764"/>
    </row>
    <row r="32" spans="1:9" s="773" customFormat="1" ht="19.5" customHeight="1">
      <c r="A32" s="3706"/>
      <c r="B32" s="3706"/>
      <c r="C32" s="769" t="s">
        <v>543</v>
      </c>
      <c r="D32" s="770"/>
      <c r="E32" s="768">
        <v>0.8</v>
      </c>
      <c r="F32" s="771" t="s">
        <v>544</v>
      </c>
      <c r="G32" s="772"/>
      <c r="H32" s="764"/>
      <c r="I32" s="764"/>
    </row>
    <row r="33" spans="1:9" s="773" customFormat="1" ht="19.5" customHeight="1">
      <c r="A33" s="3706" t="s">
        <v>134</v>
      </c>
      <c r="B33" s="768" t="s">
        <v>517</v>
      </c>
      <c r="C33" s="769" t="s">
        <v>545</v>
      </c>
      <c r="D33" s="770"/>
      <c r="E33" s="768">
        <v>1</v>
      </c>
      <c r="F33" s="771" t="s">
        <v>546</v>
      </c>
      <c r="G33" s="772"/>
      <c r="H33" s="764"/>
      <c r="I33" s="764"/>
    </row>
    <row r="34" spans="1:9" s="773" customFormat="1" ht="19.5" customHeight="1">
      <c r="A34" s="3706"/>
      <c r="B34" s="768" t="s">
        <v>520</v>
      </c>
      <c r="C34" s="769" t="s">
        <v>547</v>
      </c>
      <c r="D34" s="770"/>
      <c r="E34" s="768">
        <v>1.5</v>
      </c>
      <c r="F34" s="771" t="s">
        <v>548</v>
      </c>
      <c r="G34" s="772"/>
      <c r="H34" s="764"/>
      <c r="I34" s="764"/>
    </row>
    <row r="35" spans="1:9" s="773" customFormat="1" ht="19.5" customHeight="1">
      <c r="A35" s="3706" t="s">
        <v>135</v>
      </c>
      <c r="B35" s="768" t="s">
        <v>517</v>
      </c>
      <c r="C35" s="769" t="s">
        <v>549</v>
      </c>
      <c r="D35" s="770"/>
      <c r="E35" s="768">
        <v>1</v>
      </c>
      <c r="F35" s="771" t="s">
        <v>550</v>
      </c>
      <c r="G35" s="772"/>
      <c r="H35" s="764"/>
      <c r="I35" s="764"/>
    </row>
    <row r="36" spans="1:9" s="773" customFormat="1" ht="19.5" customHeight="1">
      <c r="A36" s="3706"/>
      <c r="B36" s="3706" t="s">
        <v>520</v>
      </c>
      <c r="C36" s="769" t="s">
        <v>551</v>
      </c>
      <c r="D36" s="770"/>
      <c r="E36" s="768">
        <v>1</v>
      </c>
      <c r="F36" s="771" t="s">
        <v>552</v>
      </c>
      <c r="G36" s="772"/>
      <c r="H36" s="764"/>
      <c r="I36" s="764"/>
    </row>
    <row r="37" spans="1:9" s="773" customFormat="1" ht="19.5" customHeight="1">
      <c r="A37" s="3706"/>
      <c r="B37" s="3706"/>
      <c r="C37" s="769" t="s">
        <v>553</v>
      </c>
      <c r="D37" s="770"/>
      <c r="E37" s="768">
        <v>1.5</v>
      </c>
      <c r="F37" s="771" t="s">
        <v>554</v>
      </c>
      <c r="G37" s="772"/>
      <c r="H37" s="764"/>
      <c r="I37" s="764"/>
    </row>
    <row r="38" spans="1:9" s="773" customFormat="1" ht="19.5" customHeight="1">
      <c r="A38" s="3706"/>
      <c r="B38" s="3706"/>
      <c r="C38" s="769" t="s">
        <v>555</v>
      </c>
      <c r="D38" s="770"/>
      <c r="E38" s="768">
        <v>1</v>
      </c>
      <c r="F38" s="771" t="s">
        <v>556</v>
      </c>
      <c r="G38" s="772"/>
      <c r="H38" s="764"/>
      <c r="I38" s="764"/>
    </row>
    <row r="39" spans="1:9" s="773" customFormat="1" ht="19.5" customHeight="1">
      <c r="A39" s="3706"/>
      <c r="B39" s="3706"/>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06" t="s">
        <v>571</v>
      </c>
      <c r="C61" s="682" t="s">
        <v>572</v>
      </c>
      <c r="D61" s="682" t="s">
        <v>573</v>
      </c>
      <c r="E61" s="781">
        <v>0.5</v>
      </c>
      <c r="F61" s="768">
        <v>80</v>
      </c>
    </row>
    <row r="62" spans="1:8" s="764" customFormat="1" ht="24">
      <c r="A62" s="768">
        <v>2</v>
      </c>
      <c r="B62" s="3706"/>
      <c r="C62" s="682" t="s">
        <v>574</v>
      </c>
      <c r="D62" s="682" t="s">
        <v>575</v>
      </c>
      <c r="E62" s="781">
        <v>0.5</v>
      </c>
      <c r="F62" s="768">
        <v>80</v>
      </c>
    </row>
    <row r="63" spans="1:8" s="764" customFormat="1" ht="36">
      <c r="A63" s="768">
        <v>3</v>
      </c>
      <c r="B63" s="3706"/>
      <c r="C63" s="682" t="s">
        <v>576</v>
      </c>
      <c r="D63" s="682" t="s">
        <v>577</v>
      </c>
      <c r="E63" s="781">
        <v>0.5</v>
      </c>
      <c r="F63" s="768">
        <v>80</v>
      </c>
    </row>
    <row r="64" spans="1:8" s="764" customFormat="1" ht="36">
      <c r="A64" s="768">
        <v>4</v>
      </c>
      <c r="B64" s="3706"/>
      <c r="C64" s="682" t="s">
        <v>578</v>
      </c>
      <c r="D64" s="682" t="s">
        <v>579</v>
      </c>
      <c r="E64" s="781">
        <v>0.4</v>
      </c>
      <c r="F64" s="768">
        <v>60</v>
      </c>
    </row>
    <row r="65" spans="1:6" s="764" customFormat="1" ht="36">
      <c r="A65" s="768">
        <v>5</v>
      </c>
      <c r="B65" s="3706"/>
      <c r="C65" s="682" t="s">
        <v>580</v>
      </c>
      <c r="D65" s="682" t="s">
        <v>581</v>
      </c>
      <c r="E65" s="781">
        <v>0.2</v>
      </c>
      <c r="F65" s="768">
        <v>30</v>
      </c>
    </row>
    <row r="66" spans="1:6" s="764" customFormat="1" ht="36">
      <c r="A66" s="768">
        <v>6</v>
      </c>
      <c r="B66" s="3706"/>
      <c r="C66" s="682" t="s">
        <v>582</v>
      </c>
      <c r="D66" s="682" t="s">
        <v>583</v>
      </c>
      <c r="E66" s="781">
        <v>0.3</v>
      </c>
      <c r="F66" s="768">
        <v>50</v>
      </c>
    </row>
    <row r="67" spans="1:6" s="764" customFormat="1" ht="36">
      <c r="A67" s="768">
        <v>7</v>
      </c>
      <c r="B67" s="3706"/>
      <c r="C67" s="682" t="s">
        <v>584</v>
      </c>
      <c r="D67" s="682" t="s">
        <v>585</v>
      </c>
      <c r="E67" s="781">
        <v>0.2</v>
      </c>
      <c r="F67" s="768">
        <v>30</v>
      </c>
    </row>
    <row r="68" spans="1:6" s="764" customFormat="1" ht="36">
      <c r="A68" s="768">
        <v>8</v>
      </c>
      <c r="B68" s="3706"/>
      <c r="C68" s="682" t="s">
        <v>586</v>
      </c>
      <c r="D68" s="682" t="s">
        <v>587</v>
      </c>
      <c r="E68" s="781">
        <v>0.2</v>
      </c>
      <c r="F68" s="768">
        <v>30</v>
      </c>
    </row>
    <row r="69" spans="1:6" s="764" customFormat="1" ht="36">
      <c r="A69" s="768">
        <v>9</v>
      </c>
      <c r="B69" s="3706"/>
      <c r="C69" s="682" t="s">
        <v>588</v>
      </c>
      <c r="D69" s="682" t="s">
        <v>589</v>
      </c>
      <c r="E69" s="781">
        <v>0.2</v>
      </c>
      <c r="F69" s="768">
        <v>30</v>
      </c>
    </row>
    <row r="70" spans="1:6" s="764" customFormat="1" ht="48">
      <c r="A70" s="768">
        <v>10</v>
      </c>
      <c r="B70" s="3706"/>
      <c r="C70" s="682" t="s">
        <v>590</v>
      </c>
      <c r="D70" s="682" t="s">
        <v>591</v>
      </c>
      <c r="E70" s="781">
        <v>0.2</v>
      </c>
      <c r="F70" s="768">
        <v>30</v>
      </c>
    </row>
    <row r="71" spans="1:6" s="764" customFormat="1" ht="48">
      <c r="A71" s="768">
        <v>11</v>
      </c>
      <c r="B71" s="3706"/>
      <c r="C71" s="682" t="s">
        <v>592</v>
      </c>
      <c r="D71" s="682" t="s">
        <v>593</v>
      </c>
      <c r="E71" s="781">
        <v>0.2</v>
      </c>
      <c r="F71" s="768">
        <v>30</v>
      </c>
    </row>
    <row r="72" spans="1:6" s="764" customFormat="1" ht="36">
      <c r="A72" s="768">
        <v>12</v>
      </c>
      <c r="B72" s="3706"/>
      <c r="C72" s="682" t="s">
        <v>594</v>
      </c>
      <c r="D72" s="682" t="s">
        <v>595</v>
      </c>
      <c r="E72" s="781">
        <v>0.5</v>
      </c>
      <c r="F72" s="768">
        <v>80</v>
      </c>
    </row>
    <row r="73" spans="1:6" s="764" customFormat="1" ht="24">
      <c r="A73" s="768">
        <v>13</v>
      </c>
      <c r="B73" s="3706"/>
      <c r="C73" s="682" t="s">
        <v>596</v>
      </c>
      <c r="D73" s="682" t="s">
        <v>597</v>
      </c>
      <c r="E73" s="781">
        <v>0.4</v>
      </c>
      <c r="F73" s="768">
        <v>60</v>
      </c>
    </row>
    <row r="74" spans="1:6" s="764" customFormat="1" ht="24">
      <c r="A74" s="768">
        <v>14</v>
      </c>
      <c r="B74" s="3706"/>
      <c r="C74" s="682" t="s">
        <v>598</v>
      </c>
      <c r="D74" s="682" t="s">
        <v>599</v>
      </c>
      <c r="E74" s="781">
        <v>0.2</v>
      </c>
      <c r="F74" s="768">
        <v>30</v>
      </c>
    </row>
    <row r="75" spans="1:6" s="764" customFormat="1" ht="24">
      <c r="A75" s="768">
        <v>15</v>
      </c>
      <c r="B75" s="3706"/>
      <c r="C75" s="682" t="s">
        <v>600</v>
      </c>
      <c r="D75" s="682" t="s">
        <v>601</v>
      </c>
      <c r="E75" s="781">
        <v>0.2</v>
      </c>
      <c r="F75" s="768">
        <v>30</v>
      </c>
    </row>
    <row r="76" spans="1:6" s="764" customFormat="1" ht="24">
      <c r="A76" s="768">
        <v>16</v>
      </c>
      <c r="B76" s="3706" t="s">
        <v>602</v>
      </c>
      <c r="C76" s="682" t="s">
        <v>603</v>
      </c>
      <c r="D76" s="682" t="s">
        <v>604</v>
      </c>
      <c r="E76" s="781">
        <v>0.5</v>
      </c>
      <c r="F76" s="768">
        <v>80</v>
      </c>
    </row>
    <row r="77" spans="1:6" s="764" customFormat="1" ht="24">
      <c r="A77" s="768">
        <v>17</v>
      </c>
      <c r="B77" s="3706"/>
      <c r="C77" s="682" t="s">
        <v>605</v>
      </c>
      <c r="D77" s="682" t="s">
        <v>606</v>
      </c>
      <c r="E77" s="781">
        <v>0.5</v>
      </c>
      <c r="F77" s="768">
        <v>80</v>
      </c>
    </row>
    <row r="78" spans="1:6" s="764" customFormat="1" ht="24">
      <c r="A78" s="768">
        <v>18</v>
      </c>
      <c r="B78" s="3706"/>
      <c r="C78" s="682" t="s">
        <v>607</v>
      </c>
      <c r="D78" s="682" t="s">
        <v>608</v>
      </c>
      <c r="E78" s="781">
        <v>0.2</v>
      </c>
      <c r="F78" s="768">
        <v>30</v>
      </c>
    </row>
    <row r="79" spans="1:6" s="764" customFormat="1" ht="24">
      <c r="A79" s="768">
        <v>19</v>
      </c>
      <c r="B79" s="3706"/>
      <c r="C79" s="682" t="s">
        <v>609</v>
      </c>
      <c r="D79" s="682" t="s">
        <v>610</v>
      </c>
      <c r="E79" s="781">
        <v>0.5</v>
      </c>
      <c r="F79" s="768">
        <v>80</v>
      </c>
    </row>
    <row r="80" spans="1:6" s="764" customFormat="1" ht="36">
      <c r="A80" s="768">
        <v>20</v>
      </c>
      <c r="B80" s="3706"/>
      <c r="C80" s="682" t="s">
        <v>611</v>
      </c>
      <c r="D80" s="682" t="s">
        <v>612</v>
      </c>
      <c r="E80" s="781">
        <v>0.2</v>
      </c>
      <c r="F80" s="768">
        <v>30</v>
      </c>
    </row>
    <row r="81" spans="1:6" s="764" customFormat="1" ht="36">
      <c r="A81" s="768">
        <v>21</v>
      </c>
      <c r="B81" s="3706"/>
      <c r="C81" s="682" t="s">
        <v>613</v>
      </c>
      <c r="D81" s="682" t="s">
        <v>614</v>
      </c>
      <c r="E81" s="781">
        <v>0.2</v>
      </c>
      <c r="F81" s="768">
        <v>30</v>
      </c>
    </row>
    <row r="82" spans="1:6" s="764" customFormat="1" ht="48">
      <c r="A82" s="768">
        <v>22</v>
      </c>
      <c r="B82" s="3706"/>
      <c r="C82" s="682" t="s">
        <v>615</v>
      </c>
      <c r="D82" s="682" t="s">
        <v>616</v>
      </c>
      <c r="E82" s="781">
        <v>0.2</v>
      </c>
      <c r="F82" s="768">
        <v>30</v>
      </c>
    </row>
    <row r="83" spans="1:6" s="764" customFormat="1" ht="48">
      <c r="A83" s="768">
        <v>23</v>
      </c>
      <c r="B83" s="3706"/>
      <c r="C83" s="682" t="s">
        <v>617</v>
      </c>
      <c r="D83" s="682" t="s">
        <v>618</v>
      </c>
      <c r="E83" s="781">
        <v>0.2</v>
      </c>
      <c r="F83" s="768">
        <v>30</v>
      </c>
    </row>
    <row r="84" spans="1:6" s="764" customFormat="1" ht="36">
      <c r="A84" s="768">
        <v>24</v>
      </c>
      <c r="B84" s="3706"/>
      <c r="C84" s="682" t="s">
        <v>619</v>
      </c>
      <c r="D84" s="682" t="s">
        <v>620</v>
      </c>
      <c r="E84" s="781">
        <v>0.2</v>
      </c>
      <c r="F84" s="768">
        <v>30</v>
      </c>
    </row>
    <row r="85" spans="1:6" s="764" customFormat="1" ht="36">
      <c r="A85" s="768">
        <v>25</v>
      </c>
      <c r="B85" s="3706"/>
      <c r="C85" s="682" t="s">
        <v>621</v>
      </c>
      <c r="D85" s="682" t="s">
        <v>622</v>
      </c>
      <c r="E85" s="781">
        <v>0.5</v>
      </c>
      <c r="F85" s="768">
        <v>80</v>
      </c>
    </row>
    <row r="86" spans="1:6" s="764" customFormat="1" ht="36">
      <c r="A86" s="768">
        <v>26</v>
      </c>
      <c r="B86" s="3706"/>
      <c r="C86" s="682" t="s">
        <v>623</v>
      </c>
      <c r="D86" s="682" t="s">
        <v>624</v>
      </c>
      <c r="E86" s="781">
        <v>0.2</v>
      </c>
      <c r="F86" s="768">
        <v>30</v>
      </c>
    </row>
    <row r="87" spans="1:6" s="764" customFormat="1" ht="36">
      <c r="A87" s="768">
        <v>27</v>
      </c>
      <c r="B87" s="3706"/>
      <c r="C87" s="682" t="s">
        <v>625</v>
      </c>
      <c r="D87" s="682" t="s">
        <v>626</v>
      </c>
      <c r="E87" s="781">
        <v>0.2</v>
      </c>
      <c r="F87" s="768">
        <v>30</v>
      </c>
    </row>
    <row r="88" spans="1:6" s="764" customFormat="1" ht="36">
      <c r="A88" s="768">
        <v>28</v>
      </c>
      <c r="B88" s="3706"/>
      <c r="C88" s="682" t="s">
        <v>627</v>
      </c>
      <c r="D88" s="682" t="s">
        <v>628</v>
      </c>
      <c r="E88" s="781">
        <v>0.2</v>
      </c>
      <c r="F88" s="768">
        <v>30</v>
      </c>
    </row>
    <row r="89" spans="1:6" s="764" customFormat="1" ht="24">
      <c r="A89" s="768">
        <v>29</v>
      </c>
      <c r="B89" s="3706"/>
      <c r="C89" s="682" t="s">
        <v>629</v>
      </c>
      <c r="D89" s="682" t="s">
        <v>630</v>
      </c>
      <c r="E89" s="781">
        <v>0.2</v>
      </c>
      <c r="F89" s="768">
        <v>30</v>
      </c>
    </row>
    <row r="90" spans="1:6" s="764" customFormat="1" ht="24">
      <c r="A90" s="768">
        <v>30</v>
      </c>
      <c r="B90" s="3706"/>
      <c r="C90" s="682" t="s">
        <v>631</v>
      </c>
      <c r="D90" s="682" t="s">
        <v>632</v>
      </c>
      <c r="E90" s="781">
        <v>0.2</v>
      </c>
      <c r="F90" s="768">
        <v>30</v>
      </c>
    </row>
    <row r="91" spans="1:6" s="764" customFormat="1" ht="36">
      <c r="A91" s="768">
        <v>31</v>
      </c>
      <c r="B91" s="3706"/>
      <c r="C91" s="682" t="s">
        <v>633</v>
      </c>
      <c r="D91" s="682" t="s">
        <v>634</v>
      </c>
      <c r="E91" s="781">
        <v>0.2</v>
      </c>
      <c r="F91" s="768">
        <v>30</v>
      </c>
    </row>
    <row r="92" spans="1:6" s="764" customFormat="1" ht="24">
      <c r="A92" s="768">
        <v>32</v>
      </c>
      <c r="B92" s="3706" t="s">
        <v>635</v>
      </c>
      <c r="C92" s="768" t="s">
        <v>636</v>
      </c>
      <c r="D92" s="682" t="s">
        <v>637</v>
      </c>
      <c r="E92" s="781">
        <v>0.2</v>
      </c>
      <c r="F92" s="768">
        <v>30</v>
      </c>
    </row>
    <row r="93" spans="1:6" s="764" customFormat="1" ht="36">
      <c r="A93" s="768">
        <v>33</v>
      </c>
      <c r="B93" s="3706"/>
      <c r="C93" s="768" t="s">
        <v>638</v>
      </c>
      <c r="D93" s="682" t="s">
        <v>639</v>
      </c>
      <c r="E93" s="781">
        <v>0.2</v>
      </c>
      <c r="F93" s="768">
        <v>30</v>
      </c>
    </row>
    <row r="94" spans="1:6" s="764" customFormat="1" ht="48">
      <c r="A94" s="768">
        <v>34</v>
      </c>
      <c r="B94" s="3706"/>
      <c r="C94" s="768" t="s">
        <v>640</v>
      </c>
      <c r="D94" s="682" t="s">
        <v>641</v>
      </c>
      <c r="E94" s="781">
        <v>0.2</v>
      </c>
      <c r="F94" s="768">
        <v>30</v>
      </c>
    </row>
    <row r="95" spans="1:6" s="764" customFormat="1" ht="36">
      <c r="A95" s="768">
        <v>35</v>
      </c>
      <c r="B95" s="3706"/>
      <c r="C95" s="768" t="s">
        <v>642</v>
      </c>
      <c r="D95" s="682" t="s">
        <v>643</v>
      </c>
      <c r="E95" s="781">
        <v>0.2</v>
      </c>
      <c r="F95" s="768">
        <v>30</v>
      </c>
    </row>
    <row r="96" spans="1:6" s="764" customFormat="1" ht="48">
      <c r="A96" s="768">
        <v>36</v>
      </c>
      <c r="B96" s="3706"/>
      <c r="C96" s="682" t="s">
        <v>644</v>
      </c>
      <c r="D96" s="682" t="s">
        <v>645</v>
      </c>
      <c r="E96" s="781">
        <v>0.2</v>
      </c>
      <c r="F96" s="768">
        <v>30</v>
      </c>
    </row>
    <row r="97" spans="1:6" s="764" customFormat="1" ht="36">
      <c r="A97" s="768">
        <v>37</v>
      </c>
      <c r="B97" s="3706"/>
      <c r="C97" s="768" t="s">
        <v>646</v>
      </c>
      <c r="D97" s="682" t="s">
        <v>647</v>
      </c>
      <c r="E97" s="781">
        <v>0.2</v>
      </c>
      <c r="F97" s="768">
        <v>30</v>
      </c>
    </row>
    <row r="98" spans="1:6" s="764" customFormat="1" ht="36">
      <c r="A98" s="768">
        <v>38</v>
      </c>
      <c r="B98" s="3706"/>
      <c r="C98" s="768" t="s">
        <v>648</v>
      </c>
      <c r="D98" s="682" t="s">
        <v>649</v>
      </c>
      <c r="E98" s="781">
        <v>0.2</v>
      </c>
      <c r="F98" s="768">
        <v>30</v>
      </c>
    </row>
    <row r="99" spans="1:6" s="764" customFormat="1" ht="36">
      <c r="A99" s="768">
        <v>39</v>
      </c>
      <c r="B99" s="3706" t="s">
        <v>650</v>
      </c>
      <c r="C99" s="768" t="s">
        <v>651</v>
      </c>
      <c r="D99" s="682" t="s">
        <v>652</v>
      </c>
      <c r="E99" s="781">
        <v>0.3</v>
      </c>
      <c r="F99" s="768">
        <v>50</v>
      </c>
    </row>
    <row r="100" spans="1:6" s="764" customFormat="1" ht="24">
      <c r="A100" s="768">
        <v>40</v>
      </c>
      <c r="B100" s="3706"/>
      <c r="C100" s="768" t="s">
        <v>653</v>
      </c>
      <c r="D100" s="682" t="s">
        <v>654</v>
      </c>
      <c r="E100" s="781">
        <v>0.2</v>
      </c>
      <c r="F100" s="768">
        <v>30</v>
      </c>
    </row>
    <row r="101" spans="1:6" s="764" customFormat="1" ht="36">
      <c r="A101" s="768">
        <v>41</v>
      </c>
      <c r="B101" s="3706"/>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06" t="s">
        <v>665</v>
      </c>
      <c r="C105" s="768" t="s">
        <v>666</v>
      </c>
      <c r="D105" s="682" t="s">
        <v>667</v>
      </c>
      <c r="E105" s="781">
        <v>0.2</v>
      </c>
      <c r="F105" s="768">
        <v>30</v>
      </c>
    </row>
    <row r="106" spans="1:6" s="764" customFormat="1" ht="36">
      <c r="A106" s="768">
        <v>46</v>
      </c>
      <c r="B106" s="3706"/>
      <c r="C106" s="768" t="s">
        <v>668</v>
      </c>
      <c r="D106" s="682" t="s">
        <v>669</v>
      </c>
      <c r="E106" s="781">
        <v>0.2</v>
      </c>
      <c r="F106" s="768">
        <v>30</v>
      </c>
    </row>
    <row r="107" spans="1:6" s="764" customFormat="1" ht="36">
      <c r="A107" s="768">
        <v>47</v>
      </c>
      <c r="B107" s="3706" t="s">
        <v>670</v>
      </c>
      <c r="C107" s="768" t="s">
        <v>671</v>
      </c>
      <c r="D107" s="682" t="s">
        <v>672</v>
      </c>
      <c r="E107" s="781">
        <v>0.3</v>
      </c>
      <c r="F107" s="768">
        <v>50</v>
      </c>
    </row>
    <row r="108" spans="1:6" s="764" customFormat="1" ht="36">
      <c r="A108" s="768">
        <v>48</v>
      </c>
      <c r="B108" s="3706"/>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06" t="s">
        <v>681</v>
      </c>
      <c r="C111" s="768" t="s">
        <v>682</v>
      </c>
      <c r="D111" s="682" t="s">
        <v>683</v>
      </c>
      <c r="E111" s="781">
        <v>0.2</v>
      </c>
      <c r="F111" s="768">
        <v>30</v>
      </c>
    </row>
    <row r="112" spans="1:6" s="764" customFormat="1" ht="24">
      <c r="A112" s="768">
        <v>52</v>
      </c>
      <c r="B112" s="3706"/>
      <c r="C112" s="768" t="s">
        <v>684</v>
      </c>
      <c r="D112" s="682" t="s">
        <v>685</v>
      </c>
      <c r="E112" s="781">
        <v>0.2</v>
      </c>
      <c r="F112" s="768">
        <v>30</v>
      </c>
    </row>
    <row r="113" spans="1:6" s="764" customFormat="1" ht="24">
      <c r="A113" s="768">
        <v>53</v>
      </c>
      <c r="B113" s="3706"/>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06" t="s">
        <v>694</v>
      </c>
      <c r="C116" s="768" t="s">
        <v>695</v>
      </c>
      <c r="D116" s="682" t="s">
        <v>696</v>
      </c>
      <c r="E116" s="781">
        <v>0.2</v>
      </c>
      <c r="F116" s="768">
        <v>30</v>
      </c>
    </row>
    <row r="117" spans="1:6" ht="36">
      <c r="A117" s="768">
        <v>57</v>
      </c>
      <c r="B117" s="3706"/>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20"/>
  <sheetViews>
    <sheetView zoomScale="80" zoomScaleNormal="80" workbookViewId="0">
      <selection activeCell="M31" sqref="M31"/>
    </sheetView>
  </sheetViews>
  <sheetFormatPr defaultColWidth="9" defaultRowHeight="12.75"/>
  <cols>
    <col min="1" max="1" width="9" style="2325"/>
    <col min="2" max="6" width="9" style="2325" customWidth="1"/>
    <col min="7" max="7" width="9" style="2368"/>
    <col min="8" max="8" width="9" style="2325"/>
    <col min="9" max="12" width="9" style="2325" customWidth="1"/>
    <col min="13" max="13" width="2.25" style="2325" customWidth="1"/>
    <col min="14" max="14" width="9" style="2368" customWidth="1"/>
    <col min="15" max="17" width="9" style="2325" customWidth="1"/>
    <col min="18" max="18" width="2.375" style="2325" customWidth="1"/>
    <col min="19" max="19" width="7.125" style="2368" customWidth="1"/>
    <col min="20" max="22" width="7.125" style="2325" customWidth="1"/>
    <col min="23" max="23" width="23.875" style="2325" customWidth="1"/>
    <col min="24" max="25" width="9" style="2325"/>
    <col min="26" max="27" width="11.625" style="2325" customWidth="1"/>
    <col min="28" max="28" width="9" style="2325"/>
    <col min="29" max="29" width="2" style="2325" customWidth="1"/>
    <col min="30" max="16384" width="9" style="2325"/>
  </cols>
  <sheetData>
    <row r="1" spans="1:34" s="2303" customFormat="1">
      <c r="B1" s="3712" t="s">
        <v>964</v>
      </c>
      <c r="C1" s="3712"/>
      <c r="D1" s="3712"/>
      <c r="E1" s="3712"/>
      <c r="F1" s="3712"/>
      <c r="G1" s="3708" t="s">
        <v>965</v>
      </c>
      <c r="H1" s="3708"/>
      <c r="I1" s="3708"/>
      <c r="J1" s="3708"/>
      <c r="K1" s="3708"/>
      <c r="L1" s="3708"/>
      <c r="N1" s="3708" t="s">
        <v>966</v>
      </c>
      <c r="O1" s="3708"/>
      <c r="P1" s="3708"/>
      <c r="Q1" s="3708"/>
      <c r="S1" s="3708" t="s">
        <v>967</v>
      </c>
      <c r="T1" s="3708"/>
      <c r="U1" s="3708"/>
      <c r="V1" s="3708"/>
      <c r="X1" s="3707" t="s">
        <v>968</v>
      </c>
      <c r="Y1" s="3708"/>
      <c r="Z1" s="3708"/>
      <c r="AA1" s="3708"/>
      <c r="AB1" s="3708"/>
      <c r="AD1" s="3707" t="s">
        <v>969</v>
      </c>
      <c r="AE1" s="3708"/>
      <c r="AF1" s="3708"/>
      <c r="AG1" s="3708"/>
      <c r="AH1" s="3708"/>
    </row>
    <row r="2" spans="1:34" s="2304" customFormat="1" ht="14.25" thickBot="1">
      <c r="B2" s="2305" t="s">
        <v>970</v>
      </c>
      <c r="C2" s="2305" t="s">
        <v>971</v>
      </c>
      <c r="D2" s="2306" t="s">
        <v>972</v>
      </c>
      <c r="E2" s="2306" t="s">
        <v>973</v>
      </c>
      <c r="F2" s="2305" t="s">
        <v>974</v>
      </c>
      <c r="G2" s="2307"/>
      <c r="I2" s="2305" t="s">
        <v>1189</v>
      </c>
      <c r="J2" s="2306" t="s">
        <v>1190</v>
      </c>
      <c r="K2" s="2306" t="s">
        <v>1191</v>
      </c>
      <c r="L2" s="2305" t="s">
        <v>1192</v>
      </c>
      <c r="N2" s="2305" t="s">
        <v>970</v>
      </c>
      <c r="O2" s="2306" t="s">
        <v>1193</v>
      </c>
      <c r="P2" s="2306" t="s">
        <v>728</v>
      </c>
      <c r="Q2" s="2305" t="s">
        <v>974</v>
      </c>
      <c r="S2" s="2305" t="s">
        <v>970</v>
      </c>
      <c r="T2" s="2306" t="s">
        <v>1193</v>
      </c>
      <c r="U2" s="2306" t="s">
        <v>728</v>
      </c>
      <c r="V2" s="2305" t="s">
        <v>974</v>
      </c>
      <c r="X2" s="2305" t="s">
        <v>975</v>
      </c>
      <c r="Y2" s="2305" t="s">
        <v>976</v>
      </c>
      <c r="Z2" s="2306" t="s">
        <v>977</v>
      </c>
      <c r="AA2" s="2306" t="s">
        <v>978</v>
      </c>
      <c r="AB2" s="2305" t="s">
        <v>979</v>
      </c>
      <c r="AD2" s="2305" t="s">
        <v>975</v>
      </c>
      <c r="AE2" s="2305" t="s">
        <v>976</v>
      </c>
      <c r="AF2" s="2306" t="s">
        <v>977</v>
      </c>
      <c r="AG2" s="2306" t="s">
        <v>978</v>
      </c>
      <c r="AH2" s="2305" t="s">
        <v>979</v>
      </c>
    </row>
    <row r="3" spans="1:34" s="2315" customFormat="1" ht="14.25">
      <c r="A3" s="2308" t="s">
        <v>2648</v>
      </c>
      <c r="B3" s="2309"/>
      <c r="C3" s="2309"/>
      <c r="D3" s="2310"/>
      <c r="E3" s="2310"/>
      <c r="F3" s="2309"/>
      <c r="G3" s="2311"/>
      <c r="H3" s="2312"/>
      <c r="I3" s="2313">
        <f>ROUND(AVERAGE(I4:I37),2)</f>
        <v>1.64</v>
      </c>
      <c r="J3" s="2313">
        <f>ROUND(AVERAGE(J4:J37),2)</f>
        <v>1.03</v>
      </c>
      <c r="K3" s="2313">
        <f>ROUND(AVERAGE(K4:K37),2)</f>
        <v>1.81</v>
      </c>
      <c r="L3" s="2314">
        <f>ROUND(AVERAGE(L4:L37),2)</f>
        <v>1.2</v>
      </c>
      <c r="N3" s="2311"/>
      <c r="S3" s="2311"/>
      <c r="W3" s="2316"/>
      <c r="X3" s="2317">
        <f>ROUND(SUMPRODUCT(PRODUCT(1+N3:N$36)),4)</f>
        <v>1.6585000000000001</v>
      </c>
      <c r="Y3" s="2317">
        <f>ROUND(SUMPRODUCT(PRODUCT(1+O3:O$36)),4)</f>
        <v>1.3676999999999999</v>
      </c>
      <c r="Z3" s="2317">
        <f t="shared" ref="Z3:Z34" si="0">Y3</f>
        <v>1.3676999999999999</v>
      </c>
      <c r="AA3" s="2317">
        <f>ROUND(SUMPRODUCT(PRODUCT(1+P3:P$36)),4)</f>
        <v>1.7434000000000001</v>
      </c>
      <c r="AB3" s="2317">
        <f>ROUND(SUMPRODUCT(PRODUCT(1+Q3:Q$36)),4)</f>
        <v>1.4609000000000001</v>
      </c>
      <c r="AD3" s="2318">
        <f>ROUND(AVERAGE(I3:I$37)/100,4)</f>
        <v>1.6400000000000001E-2</v>
      </c>
      <c r="AE3" s="2318">
        <f>ROUND(AVERAGE(J3:J$37)/100,4)</f>
        <v>1.03E-2</v>
      </c>
      <c r="AF3" s="2318">
        <f t="shared" ref="AF3:AF25" si="1">AE3</f>
        <v>1.03E-2</v>
      </c>
      <c r="AG3" s="2318">
        <f>ROUND(AVERAGE(K3:K$37)/100,4)</f>
        <v>1.8100000000000002E-2</v>
      </c>
      <c r="AH3" s="2318">
        <f>ROUND(AVERAGE(L3:L$37)/100,4)</f>
        <v>1.2E-2</v>
      </c>
    </row>
    <row r="4" spans="1:34" s="2319" customFormat="1" ht="14.25">
      <c r="B4" s="2320"/>
      <c r="C4" s="2320"/>
      <c r="D4" s="2321"/>
      <c r="E4" s="2321"/>
      <c r="F4" s="2320"/>
      <c r="G4" s="2322"/>
      <c r="H4" s="2323"/>
      <c r="I4" s="2324"/>
      <c r="J4" s="2324"/>
      <c r="K4" s="2324"/>
      <c r="L4" s="2324"/>
      <c r="N4" s="2322"/>
      <c r="S4" s="2322"/>
      <c r="X4" s="2325"/>
      <c r="Y4" s="2325"/>
      <c r="Z4" s="2325"/>
      <c r="AA4" s="2325"/>
      <c r="AB4" s="2325"/>
      <c r="AD4" s="2326"/>
      <c r="AE4" s="2326"/>
      <c r="AF4" s="2326"/>
      <c r="AG4" s="2326"/>
      <c r="AH4" s="2326"/>
    </row>
    <row r="5" spans="1:34" s="2334" customFormat="1">
      <c r="A5" s="2327" t="s">
        <v>2974</v>
      </c>
      <c r="B5" s="2328">
        <f t="shared" ref="B5" si="2">B6*(1+N5)</f>
        <v>510.07089659554606</v>
      </c>
      <c r="C5" s="2328">
        <f t="shared" ref="C5" si="3">C6*(1+O5)</f>
        <v>352.55593185737411</v>
      </c>
      <c r="D5" s="2329">
        <f t="shared" ref="D5" si="4">C5</f>
        <v>352.55593185737411</v>
      </c>
      <c r="E5" s="2328">
        <f t="shared" ref="E5" si="5">E6*(1+P5)</f>
        <v>737.27992463403655</v>
      </c>
      <c r="F5" s="2328">
        <f t="shared" ref="F5" si="6">F6*(1+Q5)</f>
        <v>335.88319198297864</v>
      </c>
      <c r="G5" s="3316">
        <v>2022</v>
      </c>
      <c r="H5" s="2331">
        <v>1</v>
      </c>
      <c r="I5" s="2332">
        <v>0</v>
      </c>
      <c r="J5" s="2332">
        <v>0</v>
      </c>
      <c r="K5" s="2332">
        <v>0</v>
      </c>
      <c r="L5" s="2333">
        <v>0</v>
      </c>
      <c r="N5" s="2335">
        <f t="shared" ref="N5" si="7">I5/100</f>
        <v>0</v>
      </c>
      <c r="O5" s="2335">
        <f t="shared" ref="O5" si="8">J5/100</f>
        <v>0</v>
      </c>
      <c r="P5" s="2335">
        <f t="shared" ref="P5" si="9">K5/100</f>
        <v>0</v>
      </c>
      <c r="Q5" s="2335">
        <f t="shared" ref="Q5" si="10">L5/100</f>
        <v>0</v>
      </c>
      <c r="S5" s="2344">
        <f>B5/B6-1</f>
        <v>0</v>
      </c>
      <c r="T5" s="2345">
        <f>C5/C6-1</f>
        <v>0</v>
      </c>
      <c r="U5" s="2345">
        <f>E5/E6-1</f>
        <v>0</v>
      </c>
      <c r="V5" s="2345">
        <f>F5/F6-1</f>
        <v>0</v>
      </c>
      <c r="W5" s="2336" t="s">
        <v>2647</v>
      </c>
      <c r="X5" s="2337">
        <f>ROUND(SUMPRODUCT(PRODUCT(1+N5:N$36)),4)</f>
        <v>1.6585000000000001</v>
      </c>
      <c r="Y5" s="2337">
        <f>ROUND(SUMPRODUCT(PRODUCT(1+O5:O$36)),4)</f>
        <v>1.3676999999999999</v>
      </c>
      <c r="Z5" s="2337">
        <f t="shared" ref="Z5" si="11">Y5</f>
        <v>1.3676999999999999</v>
      </c>
      <c r="AA5" s="2337">
        <f>ROUND(SUMPRODUCT(PRODUCT(1+P5:P$36)),4)</f>
        <v>1.7434000000000001</v>
      </c>
      <c r="AB5" s="2337">
        <f>ROUND(SUMPRODUCT(PRODUCT(1+Q5:Q$36)),4)</f>
        <v>1.4609000000000001</v>
      </c>
      <c r="AD5" s="2338">
        <f>ROUND(AVERAGE(I5:I$37)/100,4)</f>
        <v>1.6400000000000001E-2</v>
      </c>
      <c r="AE5" s="2338">
        <f>ROUND(AVERAGE(J5:J$37)/100,4)</f>
        <v>1.03E-2</v>
      </c>
      <c r="AF5" s="2338">
        <f t="shared" ref="AF5" si="12">AE5</f>
        <v>1.03E-2</v>
      </c>
      <c r="AG5" s="2338">
        <f>ROUND(AVERAGE(K5:K$37)/100,4)</f>
        <v>1.8100000000000002E-2</v>
      </c>
      <c r="AH5" s="2338">
        <f>ROUND(AVERAGE(L5:L$37)/100,4)</f>
        <v>1.2E-2</v>
      </c>
    </row>
    <row r="6" spans="1:34" s="2346" customFormat="1" ht="14.45" customHeight="1">
      <c r="A6" s="2339" t="s">
        <v>2973</v>
      </c>
      <c r="B6" s="2340">
        <f t="shared" ref="B6" si="13">B7*(1+N6)</f>
        <v>510.07089659554606</v>
      </c>
      <c r="C6" s="2340">
        <f t="shared" ref="C6" si="14">C7*(1+O6)</f>
        <v>352.55593185737411</v>
      </c>
      <c r="D6" s="2340">
        <f t="shared" ref="D6" si="15">C6</f>
        <v>352.55593185737411</v>
      </c>
      <c r="E6" s="2340">
        <f t="shared" ref="E6" si="16">E7*(1+P6)</f>
        <v>737.27992463403655</v>
      </c>
      <c r="F6" s="2340">
        <f t="shared" ref="F6" si="17">F7*(1+Q6)</f>
        <v>335.88319198297864</v>
      </c>
      <c r="G6" s="3316">
        <v>2021</v>
      </c>
      <c r="H6" s="2341">
        <v>4</v>
      </c>
      <c r="I6" s="3131">
        <v>1.03</v>
      </c>
      <c r="J6" s="3131">
        <v>0.24</v>
      </c>
      <c r="K6" s="3131">
        <v>1.17</v>
      </c>
      <c r="L6" s="3132">
        <v>0.55000000000000004</v>
      </c>
      <c r="M6" s="2343"/>
      <c r="N6" s="2344">
        <f t="shared" ref="N6" si="18">I6/100</f>
        <v>1.03E-2</v>
      </c>
      <c r="O6" s="2345">
        <f t="shared" ref="O6" si="19">J6/100</f>
        <v>2.3999999999999998E-3</v>
      </c>
      <c r="P6" s="2345">
        <f t="shared" ref="P6" si="20">K6/100</f>
        <v>1.1699999999999999E-2</v>
      </c>
      <c r="Q6" s="2345">
        <f t="shared" ref="Q6" si="21">L6/100</f>
        <v>5.5000000000000005E-3</v>
      </c>
      <c r="R6" s="2343"/>
      <c r="S6" s="2344"/>
      <c r="T6" s="2345"/>
      <c r="U6" s="2345"/>
      <c r="V6" s="2345"/>
      <c r="W6" s="2343"/>
      <c r="X6" s="2343">
        <f>ROUND(SUMPRODUCT(PRODUCT(1+N6:N$36)),4)</f>
        <v>1.6585000000000001</v>
      </c>
      <c r="Y6" s="2343">
        <f>ROUND(SUMPRODUCT(PRODUCT(1+O6:O$36)),4)</f>
        <v>1.3676999999999999</v>
      </c>
      <c r="Z6" s="2343">
        <f t="shared" ref="Z6" si="22">Y6</f>
        <v>1.3676999999999999</v>
      </c>
      <c r="AA6" s="2343">
        <f>ROUND(SUMPRODUCT(PRODUCT(1+P6:P$36)),4)</f>
        <v>1.7434000000000001</v>
      </c>
      <c r="AB6" s="2343">
        <f>ROUND(SUMPRODUCT(PRODUCT(1+Q6:Q$36)),4)</f>
        <v>1.4609000000000001</v>
      </c>
      <c r="AC6" s="2343"/>
      <c r="AD6" s="2345">
        <f>ROUND(AVERAGE(I6:I$37)/100,4)</f>
        <v>1.6899999999999998E-2</v>
      </c>
      <c r="AE6" s="2345">
        <f>ROUND(AVERAGE(J6:J$37)/100,4)</f>
        <v>1.06E-2</v>
      </c>
      <c r="AF6" s="2345">
        <f t="shared" ref="AF6" si="23">AE6</f>
        <v>1.06E-2</v>
      </c>
      <c r="AG6" s="2345">
        <f>ROUND(AVERAGE(K6:K$37)/100,4)</f>
        <v>1.8700000000000001E-2</v>
      </c>
      <c r="AH6" s="2345">
        <f>ROUND(AVERAGE(L6:L$37)/100,4)</f>
        <v>1.24E-2</v>
      </c>
    </row>
    <row r="7" spans="1:34" s="2346" customFormat="1" ht="14.45" customHeight="1">
      <c r="A7" s="2339" t="s">
        <v>2827</v>
      </c>
      <c r="B7" s="2340">
        <f t="shared" ref="B7" si="24">B8*(1+N7)</f>
        <v>504.87072809615569</v>
      </c>
      <c r="C7" s="2340">
        <f t="shared" ref="C7" si="25">C8*(1+O7)</f>
        <v>351.71182348101968</v>
      </c>
      <c r="D7" s="2340">
        <f t="shared" ref="D7" si="26">C7</f>
        <v>351.71182348101968</v>
      </c>
      <c r="E7" s="2340">
        <f t="shared" ref="E7" si="27">E8*(1+P7)</f>
        <v>728.75350858360832</v>
      </c>
      <c r="F7" s="2340">
        <f t="shared" ref="F7" si="28">F8*(1+Q7)</f>
        <v>334.04593931673656</v>
      </c>
      <c r="G7" s="3133">
        <v>2021</v>
      </c>
      <c r="H7" s="2341">
        <v>3</v>
      </c>
      <c r="I7" s="3131">
        <v>0.47</v>
      </c>
      <c r="J7" s="3131">
        <v>0.41</v>
      </c>
      <c r="K7" s="3131">
        <v>0.48</v>
      </c>
      <c r="L7" s="3132">
        <v>0.48</v>
      </c>
      <c r="M7" s="2343"/>
      <c r="N7" s="2344">
        <f t="shared" ref="N7" si="29">I7/100</f>
        <v>4.6999999999999993E-3</v>
      </c>
      <c r="O7" s="2345">
        <f t="shared" ref="O7" si="30">J7/100</f>
        <v>4.0999999999999995E-3</v>
      </c>
      <c r="P7" s="2345">
        <f t="shared" ref="P7" si="31">K7/100</f>
        <v>4.7999999999999996E-3</v>
      </c>
      <c r="Q7" s="2345">
        <f t="shared" ref="Q7" si="32">L7/100</f>
        <v>4.7999999999999996E-3</v>
      </c>
      <c r="R7" s="2343"/>
      <c r="S7" s="2344"/>
      <c r="T7" s="2345"/>
      <c r="U7" s="2345"/>
      <c r="V7" s="2345"/>
      <c r="W7" s="2343"/>
      <c r="X7" s="2343">
        <f>ROUND(SUMPRODUCT(PRODUCT(1+N7:N$36)),4)</f>
        <v>1.6415999999999999</v>
      </c>
      <c r="Y7" s="2343">
        <f>ROUND(SUMPRODUCT(PRODUCT(1+O7:O$36)),4)</f>
        <v>1.3644000000000001</v>
      </c>
      <c r="Z7" s="2343">
        <f t="shared" ref="Z7" si="33">Y7</f>
        <v>1.3644000000000001</v>
      </c>
      <c r="AA7" s="2343">
        <f>ROUND(SUMPRODUCT(PRODUCT(1+P7:P$36)),4)</f>
        <v>1.7232000000000001</v>
      </c>
      <c r="AB7" s="2343">
        <f>ROUND(SUMPRODUCT(PRODUCT(1+Q7:Q$36)),4)</f>
        <v>1.4529000000000001</v>
      </c>
      <c r="AC7" s="2343"/>
      <c r="AD7" s="2345">
        <f>ROUND(AVERAGE(I7:I$37)/100,4)</f>
        <v>1.72E-2</v>
      </c>
      <c r="AE7" s="2345">
        <f>ROUND(AVERAGE(J7:J$37)/100,4)</f>
        <v>1.09E-2</v>
      </c>
      <c r="AF7" s="2345">
        <f t="shared" ref="AF7" si="34">AE7</f>
        <v>1.09E-2</v>
      </c>
      <c r="AG7" s="2345">
        <f>ROUND(AVERAGE(K7:K$37)/100,4)</f>
        <v>1.89E-2</v>
      </c>
      <c r="AH7" s="2345">
        <f>ROUND(AVERAGE(L7:L$37)/100,4)</f>
        <v>1.26E-2</v>
      </c>
    </row>
    <row r="8" spans="1:34" s="2346" customFormat="1" ht="14.45" customHeight="1">
      <c r="A8" s="2339" t="s">
        <v>2826</v>
      </c>
      <c r="B8" s="2340">
        <f t="shared" ref="B8" si="35">B9*(1+N8)</f>
        <v>502.50893609650217</v>
      </c>
      <c r="C8" s="2340">
        <f t="shared" ref="C8" si="36">C9*(1+O8)</f>
        <v>350.27569313914915</v>
      </c>
      <c r="D8" s="2340">
        <f t="shared" ref="D8" si="37">C8</f>
        <v>350.27569313914915</v>
      </c>
      <c r="E8" s="2340">
        <f t="shared" ref="E8" si="38">E9*(1+P8)</f>
        <v>725.27220201394141</v>
      </c>
      <c r="F8" s="2340">
        <f t="shared" ref="F8" si="39">F9*(1+Q8)</f>
        <v>332.45017846012797</v>
      </c>
      <c r="G8" s="3130">
        <v>2021</v>
      </c>
      <c r="H8" s="2341">
        <v>2</v>
      </c>
      <c r="I8" s="3131">
        <v>0.92</v>
      </c>
      <c r="J8" s="3131">
        <v>0.72</v>
      </c>
      <c r="K8" s="3131">
        <v>0.95</v>
      </c>
      <c r="L8" s="3132">
        <v>1.01</v>
      </c>
      <c r="M8" s="2343"/>
      <c r="N8" s="2344">
        <f t="shared" ref="N8" si="40">I8/100</f>
        <v>9.1999999999999998E-3</v>
      </c>
      <c r="O8" s="2345">
        <f t="shared" ref="O8" si="41">J8/100</f>
        <v>7.1999999999999998E-3</v>
      </c>
      <c r="P8" s="2345">
        <f t="shared" ref="P8" si="42">K8/100</f>
        <v>9.4999999999999998E-3</v>
      </c>
      <c r="Q8" s="2345">
        <f t="shared" ref="Q8" si="43">L8/100</f>
        <v>1.01E-2</v>
      </c>
      <c r="R8" s="2343"/>
      <c r="S8" s="2344"/>
      <c r="T8" s="2345"/>
      <c r="U8" s="2345"/>
      <c r="V8" s="2345"/>
      <c r="W8" s="2343"/>
      <c r="X8" s="2343">
        <f>ROUND(SUMPRODUCT(PRODUCT(1+N8:N$36)),4)</f>
        <v>1.6338999999999999</v>
      </c>
      <c r="Y8" s="2343">
        <f>ROUND(SUMPRODUCT(PRODUCT(1+O8:O$36)),4)</f>
        <v>1.3588</v>
      </c>
      <c r="Z8" s="2343">
        <f t="shared" ref="Z8" si="44">Y8</f>
        <v>1.3588</v>
      </c>
      <c r="AA8" s="2343">
        <f>ROUND(SUMPRODUCT(PRODUCT(1+P8:P$36)),4)</f>
        <v>1.7150000000000001</v>
      </c>
      <c r="AB8" s="2343">
        <f>ROUND(SUMPRODUCT(PRODUCT(1+Q8:Q$36)),4)</f>
        <v>1.446</v>
      </c>
      <c r="AC8" s="2343"/>
      <c r="AD8" s="2345">
        <f>ROUND(AVERAGE(I8:I$37)/100,4)</f>
        <v>1.7600000000000001E-2</v>
      </c>
      <c r="AE8" s="2345">
        <f>ROUND(AVERAGE(J8:J$37)/100,4)</f>
        <v>1.11E-2</v>
      </c>
      <c r="AF8" s="2345">
        <f t="shared" ref="AF8" si="45">AE8</f>
        <v>1.11E-2</v>
      </c>
      <c r="AG8" s="2345">
        <f>ROUND(AVERAGE(K8:K$37)/100,4)</f>
        <v>1.9400000000000001E-2</v>
      </c>
      <c r="AH8" s="2345">
        <f>ROUND(AVERAGE(L8:L$37)/100,4)</f>
        <v>1.2800000000000001E-2</v>
      </c>
    </row>
    <row r="9" spans="1:34" s="2346" customFormat="1" ht="14.45" customHeight="1">
      <c r="A9" s="2339" t="s">
        <v>2825</v>
      </c>
      <c r="B9" s="2340">
        <f t="shared" ref="B9" si="46">B10*(1+N9)</f>
        <v>497.92799851020823</v>
      </c>
      <c r="C9" s="2340">
        <f t="shared" ref="C9" si="47">C10*(1+O9)</f>
        <v>347.77173663537445</v>
      </c>
      <c r="D9" s="2340">
        <f t="shared" ref="D9" si="48">C9</f>
        <v>347.77173663537445</v>
      </c>
      <c r="E9" s="2340">
        <f t="shared" ref="E9" si="49">E10*(1+P9)</f>
        <v>718.44695593258189</v>
      </c>
      <c r="F9" s="2340">
        <f t="shared" ref="F9" si="50">F10*(1+Q9)</f>
        <v>329.12600580153247</v>
      </c>
      <c r="G9" s="3129">
        <v>2021</v>
      </c>
      <c r="H9" s="2341">
        <v>1</v>
      </c>
      <c r="I9" s="3131">
        <v>0.97</v>
      </c>
      <c r="J9" s="3131">
        <v>0.16</v>
      </c>
      <c r="K9" s="3131">
        <v>1.1100000000000001</v>
      </c>
      <c r="L9" s="3132">
        <v>0.36</v>
      </c>
      <c r="M9" s="2343"/>
      <c r="N9" s="2344">
        <f t="shared" ref="N9" si="51">I9/100</f>
        <v>9.7000000000000003E-3</v>
      </c>
      <c r="O9" s="2345">
        <f t="shared" ref="O9" si="52">J9/100</f>
        <v>1.6000000000000001E-3</v>
      </c>
      <c r="P9" s="2345">
        <f t="shared" ref="P9" si="53">K9/100</f>
        <v>1.11E-2</v>
      </c>
      <c r="Q9" s="2345">
        <f t="shared" ref="Q9" si="54">L9/100</f>
        <v>3.5999999999999999E-3</v>
      </c>
      <c r="R9" s="2343"/>
      <c r="S9" s="2344">
        <f>B9/B10-1</f>
        <v>9.7000000000000419E-3</v>
      </c>
      <c r="T9" s="2345">
        <f>C9/C10-1</f>
        <v>1.6000000000000458E-3</v>
      </c>
      <c r="U9" s="2345">
        <f>E9/E10-1</f>
        <v>1.110000000000011E-2</v>
      </c>
      <c r="V9" s="2345">
        <f>F9/F10-1</f>
        <v>3.6000000000000476E-3</v>
      </c>
      <c r="W9" s="2343"/>
      <c r="X9" s="2343">
        <f>ROUND(SUMPRODUCT(PRODUCT(1+N9:N$36)),4)</f>
        <v>1.619</v>
      </c>
      <c r="Y9" s="2343">
        <f>ROUND(SUMPRODUCT(PRODUCT(1+O9:O$36)),4)</f>
        <v>1.3491</v>
      </c>
      <c r="Z9" s="2343">
        <f t="shared" ref="Z9" si="55">Y9</f>
        <v>1.3491</v>
      </c>
      <c r="AA9" s="2343">
        <f>ROUND(SUMPRODUCT(PRODUCT(1+P9:P$36)),4)</f>
        <v>1.6988000000000001</v>
      </c>
      <c r="AB9" s="2343">
        <f>ROUND(SUMPRODUCT(PRODUCT(1+Q9:Q$36)),4)</f>
        <v>1.4315</v>
      </c>
      <c r="AC9" s="2343"/>
      <c r="AD9" s="2345">
        <f>ROUND(AVERAGE(I9:I$37)/100,4)</f>
        <v>1.7899999999999999E-2</v>
      </c>
      <c r="AE9" s="2345">
        <f>ROUND(AVERAGE(J9:J$37)/100,4)</f>
        <v>1.12E-2</v>
      </c>
      <c r="AF9" s="2345">
        <f t="shared" ref="AF9" si="56">AE9</f>
        <v>1.12E-2</v>
      </c>
      <c r="AG9" s="2345">
        <f>ROUND(AVERAGE(K9:K$37)/100,4)</f>
        <v>1.9699999999999999E-2</v>
      </c>
      <c r="AH9" s="2345">
        <f>ROUND(AVERAGE(L9:L$37)/100,4)</f>
        <v>1.29E-2</v>
      </c>
    </row>
    <row r="10" spans="1:34" s="2346" customFormat="1" ht="14.45" customHeight="1">
      <c r="A10" s="2339" t="s">
        <v>2819</v>
      </c>
      <c r="B10" s="2340">
        <f t="shared" ref="B10" si="57">B11*(1+N10)</f>
        <v>493.14449689037161</v>
      </c>
      <c r="C10" s="2340">
        <f t="shared" ref="C10" si="58">C11*(1+O10)</f>
        <v>347.21619073020611</v>
      </c>
      <c r="D10" s="2340">
        <f t="shared" ref="D10" si="59">C10</f>
        <v>347.21619073020611</v>
      </c>
      <c r="E10" s="2340">
        <f t="shared" ref="E10" si="60">E11*(1+P10)</f>
        <v>710.55974278763904</v>
      </c>
      <c r="F10" s="2340">
        <f t="shared" ref="F10" si="61">F11*(1+Q10)</f>
        <v>327.94540235306141</v>
      </c>
      <c r="G10" s="3120">
        <v>2020</v>
      </c>
      <c r="H10" s="2341">
        <v>4</v>
      </c>
      <c r="I10" s="2341">
        <v>2.0699999999999998</v>
      </c>
      <c r="J10" s="2341">
        <v>0.37</v>
      </c>
      <c r="K10" s="2341">
        <v>2.35</v>
      </c>
      <c r="L10" s="2342">
        <v>2.69</v>
      </c>
      <c r="M10" s="2343"/>
      <c r="N10" s="2344">
        <f t="shared" ref="N10" si="62">I10/100</f>
        <v>2.07E-2</v>
      </c>
      <c r="O10" s="2345">
        <f t="shared" ref="O10" si="63">J10/100</f>
        <v>3.7000000000000002E-3</v>
      </c>
      <c r="P10" s="2345">
        <f t="shared" ref="P10" si="64">K10/100</f>
        <v>2.35E-2</v>
      </c>
      <c r="Q10" s="2345">
        <f t="shared" ref="Q10" si="65">L10/100</f>
        <v>2.69E-2</v>
      </c>
      <c r="R10" s="2343"/>
      <c r="S10" s="2344"/>
      <c r="T10" s="2345"/>
      <c r="U10" s="2345"/>
      <c r="V10" s="2345"/>
      <c r="W10" s="2343"/>
      <c r="X10" s="2343">
        <f>ROUND(SUMPRODUCT(PRODUCT(1+N10:N$36)),4)</f>
        <v>1.6034999999999999</v>
      </c>
      <c r="Y10" s="2343">
        <f>ROUND(SUMPRODUCT(PRODUCT(1+O10:O$36)),4)</f>
        <v>1.3469</v>
      </c>
      <c r="Z10" s="2343">
        <f t="shared" ref="Z10" si="66">Y10</f>
        <v>1.3469</v>
      </c>
      <c r="AA10" s="2343">
        <f>ROUND(SUMPRODUCT(PRODUCT(1+P10:P$36)),4)</f>
        <v>1.6801999999999999</v>
      </c>
      <c r="AB10" s="2343">
        <f>ROUND(SUMPRODUCT(PRODUCT(1+Q10:Q$36)),4)</f>
        <v>1.4263999999999999</v>
      </c>
      <c r="AC10" s="2343"/>
      <c r="AD10" s="2345">
        <f>ROUND(AVERAGE(I10:I$37)/100,4)</f>
        <v>1.8200000000000001E-2</v>
      </c>
      <c r="AE10" s="2345">
        <f>ROUND(AVERAGE(J10:J$37)/100,4)</f>
        <v>1.1599999999999999E-2</v>
      </c>
      <c r="AF10" s="2345">
        <f t="shared" ref="AF10" si="67">AE10</f>
        <v>1.1599999999999999E-2</v>
      </c>
      <c r="AG10" s="2345">
        <f>ROUND(AVERAGE(K10:K$37)/100,4)</f>
        <v>0.02</v>
      </c>
      <c r="AH10" s="2345">
        <f>ROUND(AVERAGE(L10:L$37)/100,4)</f>
        <v>1.3299999999999999E-2</v>
      </c>
    </row>
    <row r="11" spans="1:34" s="2346" customFormat="1" ht="14.45" customHeight="1">
      <c r="A11" s="2339" t="s">
        <v>2818</v>
      </c>
      <c r="B11" s="2340">
        <f t="shared" ref="B11" si="68">B12*(1+N11)</f>
        <v>483.1434279321756</v>
      </c>
      <c r="C11" s="2340">
        <f t="shared" ref="C11" si="69">C12*(1+O11)</f>
        <v>345.93622669144776</v>
      </c>
      <c r="D11" s="2340">
        <f t="shared" ref="D11" si="70">C11</f>
        <v>345.93622669144776</v>
      </c>
      <c r="E11" s="2340">
        <f t="shared" ref="E11" si="71">E12*(1+P11)</f>
        <v>694.24498562544113</v>
      </c>
      <c r="F11" s="2340">
        <f t="shared" ref="F11" si="72">F12*(1+Q11)</f>
        <v>319.35475932716082</v>
      </c>
      <c r="G11" s="3119">
        <v>2020</v>
      </c>
      <c r="H11" s="2341">
        <v>3</v>
      </c>
      <c r="I11" s="2341">
        <v>0.36</v>
      </c>
      <c r="J11" s="2341">
        <v>-0.39</v>
      </c>
      <c r="K11" s="2341">
        <v>0.49</v>
      </c>
      <c r="L11" s="2342">
        <v>7.0000000000000007E-2</v>
      </c>
      <c r="M11" s="2343"/>
      <c r="N11" s="2344">
        <f t="shared" ref="N11" si="73">I11/100</f>
        <v>3.5999999999999999E-3</v>
      </c>
      <c r="O11" s="2345">
        <f t="shared" ref="O11" si="74">J11/100</f>
        <v>-3.9000000000000003E-3</v>
      </c>
      <c r="P11" s="2345">
        <f t="shared" ref="P11" si="75">K11/100</f>
        <v>4.8999999999999998E-3</v>
      </c>
      <c r="Q11" s="2345">
        <f t="shared" ref="Q11" si="76">L11/100</f>
        <v>7.000000000000001E-4</v>
      </c>
      <c r="R11" s="2343"/>
      <c r="S11" s="2344"/>
      <c r="T11" s="2345"/>
      <c r="U11" s="2345"/>
      <c r="V11" s="2345"/>
      <c r="W11" s="2343"/>
      <c r="X11" s="2343">
        <f>ROUND(SUMPRODUCT(PRODUCT(1+N11:N$36)),4)</f>
        <v>1.571</v>
      </c>
      <c r="Y11" s="2343">
        <f>ROUND(SUMPRODUCT(PRODUCT(1+O11:O$36)),4)</f>
        <v>1.3420000000000001</v>
      </c>
      <c r="Z11" s="2343">
        <f t="shared" ref="Z11" si="77">Y11</f>
        <v>1.3420000000000001</v>
      </c>
      <c r="AA11" s="2343">
        <f>ROUND(SUMPRODUCT(PRODUCT(1+P11:P$36)),4)</f>
        <v>1.6415999999999999</v>
      </c>
      <c r="AB11" s="2343">
        <f>ROUND(SUMPRODUCT(PRODUCT(1+Q11:Q$36)),4)</f>
        <v>1.389</v>
      </c>
      <c r="AC11" s="2343"/>
      <c r="AD11" s="2345">
        <f>ROUND(AVERAGE(I11:I$37)/100,4)</f>
        <v>1.8100000000000002E-2</v>
      </c>
      <c r="AE11" s="2345">
        <f>ROUND(AVERAGE(J11:J$37)/100,4)</f>
        <v>1.1900000000000001E-2</v>
      </c>
      <c r="AF11" s="2345">
        <f t="shared" ref="AF11" si="78">AE11</f>
        <v>1.1900000000000001E-2</v>
      </c>
      <c r="AG11" s="2345">
        <f>ROUND(AVERAGE(K11:K$37)/100,4)</f>
        <v>1.9900000000000001E-2</v>
      </c>
      <c r="AH11" s="2345">
        <f>ROUND(AVERAGE(L11:L$37)/100,4)</f>
        <v>1.2800000000000001E-2</v>
      </c>
    </row>
    <row r="12" spans="1:34" s="2346" customFormat="1" ht="14.45" customHeight="1">
      <c r="A12" s="2339" t="s">
        <v>2679</v>
      </c>
      <c r="B12" s="2340">
        <f t="shared" ref="B12" si="79">B13*(1+N12)</f>
        <v>481.4103506697644</v>
      </c>
      <c r="C12" s="2340">
        <f t="shared" ref="C12" si="80">C13*(1+O12)</f>
        <v>347.29066026648707</v>
      </c>
      <c r="D12" s="2340">
        <f t="shared" ref="D12" si="81">C12</f>
        <v>347.29066026648707</v>
      </c>
      <c r="E12" s="2340">
        <f t="shared" ref="E12" si="82">E13*(1+P12)</f>
        <v>690.85977273901995</v>
      </c>
      <c r="F12" s="2340">
        <f t="shared" ref="F12" si="83">F13*(1+Q12)</f>
        <v>319.13136737000184</v>
      </c>
      <c r="G12" s="2330">
        <v>2020</v>
      </c>
      <c r="H12" s="2341">
        <v>2</v>
      </c>
      <c r="I12" s="2341">
        <v>0.31</v>
      </c>
      <c r="J12" s="2341">
        <v>-0.78</v>
      </c>
      <c r="K12" s="2341">
        <v>0.5</v>
      </c>
      <c r="L12" s="2342">
        <v>0.47</v>
      </c>
      <c r="M12" s="2343"/>
      <c r="N12" s="2344">
        <f t="shared" ref="N12" si="84">I12/100</f>
        <v>3.0999999999999999E-3</v>
      </c>
      <c r="O12" s="2345">
        <f t="shared" ref="O12" si="85">J12/100</f>
        <v>-7.8000000000000005E-3</v>
      </c>
      <c r="P12" s="2345">
        <f t="shared" ref="P12" si="86">K12/100</f>
        <v>5.0000000000000001E-3</v>
      </c>
      <c r="Q12" s="2345">
        <f t="shared" ref="Q12" si="87">L12/100</f>
        <v>4.6999999999999993E-3</v>
      </c>
      <c r="R12" s="2343"/>
      <c r="S12" s="2344"/>
      <c r="T12" s="2345"/>
      <c r="U12" s="2345"/>
      <c r="V12" s="2345"/>
      <c r="W12" s="2343"/>
      <c r="X12" s="2343">
        <f>ROUND(SUMPRODUCT(PRODUCT(1+N12:N$36)),4)</f>
        <v>1.5652999999999999</v>
      </c>
      <c r="Y12" s="2343">
        <f>ROUND(SUMPRODUCT(PRODUCT(1+O12:O$36)),4)</f>
        <v>1.3472</v>
      </c>
      <c r="Z12" s="2343">
        <f t="shared" ref="Z12" si="88">Y12</f>
        <v>1.3472</v>
      </c>
      <c r="AA12" s="2343">
        <f>ROUND(SUMPRODUCT(PRODUCT(1+P12:P$36)),4)</f>
        <v>1.6335999999999999</v>
      </c>
      <c r="AB12" s="2343">
        <f>ROUND(SUMPRODUCT(PRODUCT(1+Q12:Q$36)),4)</f>
        <v>1.3880999999999999</v>
      </c>
      <c r="AC12" s="2343"/>
      <c r="AD12" s="2345">
        <f>ROUND(AVERAGE(I12:I$37)/100,4)</f>
        <v>1.8599999999999998E-2</v>
      </c>
      <c r="AE12" s="2345">
        <f>ROUND(AVERAGE(J12:J$37)/100,4)</f>
        <v>1.2500000000000001E-2</v>
      </c>
      <c r="AF12" s="2345">
        <f t="shared" ref="AF12" si="89">AE12</f>
        <v>1.2500000000000001E-2</v>
      </c>
      <c r="AG12" s="2345">
        <f>ROUND(AVERAGE(K12:K$37)/100,4)</f>
        <v>2.0400000000000001E-2</v>
      </c>
      <c r="AH12" s="2345">
        <f>ROUND(AVERAGE(L12:L$37)/100,4)</f>
        <v>1.32E-2</v>
      </c>
    </row>
    <row r="13" spans="1:34" s="2346" customFormat="1" ht="14.45" customHeight="1">
      <c r="A13" s="2339" t="s">
        <v>2676</v>
      </c>
      <c r="B13" s="2340">
        <f t="shared" ref="B13" si="90">B14*(1+N13)</f>
        <v>479.92259063878413</v>
      </c>
      <c r="C13" s="2340">
        <f t="shared" ref="C13" si="91">C14*(1+O13)</f>
        <v>350.02082268341775</v>
      </c>
      <c r="D13" s="2340">
        <f t="shared" ref="D13" si="92">C13</f>
        <v>350.02082268341775</v>
      </c>
      <c r="E13" s="2340">
        <f t="shared" ref="E13" si="93">E14*(1+P13)</f>
        <v>687.42265944181099</v>
      </c>
      <c r="F13" s="2340">
        <f t="shared" ref="F13" si="94">F14*(1+Q13)</f>
        <v>317.63846657708956</v>
      </c>
      <c r="G13" s="2330">
        <v>2020</v>
      </c>
      <c r="H13" s="2341">
        <v>1</v>
      </c>
      <c r="I13" s="2341">
        <v>0.12</v>
      </c>
      <c r="J13" s="2341">
        <v>-0.4</v>
      </c>
      <c r="K13" s="2341">
        <v>0.21</v>
      </c>
      <c r="L13" s="2342">
        <v>0.27</v>
      </c>
      <c r="M13" s="2343"/>
      <c r="N13" s="2344">
        <f t="shared" ref="N13" si="95">I13/100</f>
        <v>1.1999999999999999E-3</v>
      </c>
      <c r="O13" s="2345">
        <f t="shared" ref="O13" si="96">J13/100</f>
        <v>-4.0000000000000001E-3</v>
      </c>
      <c r="P13" s="2345">
        <f t="shared" ref="P13" si="97">K13/100</f>
        <v>2.0999999999999999E-3</v>
      </c>
      <c r="Q13" s="2345">
        <f t="shared" ref="Q13" si="98">L13/100</f>
        <v>2.7000000000000001E-3</v>
      </c>
      <c r="R13" s="2343"/>
      <c r="S13" s="2344">
        <f>B13/B14-1</f>
        <v>1.2000000000000899E-3</v>
      </c>
      <c r="T13" s="2345">
        <f>C13/C14-1</f>
        <v>-4.0000000000000036E-3</v>
      </c>
      <c r="U13" s="2345">
        <f>E13/E14-1</f>
        <v>2.0999999999999908E-3</v>
      </c>
      <c r="V13" s="2345">
        <f>F13/F14-1</f>
        <v>2.6999999999999247E-3</v>
      </c>
      <c r="W13" s="2343"/>
      <c r="X13" s="2343">
        <f>ROUND(SUMPRODUCT(PRODUCT(1+N13:N$36)),4)</f>
        <v>1.5605</v>
      </c>
      <c r="Y13" s="2343">
        <f>ROUND(SUMPRODUCT(PRODUCT(1+O13:O$36)),4)</f>
        <v>1.3577999999999999</v>
      </c>
      <c r="Z13" s="2343">
        <f t="shared" ref="Z13" si="99">Y13</f>
        <v>1.3577999999999999</v>
      </c>
      <c r="AA13" s="2343">
        <f>ROUND(SUMPRODUCT(PRODUCT(1+P13:P$36)),4)</f>
        <v>1.6254999999999999</v>
      </c>
      <c r="AB13" s="2343">
        <f>ROUND(SUMPRODUCT(PRODUCT(1+Q13:Q$36)),4)</f>
        <v>1.3815999999999999</v>
      </c>
      <c r="AC13" s="2343"/>
      <c r="AD13" s="2345">
        <f>ROUND(AVERAGE(I13:I$37)/100,4)</f>
        <v>1.9199999999999998E-2</v>
      </c>
      <c r="AE13" s="2345">
        <f>ROUND(AVERAGE(J13:J$37)/100,4)</f>
        <v>1.3299999999999999E-2</v>
      </c>
      <c r="AF13" s="2345">
        <f t="shared" ref="AF13" si="100">AE13</f>
        <v>1.3299999999999999E-2</v>
      </c>
      <c r="AG13" s="2345">
        <f>ROUND(AVERAGE(K13:K$37)/100,4)</f>
        <v>2.1100000000000001E-2</v>
      </c>
      <c r="AH13" s="2345">
        <f>ROUND(AVERAGE(L13:L$37)/100,4)</f>
        <v>1.3599999999999999E-2</v>
      </c>
    </row>
    <row r="14" spans="1:34" s="2346" customFormat="1" ht="14.45" customHeight="1">
      <c r="A14" s="2339" t="s">
        <v>2674</v>
      </c>
      <c r="B14" s="2340">
        <f t="shared" ref="B14:B19" si="101">B15*(1+N14)</f>
        <v>479.34737379023579</v>
      </c>
      <c r="C14" s="2340">
        <f t="shared" ref="C14" si="102">C15*(1+O14)</f>
        <v>351.4265287986122</v>
      </c>
      <c r="D14" s="2340">
        <f t="shared" ref="D14" si="103">C14</f>
        <v>351.4265287986122</v>
      </c>
      <c r="E14" s="2340">
        <f t="shared" ref="E14" si="104">E15*(1+P14)</f>
        <v>685.98209703803116</v>
      </c>
      <c r="F14" s="2340">
        <f t="shared" ref="F14" si="105">F15*(1+Q14)</f>
        <v>316.78315206651001</v>
      </c>
      <c r="G14" s="2330">
        <v>2019</v>
      </c>
      <c r="H14" s="2341">
        <v>4</v>
      </c>
      <c r="I14" s="2341">
        <v>0.45</v>
      </c>
      <c r="J14" s="2341">
        <v>-0.12</v>
      </c>
      <c r="K14" s="2341">
        <v>0.54</v>
      </c>
      <c r="L14" s="2342">
        <v>0.48</v>
      </c>
      <c r="M14" s="2343"/>
      <c r="N14" s="2344">
        <f t="shared" ref="N14:N19" si="106">I14/100</f>
        <v>4.5000000000000005E-3</v>
      </c>
      <c r="O14" s="2345">
        <f t="shared" ref="O14" si="107">J14/100</f>
        <v>-1.1999999999999999E-3</v>
      </c>
      <c r="P14" s="2345">
        <f t="shared" ref="P14" si="108">K14/100</f>
        <v>5.4000000000000003E-3</v>
      </c>
      <c r="Q14" s="2345">
        <f t="shared" ref="Q14" si="109">L14/100</f>
        <v>4.7999999999999996E-3</v>
      </c>
      <c r="R14" s="2343"/>
      <c r="S14" s="2344"/>
      <c r="T14" s="2345"/>
      <c r="U14" s="2345"/>
      <c r="V14" s="2345"/>
      <c r="W14" s="2343"/>
      <c r="X14" s="2343">
        <f>ROUND(SUMPRODUCT(PRODUCT(1+N14:N$36)),4)</f>
        <v>1.5586</v>
      </c>
      <c r="Y14" s="2343">
        <f>ROUND(SUMPRODUCT(PRODUCT(1+O14:O$36)),4)</f>
        <v>1.3633</v>
      </c>
      <c r="Z14" s="2343">
        <f t="shared" ref="Z14" si="110">Y14</f>
        <v>1.3633</v>
      </c>
      <c r="AA14" s="2343">
        <f>ROUND(SUMPRODUCT(PRODUCT(1+P14:P$36)),4)</f>
        <v>1.6221000000000001</v>
      </c>
      <c r="AB14" s="2343">
        <f>ROUND(SUMPRODUCT(PRODUCT(1+Q14:Q$36)),4)</f>
        <v>1.3777999999999999</v>
      </c>
      <c r="AC14" s="2343"/>
      <c r="AD14" s="2345">
        <f>ROUND(AVERAGE(I14:I$37)/100,4)</f>
        <v>0.02</v>
      </c>
      <c r="AE14" s="2345">
        <f>ROUND(AVERAGE(J14:J$37)/100,4)</f>
        <v>1.4E-2</v>
      </c>
      <c r="AF14" s="2345">
        <f t="shared" ref="AF14" si="111">AE14</f>
        <v>1.4E-2</v>
      </c>
      <c r="AG14" s="2345">
        <f>ROUND(AVERAGE(K14:K$37)/100,4)</f>
        <v>2.1899999999999999E-2</v>
      </c>
      <c r="AH14" s="2345">
        <f>ROUND(AVERAGE(L14:L$37)/100,4)</f>
        <v>1.4E-2</v>
      </c>
    </row>
    <row r="15" spans="1:34" s="2346" customFormat="1" ht="14.45" customHeight="1" thickBot="1">
      <c r="A15" s="2339" t="s">
        <v>2671</v>
      </c>
      <c r="B15" s="2340">
        <f t="shared" si="101"/>
        <v>477.19997390765138</v>
      </c>
      <c r="C15" s="2340">
        <f t="shared" ref="C15" si="112">C16*(1+O15)</f>
        <v>351.84874729536665</v>
      </c>
      <c r="D15" s="2340">
        <f t="shared" ref="D15" si="113">C15</f>
        <v>351.84874729536665</v>
      </c>
      <c r="E15" s="2340">
        <f t="shared" ref="E15" si="114">E16*(1+P15)</f>
        <v>682.29768951465201</v>
      </c>
      <c r="F15" s="2340">
        <f t="shared" ref="F15" si="115">F16*(1+Q15)</f>
        <v>315.26985675409043</v>
      </c>
      <c r="G15" s="2330">
        <v>2019</v>
      </c>
      <c r="H15" s="2341">
        <v>3</v>
      </c>
      <c r="I15" s="2341">
        <v>0.61</v>
      </c>
      <c r="J15" s="2341">
        <v>0.67</v>
      </c>
      <c r="K15" s="2341">
        <v>0.6</v>
      </c>
      <c r="L15" s="2342">
        <v>1.03</v>
      </c>
      <c r="M15" s="2343"/>
      <c r="N15" s="2344">
        <f t="shared" si="106"/>
        <v>6.0999999999999995E-3</v>
      </c>
      <c r="O15" s="2345">
        <f t="shared" ref="O15" si="116">J15/100</f>
        <v>6.7000000000000002E-3</v>
      </c>
      <c r="P15" s="2345">
        <f t="shared" ref="P15" si="117">K15/100</f>
        <v>6.0000000000000001E-3</v>
      </c>
      <c r="Q15" s="2345">
        <f t="shared" ref="Q15" si="118">L15/100</f>
        <v>1.03E-2</v>
      </c>
      <c r="R15" s="2343"/>
      <c r="S15" s="2344"/>
      <c r="T15" s="2345"/>
      <c r="U15" s="2345"/>
      <c r="V15" s="2345"/>
      <c r="W15" s="2343"/>
      <c r="X15" s="2343">
        <f>ROUND(SUMPRODUCT(PRODUCT(1+N15:N$36)),4)</f>
        <v>1.5516000000000001</v>
      </c>
      <c r="Y15" s="2343">
        <f>ROUND(SUMPRODUCT(PRODUCT(1+O15:O$36)),4)</f>
        <v>1.3649</v>
      </c>
      <c r="Z15" s="2343">
        <f t="shared" ref="Z15" si="119">Y15</f>
        <v>1.3649</v>
      </c>
      <c r="AA15" s="2343">
        <f>ROUND(SUMPRODUCT(PRODUCT(1+P15:P$36)),4)</f>
        <v>1.6133999999999999</v>
      </c>
      <c r="AB15" s="2343">
        <f>ROUND(SUMPRODUCT(PRODUCT(1+Q15:Q$36)),4)</f>
        <v>1.3713</v>
      </c>
      <c r="AC15" s="2343"/>
      <c r="AD15" s="2345">
        <f>ROUND(AVERAGE(I15:I$37)/100,4)</f>
        <v>2.07E-2</v>
      </c>
      <c r="AE15" s="2345">
        <f>ROUND(AVERAGE(J15:J$37)/100,4)</f>
        <v>1.47E-2</v>
      </c>
      <c r="AF15" s="2345">
        <f t="shared" ref="AF15" si="120">AE15</f>
        <v>1.47E-2</v>
      </c>
      <c r="AG15" s="2345">
        <f>ROUND(AVERAGE(K15:K$37)/100,4)</f>
        <v>2.2599999999999999E-2</v>
      </c>
      <c r="AH15" s="2345">
        <f>ROUND(AVERAGE(L15:L$37)/100,4)</f>
        <v>1.44E-2</v>
      </c>
    </row>
    <row r="16" spans="1:34" s="2346" customFormat="1" ht="14.45" customHeight="1">
      <c r="A16" s="2339" t="s">
        <v>2665</v>
      </c>
      <c r="B16" s="2340">
        <f t="shared" si="101"/>
        <v>474.30670301923408</v>
      </c>
      <c r="C16" s="2340">
        <f t="shared" ref="C16" si="121">C17*(1+O16)</f>
        <v>349.50705005996491</v>
      </c>
      <c r="D16" s="2340">
        <f t="shared" ref="D16" si="122">C16</f>
        <v>349.50705005996491</v>
      </c>
      <c r="E16" s="2340">
        <f t="shared" ref="E16" si="123">E17*(1+P16)</f>
        <v>678.22831959706957</v>
      </c>
      <c r="F16" s="2340">
        <f t="shared" ref="F16" si="124">F17*(1+Q16)</f>
        <v>312.0556832169558</v>
      </c>
      <c r="G16" s="2330">
        <v>2019</v>
      </c>
      <c r="H16" s="2347">
        <v>2</v>
      </c>
      <c r="I16" s="2347">
        <v>1.53</v>
      </c>
      <c r="J16" s="2347">
        <v>1.01</v>
      </c>
      <c r="K16" s="2347">
        <v>1.62</v>
      </c>
      <c r="L16" s="2348">
        <v>1.25</v>
      </c>
      <c r="M16" s="2343"/>
      <c r="N16" s="2344">
        <f t="shared" si="106"/>
        <v>1.5300000000000001E-2</v>
      </c>
      <c r="O16" s="2345">
        <f t="shared" ref="O16" si="125">J16/100</f>
        <v>1.01E-2</v>
      </c>
      <c r="P16" s="2345">
        <f t="shared" ref="P16" si="126">K16/100</f>
        <v>1.6200000000000003E-2</v>
      </c>
      <c r="Q16" s="2345">
        <f t="shared" ref="Q16" si="127">L16/100</f>
        <v>1.2500000000000001E-2</v>
      </c>
      <c r="R16" s="2343"/>
      <c r="S16" s="2344"/>
      <c r="T16" s="2345"/>
      <c r="U16" s="2345"/>
      <c r="V16" s="2345"/>
      <c r="W16" s="2343"/>
      <c r="X16" s="2343">
        <f>ROUND(SUMPRODUCT(PRODUCT(1+N16:N$36)),4)</f>
        <v>1.5422</v>
      </c>
      <c r="Y16" s="2343">
        <f>ROUND(SUMPRODUCT(PRODUCT(1+O16:O$36)),4)</f>
        <v>1.3557999999999999</v>
      </c>
      <c r="Z16" s="2343">
        <f t="shared" ref="Z16" si="128">Y16</f>
        <v>1.3557999999999999</v>
      </c>
      <c r="AA16" s="2343">
        <f>ROUND(SUMPRODUCT(PRODUCT(1+P16:P$36)),4)</f>
        <v>1.6036999999999999</v>
      </c>
      <c r="AB16" s="2343">
        <f>ROUND(SUMPRODUCT(PRODUCT(1+Q16:Q$36)),4)</f>
        <v>1.3573</v>
      </c>
      <c r="AC16" s="2343"/>
      <c r="AD16" s="2345">
        <f>ROUND(AVERAGE(I16:I$37)/100,4)</f>
        <v>2.1299999999999999E-2</v>
      </c>
      <c r="AE16" s="2345">
        <f>ROUND(AVERAGE(J16:J$37)/100,4)</f>
        <v>1.4999999999999999E-2</v>
      </c>
      <c r="AF16" s="2345">
        <f t="shared" ref="AF16" si="129">AE16</f>
        <v>1.4999999999999999E-2</v>
      </c>
      <c r="AG16" s="2345">
        <f>ROUND(AVERAGE(K16:K$37)/100,4)</f>
        <v>2.3300000000000001E-2</v>
      </c>
      <c r="AH16" s="2345">
        <f>ROUND(AVERAGE(L16:L$37)/100,4)</f>
        <v>1.46E-2</v>
      </c>
    </row>
    <row r="17" spans="1:34" s="2346" customFormat="1" ht="14.45" customHeight="1" thickBot="1">
      <c r="A17" s="2339" t="s">
        <v>2666</v>
      </c>
      <c r="B17" s="2340">
        <f t="shared" si="101"/>
        <v>467.15916775261894</v>
      </c>
      <c r="C17" s="2340">
        <f t="shared" ref="C17" si="130">C18*(1+O17)</f>
        <v>346.01232557169084</v>
      </c>
      <c r="D17" s="2340">
        <f t="shared" ref="D17" si="131">C17</f>
        <v>346.01232557169084</v>
      </c>
      <c r="E17" s="2340">
        <f t="shared" ref="E17" si="132">E18*(1+P17)</f>
        <v>667.41617752122568</v>
      </c>
      <c r="F17" s="2340">
        <f t="shared" ref="F17" si="133">F18*(1+Q17)</f>
        <v>308.20314391798104</v>
      </c>
      <c r="G17" s="2330">
        <v>2019</v>
      </c>
      <c r="H17" s="2341">
        <v>1</v>
      </c>
      <c r="I17" s="2341">
        <v>0.6</v>
      </c>
      <c r="J17" s="2341">
        <v>0.37</v>
      </c>
      <c r="K17" s="2341">
        <v>0.63</v>
      </c>
      <c r="L17" s="2342">
        <v>1.1299999999999999</v>
      </c>
      <c r="M17" s="2343"/>
      <c r="N17" s="2344">
        <f t="shared" si="106"/>
        <v>6.0000000000000001E-3</v>
      </c>
      <c r="O17" s="2345">
        <f t="shared" ref="O17" si="134">J17/100</f>
        <v>3.7000000000000002E-3</v>
      </c>
      <c r="P17" s="2345">
        <f t="shared" ref="P17" si="135">K17/100</f>
        <v>6.3E-3</v>
      </c>
      <c r="Q17" s="2345">
        <f t="shared" ref="Q17" si="136">L17/100</f>
        <v>1.1299999999999999E-2</v>
      </c>
      <c r="R17" s="2343"/>
      <c r="S17" s="2344">
        <f>B17/B18-1</f>
        <v>6.0000000000000053E-3</v>
      </c>
      <c r="T17" s="2345">
        <f>C17/C18-1</f>
        <v>3.7000000000000366E-3</v>
      </c>
      <c r="U17" s="2345">
        <f>E17/E18-1</f>
        <v>6.2999999999999723E-3</v>
      </c>
      <c r="V17" s="2345">
        <f>F17/F18-1</f>
        <v>1.1300000000000088E-2</v>
      </c>
      <c r="W17" s="2343"/>
      <c r="X17" s="2343">
        <f>ROUND(SUMPRODUCT(PRODUCT(1+N17:N$36)),4)</f>
        <v>1.5189999999999999</v>
      </c>
      <c r="Y17" s="2343">
        <f>ROUND(SUMPRODUCT(PRODUCT(1+O17:O$36)),4)</f>
        <v>1.3423</v>
      </c>
      <c r="Z17" s="2343">
        <f t="shared" ref="Z17" si="137">Y17</f>
        <v>1.3423</v>
      </c>
      <c r="AA17" s="2343">
        <f>ROUND(SUMPRODUCT(PRODUCT(1+P17:P$36)),4)</f>
        <v>1.5782</v>
      </c>
      <c r="AB17" s="2343">
        <f>ROUND(SUMPRODUCT(PRODUCT(1+Q17:Q$36)),4)</f>
        <v>1.3405</v>
      </c>
      <c r="AC17" s="2343"/>
      <c r="AD17" s="2345">
        <f>ROUND(AVERAGE(I17:I$37)/100,4)</f>
        <v>2.1600000000000001E-2</v>
      </c>
      <c r="AE17" s="2345">
        <f>ROUND(AVERAGE(J17:J$37)/100,4)</f>
        <v>1.5299999999999999E-2</v>
      </c>
      <c r="AF17" s="2345">
        <f t="shared" ref="AF17" si="138">AE17</f>
        <v>1.5299999999999999E-2</v>
      </c>
      <c r="AG17" s="2345">
        <f>ROUND(AVERAGE(K17:K$37)/100,4)</f>
        <v>2.3699999999999999E-2</v>
      </c>
      <c r="AH17" s="2345">
        <f>ROUND(AVERAGE(L17:L$37)/100,4)</f>
        <v>1.47E-2</v>
      </c>
    </row>
    <row r="18" spans="1:34">
      <c r="A18" s="2339" t="s">
        <v>2660</v>
      </c>
      <c r="B18" s="2349">
        <f t="shared" si="101"/>
        <v>464.37293017158942</v>
      </c>
      <c r="C18" s="2349">
        <f t="shared" ref="C18" si="139">C19*(1+O18)</f>
        <v>344.73679941385956</v>
      </c>
      <c r="D18" s="2349">
        <f t="shared" ref="D18" si="140">C18</f>
        <v>344.73679941385956</v>
      </c>
      <c r="E18" s="2349">
        <f t="shared" ref="E18" si="141">E19*(1+P18)</f>
        <v>663.2377795103107</v>
      </c>
      <c r="F18" s="2350">
        <f t="shared" ref="F18" si="142">F19*(1+Q18)</f>
        <v>304.75936311478398</v>
      </c>
      <c r="G18" s="3710">
        <v>2018</v>
      </c>
      <c r="H18" s="2347">
        <v>4</v>
      </c>
      <c r="I18" s="2347">
        <v>0.96</v>
      </c>
      <c r="J18" s="2347">
        <v>1.03</v>
      </c>
      <c r="K18" s="2347">
        <v>0.92</v>
      </c>
      <c r="L18" s="2348">
        <v>1.29</v>
      </c>
      <c r="N18" s="2351">
        <f t="shared" si="106"/>
        <v>9.5999999999999992E-3</v>
      </c>
      <c r="O18" s="2352">
        <f t="shared" ref="O18" si="143">J18/100</f>
        <v>1.03E-2</v>
      </c>
      <c r="P18" s="2352">
        <f t="shared" ref="P18" si="144">K18/100</f>
        <v>9.1999999999999998E-3</v>
      </c>
      <c r="Q18" s="2352">
        <f t="shared" ref="Q18" si="145">L18/100</f>
        <v>1.29E-2</v>
      </c>
      <c r="R18" s="2353"/>
      <c r="S18" s="2354"/>
      <c r="T18" s="2355"/>
      <c r="U18" s="2355"/>
      <c r="V18" s="2355"/>
      <c r="X18" s="2325">
        <f>ROUND(SUMPRODUCT(PRODUCT(1+N18:N$36)),4)</f>
        <v>1.5099</v>
      </c>
      <c r="Y18" s="2325">
        <f>ROUND(SUMPRODUCT(PRODUCT(1+O18:O$36)),4)</f>
        <v>1.3372999999999999</v>
      </c>
      <c r="Z18" s="2325">
        <f t="shared" ref="Z18" si="146">Y18</f>
        <v>1.3372999999999999</v>
      </c>
      <c r="AA18" s="2325">
        <f>ROUND(SUMPRODUCT(PRODUCT(1+P18:P$36)),4)</f>
        <v>1.5683</v>
      </c>
      <c r="AB18" s="2325">
        <f>ROUND(SUMPRODUCT(PRODUCT(1+Q18:Q$36)),4)</f>
        <v>1.3255999999999999</v>
      </c>
      <c r="AD18" s="2326">
        <f>ROUND(AVERAGE(I18:I$37)/100,4)</f>
        <v>2.24E-2</v>
      </c>
      <c r="AE18" s="2326">
        <f>ROUND(AVERAGE(J18:J$37)/100,4)</f>
        <v>1.5800000000000002E-2</v>
      </c>
      <c r="AF18" s="2326">
        <f t="shared" ref="AF18" si="147">AE18</f>
        <v>1.5800000000000002E-2</v>
      </c>
      <c r="AG18" s="2326">
        <f>ROUND(AVERAGE(K18:K$37)/100,4)</f>
        <v>2.4500000000000001E-2</v>
      </c>
      <c r="AH18" s="2326">
        <f>ROUND(AVERAGE(L18:L$37)/100,4)</f>
        <v>1.49E-2</v>
      </c>
    </row>
    <row r="19" spans="1:34" s="2358" customFormat="1" ht="14.45" customHeight="1">
      <c r="A19" s="2339" t="s">
        <v>2655</v>
      </c>
      <c r="B19" s="2356">
        <f t="shared" si="101"/>
        <v>459.95733971036987</v>
      </c>
      <c r="C19" s="2356">
        <f t="shared" ref="C19" si="148">C20*(1+O19)</f>
        <v>341.22221064422405</v>
      </c>
      <c r="D19" s="2356">
        <f t="shared" ref="D19" si="149">C19</f>
        <v>341.22221064422405</v>
      </c>
      <c r="E19" s="2356">
        <f t="shared" ref="E19" si="150">E20*(1+P19)</f>
        <v>657.19161663724799</v>
      </c>
      <c r="F19" s="2356">
        <f t="shared" ref="F19" si="151">F20*(1+Q19)</f>
        <v>300.87803644464805</v>
      </c>
      <c r="G19" s="3710"/>
      <c r="H19" s="2341">
        <v>3</v>
      </c>
      <c r="I19" s="2341">
        <v>1.51</v>
      </c>
      <c r="J19" s="2341">
        <v>1.41</v>
      </c>
      <c r="K19" s="2341">
        <v>1.52</v>
      </c>
      <c r="L19" s="2342">
        <v>1.74</v>
      </c>
      <c r="M19" s="2325"/>
      <c r="N19" s="2357">
        <f t="shared" si="106"/>
        <v>1.5100000000000001E-2</v>
      </c>
      <c r="O19" s="2326">
        <f t="shared" ref="O19" si="152">J19/100</f>
        <v>1.41E-2</v>
      </c>
      <c r="P19" s="2326">
        <f t="shared" ref="P19" si="153">K19/100</f>
        <v>1.52E-2</v>
      </c>
      <c r="Q19" s="2326">
        <f t="shared" ref="Q19" si="154">L19/100</f>
        <v>1.7399999999999999E-2</v>
      </c>
      <c r="R19" s="2325"/>
      <c r="S19" s="2357"/>
      <c r="T19" s="2326"/>
      <c r="U19" s="2326"/>
      <c r="V19" s="2326"/>
      <c r="W19" s="2325"/>
      <c r="X19" s="2325">
        <f>ROUND(SUMPRODUCT(PRODUCT(1+N19:N$36)),4)</f>
        <v>1.4956</v>
      </c>
      <c r="Y19" s="2325">
        <f>ROUND(SUMPRODUCT(PRODUCT(1+O19:O$36)),4)</f>
        <v>1.3237000000000001</v>
      </c>
      <c r="Z19" s="2325">
        <f t="shared" ref="Z19" si="155">Y19</f>
        <v>1.3237000000000001</v>
      </c>
      <c r="AA19" s="2325">
        <f>ROUND(SUMPRODUCT(PRODUCT(1+P19:P$36)),4)</f>
        <v>1.554</v>
      </c>
      <c r="AB19" s="2325">
        <f>ROUND(SUMPRODUCT(PRODUCT(1+Q19:Q$36)),4)</f>
        <v>1.3087</v>
      </c>
      <c r="AC19" s="2325"/>
      <c r="AD19" s="2326">
        <f>ROUND(AVERAGE(I19:I$37)/100,4)</f>
        <v>2.3099999999999999E-2</v>
      </c>
      <c r="AE19" s="2326">
        <f>ROUND(AVERAGE(J19:J$37)/100,4)</f>
        <v>1.61E-2</v>
      </c>
      <c r="AF19" s="2326">
        <f t="shared" ref="AF19" si="156">AE19</f>
        <v>1.61E-2</v>
      </c>
      <c r="AG19" s="2326">
        <f>ROUND(AVERAGE(K19:K$37)/100,4)</f>
        <v>2.53E-2</v>
      </c>
      <c r="AH19" s="2326">
        <f>ROUND(AVERAGE(L19:L$37)/100,4)</f>
        <v>1.4999999999999999E-2</v>
      </c>
    </row>
    <row r="20" spans="1:34" s="2358" customFormat="1" ht="14.45" customHeight="1">
      <c r="A20" s="2339" t="s">
        <v>2654</v>
      </c>
      <c r="B20" s="2356">
        <f t="shared" ref="B20:B25" si="157">B21*(1+N20)</f>
        <v>453.11529869999993</v>
      </c>
      <c r="C20" s="2356">
        <f t="shared" ref="C20" si="158">C21*(1+O20)</f>
        <v>336.47787264000004</v>
      </c>
      <c r="D20" s="2356">
        <f t="shared" ref="D20" si="159">C20</f>
        <v>336.47787264000004</v>
      </c>
      <c r="E20" s="2356">
        <f t="shared" ref="E20" si="160">E21*(1+P20)</f>
        <v>647.35186823999993</v>
      </c>
      <c r="F20" s="2356">
        <f t="shared" ref="F20" si="161">F21*(1+Q20)</f>
        <v>295.73229452000004</v>
      </c>
      <c r="G20" s="3710"/>
      <c r="H20" s="2359">
        <v>2</v>
      </c>
      <c r="I20" s="2359">
        <v>1.49</v>
      </c>
      <c r="J20" s="2359">
        <v>0.96</v>
      </c>
      <c r="K20" s="2359">
        <v>1.58</v>
      </c>
      <c r="L20" s="2360">
        <v>2.44</v>
      </c>
      <c r="M20" s="2325"/>
      <c r="N20" s="2357">
        <f t="shared" ref="N20" si="162">I20/100</f>
        <v>1.49E-2</v>
      </c>
      <c r="O20" s="2326">
        <f t="shared" ref="O20" si="163">J20/100</f>
        <v>9.5999999999999992E-3</v>
      </c>
      <c r="P20" s="2326">
        <f t="shared" ref="P20" si="164">K20/100</f>
        <v>1.5800000000000002E-2</v>
      </c>
      <c r="Q20" s="2326">
        <f t="shared" ref="Q20" si="165">L20/100</f>
        <v>2.4399999999999998E-2</v>
      </c>
      <c r="R20" s="2325"/>
      <c r="S20" s="2357"/>
      <c r="T20" s="2326"/>
      <c r="U20" s="2326"/>
      <c r="V20" s="2326"/>
      <c r="W20" s="2325"/>
      <c r="X20" s="2325">
        <f>ROUND(SUMPRODUCT(PRODUCT(1+N20:N$36)),4)</f>
        <v>1.4733000000000001</v>
      </c>
      <c r="Y20" s="2325">
        <f>ROUND(SUMPRODUCT(PRODUCT(1+O20:O$36)),4)</f>
        <v>1.3052999999999999</v>
      </c>
      <c r="Z20" s="2325">
        <f t="shared" ref="Z20" si="166">Y20</f>
        <v>1.3052999999999999</v>
      </c>
      <c r="AA20" s="2325">
        <f>ROUND(SUMPRODUCT(PRODUCT(1+P20:P$36)),4)</f>
        <v>1.5306999999999999</v>
      </c>
      <c r="AB20" s="2325">
        <f>ROUND(SUMPRODUCT(PRODUCT(1+Q20:Q$36)),4)</f>
        <v>1.2863</v>
      </c>
      <c r="AC20" s="2325"/>
      <c r="AD20" s="2326">
        <f>ROUND(AVERAGE(I20:I$37)/100,4)</f>
        <v>2.35E-2</v>
      </c>
      <c r="AE20" s="2326">
        <f>ROUND(AVERAGE(J20:J$37)/100,4)</f>
        <v>1.6199999999999999E-2</v>
      </c>
      <c r="AF20" s="2326">
        <f t="shared" ref="AF20" si="167">AE20</f>
        <v>1.6199999999999999E-2</v>
      </c>
      <c r="AG20" s="2326">
        <f>ROUND(AVERAGE(K20:K$37)/100,4)</f>
        <v>2.5899999999999999E-2</v>
      </c>
      <c r="AH20" s="2326">
        <f>ROUND(AVERAGE(L20:L$37)/100,4)</f>
        <v>1.49E-2</v>
      </c>
    </row>
    <row r="21" spans="1:34" s="2358" customFormat="1" ht="15" customHeight="1" thickBot="1">
      <c r="A21" s="2339" t="s">
        <v>2652</v>
      </c>
      <c r="B21" s="2356">
        <f t="shared" si="157"/>
        <v>446.46299999999997</v>
      </c>
      <c r="C21" s="2356">
        <f t="shared" ref="C21" si="168">C22*(1+O21)</f>
        <v>333.27840000000003</v>
      </c>
      <c r="D21" s="2356">
        <f t="shared" ref="D21:D26" si="169">C21</f>
        <v>333.27840000000003</v>
      </c>
      <c r="E21" s="2356">
        <f t="shared" ref="E21" si="170">E22*(1+P21)</f>
        <v>637.28279999999995</v>
      </c>
      <c r="F21" s="2356">
        <f t="shared" ref="F21" si="171">F22*(1+Q21)</f>
        <v>288.68830000000003</v>
      </c>
      <c r="G21" s="3717"/>
      <c r="H21" s="2341">
        <v>1</v>
      </c>
      <c r="I21" s="2341">
        <v>1.7</v>
      </c>
      <c r="J21" s="2341">
        <v>1.92</v>
      </c>
      <c r="K21" s="2341">
        <v>1.64</v>
      </c>
      <c r="L21" s="2342">
        <v>2.0099999999999998</v>
      </c>
      <c r="M21" s="2325"/>
      <c r="N21" s="2357">
        <f t="shared" ref="N21:N26" si="172">I21/100</f>
        <v>1.7000000000000001E-2</v>
      </c>
      <c r="O21" s="2326">
        <f t="shared" ref="O21" si="173">J21/100</f>
        <v>1.9199999999999998E-2</v>
      </c>
      <c r="P21" s="2326">
        <f t="shared" ref="P21" si="174">K21/100</f>
        <v>1.6399999999999998E-2</v>
      </c>
      <c r="Q21" s="2326">
        <f t="shared" ref="Q21" si="175">L21/100</f>
        <v>2.0099999999999996E-2</v>
      </c>
      <c r="R21" s="2325"/>
      <c r="S21" s="2361">
        <f>B21/B22-1</f>
        <v>1.6999999999999904E-2</v>
      </c>
      <c r="T21" s="2362">
        <f>C21/C22-1</f>
        <v>1.9200000000000106E-2</v>
      </c>
      <c r="U21" s="2362">
        <f>E21/E22-1</f>
        <v>1.639999999999997E-2</v>
      </c>
      <c r="V21" s="2362">
        <f>F21/F22-1</f>
        <v>2.0100000000000007E-2</v>
      </c>
      <c r="W21" s="2325"/>
      <c r="X21" s="2325">
        <f>ROUND(SUMPRODUCT(PRODUCT(1+N21:N$36)),4)</f>
        <v>1.4517</v>
      </c>
      <c r="Y21" s="2325">
        <f>ROUND(SUMPRODUCT(PRODUCT(1+O21:O$36)),4)</f>
        <v>1.2928999999999999</v>
      </c>
      <c r="Z21" s="2325">
        <f t="shared" ref="Z21" si="176">Y21</f>
        <v>1.2928999999999999</v>
      </c>
      <c r="AA21" s="2325">
        <f>ROUND(SUMPRODUCT(PRODUCT(1+P21:P$36)),4)</f>
        <v>1.5068999999999999</v>
      </c>
      <c r="AB21" s="2325">
        <f>ROUND(SUMPRODUCT(PRODUCT(1+Q21:Q$36)),4)</f>
        <v>1.2557</v>
      </c>
      <c r="AC21" s="2325"/>
      <c r="AD21" s="2326">
        <f>ROUND(AVERAGE(I21:I$37)/100,4)</f>
        <v>2.4E-2</v>
      </c>
      <c r="AE21" s="2326">
        <f>ROUND(AVERAGE(J21:J$37)/100,4)</f>
        <v>1.66E-2</v>
      </c>
      <c r="AF21" s="2326">
        <f t="shared" ref="AF21" si="177">AE21</f>
        <v>1.66E-2</v>
      </c>
      <c r="AG21" s="2326">
        <f>ROUND(AVERAGE(K21:K$37)/100,4)</f>
        <v>2.6499999999999999E-2</v>
      </c>
      <c r="AH21" s="2326">
        <f>ROUND(AVERAGE(L21:L$37)/100,4)</f>
        <v>1.43E-2</v>
      </c>
    </row>
    <row r="22" spans="1:34">
      <c r="A22" s="2339" t="s">
        <v>2649</v>
      </c>
      <c r="B22" s="2349">
        <v>439</v>
      </c>
      <c r="C22" s="2349">
        <v>327</v>
      </c>
      <c r="D22" s="2349">
        <f t="shared" si="169"/>
        <v>327</v>
      </c>
      <c r="E22" s="2349">
        <v>627</v>
      </c>
      <c r="F22" s="2350">
        <v>283</v>
      </c>
      <c r="G22" s="3713">
        <v>2017</v>
      </c>
      <c r="H22" s="2347">
        <v>4</v>
      </c>
      <c r="I22" s="2347">
        <v>1.71</v>
      </c>
      <c r="J22" s="2347">
        <v>1.78</v>
      </c>
      <c r="K22" s="2347">
        <v>1.71</v>
      </c>
      <c r="L22" s="2348">
        <v>1.43</v>
      </c>
      <c r="N22" s="2351">
        <f t="shared" si="172"/>
        <v>1.7100000000000001E-2</v>
      </c>
      <c r="O22" s="2352">
        <f t="shared" ref="O22" si="178">J22/100</f>
        <v>1.78E-2</v>
      </c>
      <c r="P22" s="2352">
        <f t="shared" ref="P22" si="179">K22/100</f>
        <v>1.7100000000000001E-2</v>
      </c>
      <c r="Q22" s="2352">
        <f t="shared" ref="Q22" si="180">L22/100</f>
        <v>1.43E-2</v>
      </c>
      <c r="R22" s="2353"/>
      <c r="S22" s="2354"/>
      <c r="T22" s="2355"/>
      <c r="U22" s="2355"/>
      <c r="V22" s="2355"/>
      <c r="X22" s="2325">
        <f>ROUND(SUMPRODUCT(PRODUCT(1+N22:N$36)),4)</f>
        <v>1.4274</v>
      </c>
      <c r="Y22" s="2325">
        <f>ROUND(SUMPRODUCT(PRODUCT(1+O22:O$36)),4)</f>
        <v>1.2685</v>
      </c>
      <c r="Z22" s="2325">
        <f t="shared" si="0"/>
        <v>1.2685</v>
      </c>
      <c r="AA22" s="2325">
        <f>ROUND(SUMPRODUCT(PRODUCT(1+P22:P$36)),4)</f>
        <v>1.4825999999999999</v>
      </c>
      <c r="AB22" s="2325">
        <f>ROUND(SUMPRODUCT(PRODUCT(1+Q22:Q$36)),4)</f>
        <v>1.2309000000000001</v>
      </c>
      <c r="AD22" s="2326">
        <f>ROUND(AVERAGE(I22:I$37)/100,4)</f>
        <v>2.4500000000000001E-2</v>
      </c>
      <c r="AE22" s="2326">
        <f>ROUND(AVERAGE(J22:J$37)/100,4)</f>
        <v>1.6500000000000001E-2</v>
      </c>
      <c r="AF22" s="2326">
        <f t="shared" si="1"/>
        <v>1.6500000000000001E-2</v>
      </c>
      <c r="AG22" s="2326">
        <f>ROUND(AVERAGE(K22:K$37)/100,4)</f>
        <v>2.7099999999999999E-2</v>
      </c>
      <c r="AH22" s="2326">
        <f>ROUND(AVERAGE(L22:L$37)/100,4)</f>
        <v>1.3899999999999999E-2</v>
      </c>
    </row>
    <row r="23" spans="1:34" s="2358" customFormat="1" ht="14.45" customHeight="1">
      <c r="A23" s="2339" t="s">
        <v>2646</v>
      </c>
      <c r="B23" s="2356">
        <f t="shared" si="157"/>
        <v>431.80730811680002</v>
      </c>
      <c r="C23" s="2356">
        <f t="shared" ref="C23" si="181">C24*(1+O23)</f>
        <v>320.57880516480003</v>
      </c>
      <c r="D23" s="2356">
        <f t="shared" si="169"/>
        <v>320.57880516480003</v>
      </c>
      <c r="E23" s="2356">
        <f t="shared" ref="E23:F25" si="182">E24*(1+P23)</f>
        <v>615.96110553196797</v>
      </c>
      <c r="F23" s="2356">
        <f t="shared" si="182"/>
        <v>279.46777300108801</v>
      </c>
      <c r="G23" s="3710"/>
      <c r="H23" s="2341">
        <v>3</v>
      </c>
      <c r="I23" s="2341">
        <v>2.98</v>
      </c>
      <c r="J23" s="2341">
        <v>2.11</v>
      </c>
      <c r="K23" s="2341">
        <v>3.24</v>
      </c>
      <c r="L23" s="2342">
        <v>1.72</v>
      </c>
      <c r="M23" s="2325"/>
      <c r="N23" s="2357">
        <f t="shared" si="172"/>
        <v>2.98E-2</v>
      </c>
      <c r="O23" s="2363">
        <f t="shared" ref="O23" si="183">J23/100</f>
        <v>2.1099999999999997E-2</v>
      </c>
      <c r="P23" s="2363">
        <f t="shared" ref="P23" si="184">K23/100</f>
        <v>3.2400000000000005E-2</v>
      </c>
      <c r="Q23" s="2363">
        <f t="shared" ref="Q23" si="185">L23/100</f>
        <v>1.72E-2</v>
      </c>
      <c r="R23" s="2325"/>
      <c r="S23" s="2357"/>
      <c r="T23" s="2326"/>
      <c r="U23" s="2326"/>
      <c r="V23" s="2326"/>
      <c r="W23" s="2325"/>
      <c r="X23" s="2325">
        <f>ROUND(SUMPRODUCT(PRODUCT(1+N23:N$36)),4)</f>
        <v>1.4034</v>
      </c>
      <c r="Y23" s="2325">
        <f>ROUND(SUMPRODUCT(PRODUCT(1+O23:O$36)),4)</f>
        <v>1.2463</v>
      </c>
      <c r="Z23" s="2325">
        <f t="shared" si="0"/>
        <v>1.2463</v>
      </c>
      <c r="AA23" s="2325">
        <f>ROUND(SUMPRODUCT(PRODUCT(1+P23:P$36)),4)</f>
        <v>1.4577</v>
      </c>
      <c r="AB23" s="2325">
        <f>ROUND(SUMPRODUCT(PRODUCT(1+Q23:Q$36)),4)</f>
        <v>1.2136</v>
      </c>
      <c r="AC23" s="2325"/>
      <c r="AD23" s="2326">
        <f>ROUND(AVERAGE(I23:I$37)/100,4)</f>
        <v>2.4899999999999999E-2</v>
      </c>
      <c r="AE23" s="2326">
        <f>ROUND(AVERAGE(J23:J$37)/100,4)</f>
        <v>1.6400000000000001E-2</v>
      </c>
      <c r="AF23" s="2326">
        <f t="shared" si="1"/>
        <v>1.6400000000000001E-2</v>
      </c>
      <c r="AG23" s="2326">
        <f>ROUND(AVERAGE(K23:K$37)/100,4)</f>
        <v>2.7799999999999998E-2</v>
      </c>
      <c r="AH23" s="2326">
        <f>ROUND(AVERAGE(L23:L$37)/100,4)</f>
        <v>1.3899999999999999E-2</v>
      </c>
    </row>
    <row r="24" spans="1:34" s="2334" customFormat="1" ht="14.45" customHeight="1">
      <c r="A24" s="2339" t="s">
        <v>1188</v>
      </c>
      <c r="B24" s="2356">
        <f t="shared" si="157"/>
        <v>419.31181600000002</v>
      </c>
      <c r="C24" s="2356">
        <f t="shared" ref="C24" si="186">C25*(1+O24)</f>
        <v>313.95436800000004</v>
      </c>
      <c r="D24" s="2356">
        <f t="shared" si="169"/>
        <v>313.95436800000004</v>
      </c>
      <c r="E24" s="2356">
        <f t="shared" si="182"/>
        <v>596.63028431999999</v>
      </c>
      <c r="F24" s="2356">
        <f t="shared" si="182"/>
        <v>274.74220703999998</v>
      </c>
      <c r="G24" s="3710"/>
      <c r="H24" s="2359">
        <v>2</v>
      </c>
      <c r="I24" s="2359">
        <v>3.4</v>
      </c>
      <c r="J24" s="2359">
        <v>2</v>
      </c>
      <c r="K24" s="2359">
        <v>3.82</v>
      </c>
      <c r="L24" s="2360">
        <v>1.68</v>
      </c>
      <c r="M24" s="2325"/>
      <c r="N24" s="2357">
        <f t="shared" si="172"/>
        <v>3.4000000000000002E-2</v>
      </c>
      <c r="O24" s="2363">
        <f t="shared" ref="O24" si="187">J24/100</f>
        <v>0.02</v>
      </c>
      <c r="P24" s="2363">
        <f t="shared" ref="P24" si="188">K24/100</f>
        <v>3.8199999999999998E-2</v>
      </c>
      <c r="Q24" s="2363">
        <f t="shared" ref="Q24" si="189">L24/100</f>
        <v>1.6799999999999999E-2</v>
      </c>
      <c r="R24" s="2325"/>
      <c r="S24" s="2357"/>
      <c r="T24" s="2326"/>
      <c r="U24" s="2326"/>
      <c r="V24" s="2326"/>
      <c r="W24" s="2325"/>
      <c r="X24" s="2364">
        <f>ROUND(SUMPRODUCT(PRODUCT(1+N24:N$36)),4)</f>
        <v>1.3628</v>
      </c>
      <c r="Y24" s="2364">
        <f>ROUND(SUMPRODUCT(PRODUCT(1+O24:O$36)),4)</f>
        <v>1.2205999999999999</v>
      </c>
      <c r="Z24" s="2364">
        <f t="shared" si="0"/>
        <v>1.2205999999999999</v>
      </c>
      <c r="AA24" s="2364">
        <f>ROUND(SUMPRODUCT(PRODUCT(1+P24:P$36)),4)</f>
        <v>1.4118999999999999</v>
      </c>
      <c r="AB24" s="2364">
        <f>ROUND(SUMPRODUCT(PRODUCT(1+Q24:Q$36)),4)</f>
        <v>1.1930000000000001</v>
      </c>
      <c r="AC24" s="2319"/>
      <c r="AD24" s="2365">
        <f>ROUND(AVERAGE(I24:I$37)/100,4)</f>
        <v>2.46E-2</v>
      </c>
      <c r="AE24" s="2365">
        <f>ROUND(AVERAGE(J24:J$37)/100,4)</f>
        <v>1.6E-2</v>
      </c>
      <c r="AF24" s="2365">
        <f t="shared" si="1"/>
        <v>1.6E-2</v>
      </c>
      <c r="AG24" s="2365">
        <f>ROUND(AVERAGE(K24:K$37)/100,4)</f>
        <v>2.75E-2</v>
      </c>
      <c r="AH24" s="2365">
        <f>ROUND(AVERAGE(L24:L$37)/100,4)</f>
        <v>1.37E-2</v>
      </c>
    </row>
    <row r="25" spans="1:34" s="2358" customFormat="1" ht="15" customHeight="1" thickBot="1">
      <c r="A25" s="2339" t="s">
        <v>980</v>
      </c>
      <c r="B25" s="2356">
        <f t="shared" si="157"/>
        <v>405.524</v>
      </c>
      <c r="C25" s="2356">
        <f t="shared" ref="C25" si="190">C26*(1+O25)</f>
        <v>307.79840000000002</v>
      </c>
      <c r="D25" s="2356">
        <f t="shared" si="169"/>
        <v>307.79840000000002</v>
      </c>
      <c r="E25" s="2356">
        <f t="shared" si="182"/>
        <v>574.67759999999998</v>
      </c>
      <c r="F25" s="2356">
        <f t="shared" si="182"/>
        <v>270.20280000000002</v>
      </c>
      <c r="G25" s="3717"/>
      <c r="H25" s="2341">
        <v>1</v>
      </c>
      <c r="I25" s="2341">
        <v>3.45</v>
      </c>
      <c r="J25" s="2341">
        <v>1.92</v>
      </c>
      <c r="K25" s="2341">
        <v>3.92</v>
      </c>
      <c r="L25" s="2342">
        <v>1.58</v>
      </c>
      <c r="M25" s="2325"/>
      <c r="N25" s="2361">
        <f t="shared" si="172"/>
        <v>3.4500000000000003E-2</v>
      </c>
      <c r="O25" s="2362">
        <f t="shared" ref="O25:Q40" si="191">J25/100</f>
        <v>1.9199999999999998E-2</v>
      </c>
      <c r="P25" s="2362">
        <f t="shared" si="191"/>
        <v>3.9199999999999999E-2</v>
      </c>
      <c r="Q25" s="2362">
        <f t="shared" si="191"/>
        <v>1.5800000000000002E-2</v>
      </c>
      <c r="R25" s="2325"/>
      <c r="S25" s="2361">
        <f>B25/B26-1</f>
        <v>3.4499999999999975E-2</v>
      </c>
      <c r="T25" s="2362">
        <f>C25/C26-1</f>
        <v>1.9200000000000106E-2</v>
      </c>
      <c r="U25" s="2362">
        <f>E25/E26-1</f>
        <v>3.9199999999999902E-2</v>
      </c>
      <c r="V25" s="2362">
        <f>F25/F26-1</f>
        <v>1.5800000000000036E-2</v>
      </c>
      <c r="W25" s="2325"/>
      <c r="X25" s="2325">
        <f>ROUND(SUMPRODUCT(PRODUCT(1+N25:N$36)),4)</f>
        <v>1.3180000000000001</v>
      </c>
      <c r="Y25" s="2325">
        <f>ROUND(SUMPRODUCT(PRODUCT(1+O25:O$36)),4)</f>
        <v>1.1966000000000001</v>
      </c>
      <c r="Z25" s="2325">
        <f t="shared" si="0"/>
        <v>1.1966000000000001</v>
      </c>
      <c r="AA25" s="2325">
        <f>ROUND(SUMPRODUCT(PRODUCT(1+P25:P$36)),4)</f>
        <v>1.36</v>
      </c>
      <c r="AB25" s="2325">
        <f>ROUND(SUMPRODUCT(PRODUCT(1+Q25:Q$36)),4)</f>
        <v>1.1733</v>
      </c>
      <c r="AC25" s="2325"/>
      <c r="AD25" s="2326">
        <f>ROUND(AVERAGE(I25:I$37)/100,4)</f>
        <v>2.3900000000000001E-2</v>
      </c>
      <c r="AE25" s="2326">
        <f>ROUND(AVERAGE(J25:J$37)/100,4)</f>
        <v>1.5699999999999999E-2</v>
      </c>
      <c r="AF25" s="2326">
        <f t="shared" si="1"/>
        <v>1.5699999999999999E-2</v>
      </c>
      <c r="AG25" s="2326">
        <f>ROUND(AVERAGE(K25:K$37)/100,4)</f>
        <v>2.6599999999999999E-2</v>
      </c>
      <c r="AH25" s="2326">
        <f>ROUND(AVERAGE(L25:L$37)/100,4)</f>
        <v>1.34E-2</v>
      </c>
    </row>
    <row r="26" spans="1:34">
      <c r="A26" s="2339" t="s">
        <v>981</v>
      </c>
      <c r="B26" s="2349">
        <v>392</v>
      </c>
      <c r="C26" s="2349">
        <v>302</v>
      </c>
      <c r="D26" s="2349">
        <f t="shared" si="169"/>
        <v>302</v>
      </c>
      <c r="E26" s="2349">
        <v>553</v>
      </c>
      <c r="F26" s="2350">
        <v>266</v>
      </c>
      <c r="G26" s="3713">
        <v>2016</v>
      </c>
      <c r="H26" s="2347">
        <v>4</v>
      </c>
      <c r="I26" s="2347">
        <v>4.5599999999999996</v>
      </c>
      <c r="J26" s="2347">
        <v>2.15</v>
      </c>
      <c r="K26" s="2347">
        <v>5.32</v>
      </c>
      <c r="L26" s="2348">
        <v>1.57</v>
      </c>
      <c r="N26" s="2357">
        <f t="shared" si="172"/>
        <v>4.5599999999999995E-2</v>
      </c>
      <c r="O26" s="2326">
        <f t="shared" si="191"/>
        <v>2.1499999999999998E-2</v>
      </c>
      <c r="P26" s="2326">
        <f t="shared" si="191"/>
        <v>5.3200000000000004E-2</v>
      </c>
      <c r="Q26" s="2326">
        <f t="shared" si="191"/>
        <v>1.5700000000000002E-2</v>
      </c>
      <c r="R26" s="2353"/>
      <c r="S26" s="2354"/>
      <c r="T26" s="2355"/>
      <c r="U26" s="2355"/>
      <c r="V26" s="2355"/>
      <c r="X26" s="2325">
        <f>ROUND(SUMPRODUCT(PRODUCT(1+N26:N$36)),4)</f>
        <v>1.274</v>
      </c>
      <c r="Y26" s="2325">
        <f>ROUND(SUMPRODUCT(PRODUCT(1+O26:O$36)),4)</f>
        <v>1.1740999999999999</v>
      </c>
      <c r="Z26" s="2325">
        <f t="shared" si="0"/>
        <v>1.1740999999999999</v>
      </c>
      <c r="AA26" s="2325">
        <f>ROUND(SUMPRODUCT(PRODUCT(1+P26:P$36)),4)</f>
        <v>1.3087</v>
      </c>
      <c r="AB26" s="2325">
        <f>ROUND(SUMPRODUCT(PRODUCT(1+Q26:Q$36)),4)</f>
        <v>1.1551</v>
      </c>
      <c r="AD26" s="2326">
        <f>ROUND(AVERAGE(I26:I$37)/100,4)</f>
        <v>2.3E-2</v>
      </c>
      <c r="AE26" s="2326">
        <f>ROUND(AVERAGE(J26:J$37)/100,4)</f>
        <v>1.55E-2</v>
      </c>
      <c r="AF26" s="2326">
        <f t="shared" ref="AF26:AF35" si="192">AE26</f>
        <v>1.55E-2</v>
      </c>
      <c r="AG26" s="2326">
        <f>ROUND(AVERAGE(K26:K$37)/100,4)</f>
        <v>2.5600000000000001E-2</v>
      </c>
      <c r="AH26" s="2326">
        <f>ROUND(AVERAGE(L26:L$37)/100,4)</f>
        <v>1.32E-2</v>
      </c>
    </row>
    <row r="27" spans="1:34">
      <c r="A27" s="2339" t="s">
        <v>103</v>
      </c>
      <c r="B27" s="2356">
        <f t="shared" ref="B27:C29" si="193">B26/(1+N26)</f>
        <v>374.90436113236416</v>
      </c>
      <c r="C27" s="2356">
        <f t="shared" si="193"/>
        <v>295.64366128242779</v>
      </c>
      <c r="D27" s="2356">
        <f t="shared" ref="D27:D86" si="194">C27</f>
        <v>295.64366128242779</v>
      </c>
      <c r="E27" s="2356">
        <f t="shared" ref="E27:F29" si="195">E26/(1+P26)</f>
        <v>525.06646410938095</v>
      </c>
      <c r="F27" s="2356">
        <f t="shared" si="195"/>
        <v>261.88835286009646</v>
      </c>
      <c r="G27" s="3710"/>
      <c r="H27" s="2341">
        <v>3</v>
      </c>
      <c r="I27" s="2341">
        <v>4.12</v>
      </c>
      <c r="J27" s="2341">
        <v>2</v>
      </c>
      <c r="K27" s="2341">
        <v>4.79</v>
      </c>
      <c r="L27" s="2342">
        <v>1.97</v>
      </c>
      <c r="N27" s="2357">
        <f t="shared" ref="N27:Q61" si="196">I27/100</f>
        <v>4.1200000000000001E-2</v>
      </c>
      <c r="O27" s="2326">
        <f t="shared" si="191"/>
        <v>0.02</v>
      </c>
      <c r="P27" s="2326">
        <f t="shared" si="191"/>
        <v>4.7899999999999998E-2</v>
      </c>
      <c r="Q27" s="2326">
        <f t="shared" si="191"/>
        <v>1.9699999999999999E-2</v>
      </c>
      <c r="R27" s="2353"/>
      <c r="S27" s="2357"/>
      <c r="T27" s="2326"/>
      <c r="U27" s="2326"/>
      <c r="V27" s="2326"/>
      <c r="X27" s="2325">
        <f>ROUND(SUMPRODUCT(PRODUCT(1+N27:N$36)),4)</f>
        <v>1.2184999999999999</v>
      </c>
      <c r="Y27" s="2325">
        <f>ROUND(SUMPRODUCT(PRODUCT(1+O27:O$36)),4)</f>
        <v>1.1494</v>
      </c>
      <c r="Z27" s="2325">
        <f t="shared" si="0"/>
        <v>1.1494</v>
      </c>
      <c r="AA27" s="2325">
        <f>ROUND(SUMPRODUCT(PRODUCT(1+P27:P$36)),4)</f>
        <v>1.2425999999999999</v>
      </c>
      <c r="AB27" s="2325">
        <f>ROUND(SUMPRODUCT(PRODUCT(1+Q27:Q$36)),4)</f>
        <v>1.1372</v>
      </c>
      <c r="AD27" s="2326">
        <f>ROUND(AVERAGE(I27:I$37)/100,4)</f>
        <v>2.0899999999999998E-2</v>
      </c>
      <c r="AE27" s="2326">
        <f>ROUND(AVERAGE(J27:J$37)/100,4)</f>
        <v>1.49E-2</v>
      </c>
      <c r="AF27" s="2326">
        <f t="shared" si="192"/>
        <v>1.49E-2</v>
      </c>
      <c r="AG27" s="2326">
        <f>ROUND(AVERAGE(K27:K$37)/100,4)</f>
        <v>2.3099999999999999E-2</v>
      </c>
      <c r="AH27" s="2326">
        <f>ROUND(AVERAGE(L27:L$37)/100,4)</f>
        <v>1.2999999999999999E-2</v>
      </c>
    </row>
    <row r="28" spans="1:34">
      <c r="A28" s="2339" t="s">
        <v>93</v>
      </c>
      <c r="B28" s="2356">
        <f t="shared" si="193"/>
        <v>360.06949782209392</v>
      </c>
      <c r="C28" s="2356">
        <f t="shared" si="193"/>
        <v>289.84672674747821</v>
      </c>
      <c r="D28" s="2356">
        <f t="shared" si="194"/>
        <v>289.84672674747821</v>
      </c>
      <c r="E28" s="2356">
        <f t="shared" si="195"/>
        <v>501.06543001181495</v>
      </c>
      <c r="F28" s="2356">
        <f t="shared" si="195"/>
        <v>256.82882500744967</v>
      </c>
      <c r="G28" s="3710"/>
      <c r="H28" s="2359">
        <v>2</v>
      </c>
      <c r="I28" s="2359">
        <v>3.85</v>
      </c>
      <c r="J28" s="2359">
        <v>1.95</v>
      </c>
      <c r="K28" s="2359">
        <v>4.4800000000000004</v>
      </c>
      <c r="L28" s="2360">
        <v>1.41</v>
      </c>
      <c r="N28" s="2357">
        <f t="shared" si="196"/>
        <v>3.85E-2</v>
      </c>
      <c r="O28" s="2326">
        <f t="shared" si="191"/>
        <v>1.95E-2</v>
      </c>
      <c r="P28" s="2326">
        <f t="shared" si="191"/>
        <v>4.4800000000000006E-2</v>
      </c>
      <c r="Q28" s="2326">
        <f t="shared" si="191"/>
        <v>1.41E-2</v>
      </c>
      <c r="R28" s="2353"/>
      <c r="S28" s="2357"/>
      <c r="T28" s="2326"/>
      <c r="U28" s="2326"/>
      <c r="V28" s="2326"/>
      <c r="X28" s="2325">
        <f>ROUND(SUMPRODUCT(PRODUCT(1+N28:N$36)),4)</f>
        <v>1.1702999999999999</v>
      </c>
      <c r="Y28" s="2325">
        <f>ROUND(SUMPRODUCT(PRODUCT(1+O28:O$36)),4)</f>
        <v>1.1269</v>
      </c>
      <c r="Z28" s="2325">
        <f t="shared" si="0"/>
        <v>1.1269</v>
      </c>
      <c r="AA28" s="2325">
        <f>ROUND(SUMPRODUCT(PRODUCT(1+P28:P$36)),4)</f>
        <v>1.1858</v>
      </c>
      <c r="AB28" s="2325">
        <f>ROUND(SUMPRODUCT(PRODUCT(1+Q28:Q$36)),4)</f>
        <v>1.1152</v>
      </c>
      <c r="AD28" s="2326">
        <f>ROUND(AVERAGE(I28:I$37)/100,4)</f>
        <v>1.89E-2</v>
      </c>
      <c r="AE28" s="2326">
        <f>ROUND(AVERAGE(J28:J$37)/100,4)</f>
        <v>1.44E-2</v>
      </c>
      <c r="AF28" s="2326">
        <f t="shared" si="192"/>
        <v>1.44E-2</v>
      </c>
      <c r="AG28" s="2326">
        <f>ROUND(AVERAGE(K28:K$37)/100,4)</f>
        <v>2.06E-2</v>
      </c>
      <c r="AH28" s="2326">
        <f>ROUND(AVERAGE(L28:L$37)/100,4)</f>
        <v>1.23E-2</v>
      </c>
    </row>
    <row r="29" spans="1:34" ht="13.5" thickBot="1">
      <c r="A29" s="2339" t="s">
        <v>102</v>
      </c>
      <c r="B29" s="2356">
        <f t="shared" si="193"/>
        <v>346.720748986128</v>
      </c>
      <c r="C29" s="2356">
        <f t="shared" si="193"/>
        <v>284.30282172386285</v>
      </c>
      <c r="D29" s="2356">
        <f t="shared" si="194"/>
        <v>284.30282172386285</v>
      </c>
      <c r="E29" s="2356">
        <f t="shared" si="195"/>
        <v>479.58023546306947</v>
      </c>
      <c r="F29" s="2356">
        <f t="shared" si="195"/>
        <v>253.25788877571213</v>
      </c>
      <c r="G29" s="3711"/>
      <c r="H29" s="2341">
        <v>1</v>
      </c>
      <c r="I29" s="2341">
        <v>4.09</v>
      </c>
      <c r="J29" s="2341">
        <v>2.93</v>
      </c>
      <c r="K29" s="2341">
        <v>4.54</v>
      </c>
      <c r="L29" s="2342">
        <v>1.48</v>
      </c>
      <c r="N29" s="2357">
        <f t="shared" si="196"/>
        <v>4.0899999999999999E-2</v>
      </c>
      <c r="O29" s="2326">
        <f t="shared" si="191"/>
        <v>2.9300000000000003E-2</v>
      </c>
      <c r="P29" s="2326">
        <f t="shared" si="191"/>
        <v>4.5400000000000003E-2</v>
      </c>
      <c r="Q29" s="2326">
        <f t="shared" si="191"/>
        <v>1.4800000000000001E-2</v>
      </c>
      <c r="R29" s="2353"/>
      <c r="S29" s="2361">
        <f>B29/B30-1</f>
        <v>4.1203450408792808E-2</v>
      </c>
      <c r="T29" s="2362">
        <f>C29/C30-1</f>
        <v>2.6363977342465095E-2</v>
      </c>
      <c r="U29" s="2362">
        <f>E29/E30-1</f>
        <v>4.4837114298626357E-2</v>
      </c>
      <c r="V29" s="2362">
        <f>F29/F30-1</f>
        <v>1.7099954922538574E-2</v>
      </c>
      <c r="X29" s="2325">
        <f>ROUND(SUMPRODUCT(PRODUCT(1+N29:N$36)),4)</f>
        <v>1.1269</v>
      </c>
      <c r="Y29" s="2325">
        <f>ROUND(SUMPRODUCT(PRODUCT(1+O29:O$36)),4)</f>
        <v>1.1052999999999999</v>
      </c>
      <c r="Z29" s="2325">
        <f t="shared" si="0"/>
        <v>1.1052999999999999</v>
      </c>
      <c r="AA29" s="2325">
        <f>ROUND(SUMPRODUCT(PRODUCT(1+P29:P$36)),4)</f>
        <v>1.1349</v>
      </c>
      <c r="AB29" s="2325">
        <f>ROUND(SUMPRODUCT(PRODUCT(1+Q29:Q$36)),4)</f>
        <v>1.0996999999999999</v>
      </c>
      <c r="AD29" s="2326">
        <f>ROUND(AVERAGE(I29:I$37)/100,4)</f>
        <v>1.67E-2</v>
      </c>
      <c r="AE29" s="2326">
        <f>ROUND(AVERAGE(J29:J$37)/100,4)</f>
        <v>1.38E-2</v>
      </c>
      <c r="AF29" s="2326">
        <f t="shared" si="192"/>
        <v>1.38E-2</v>
      </c>
      <c r="AG29" s="2326">
        <f>ROUND(AVERAGE(K29:K$37)/100,4)</f>
        <v>1.7899999999999999E-2</v>
      </c>
      <c r="AH29" s="2326">
        <f>ROUND(AVERAGE(L29:L$37)/100,4)</f>
        <v>1.21E-2</v>
      </c>
    </row>
    <row r="30" spans="1:34" ht="13.5" thickBot="1">
      <c r="A30" s="2339" t="s">
        <v>101</v>
      </c>
      <c r="B30" s="2349">
        <v>333</v>
      </c>
      <c r="C30" s="2349">
        <v>277</v>
      </c>
      <c r="D30" s="2349">
        <f t="shared" si="194"/>
        <v>277</v>
      </c>
      <c r="E30" s="2349">
        <v>459</v>
      </c>
      <c r="F30" s="2350">
        <v>249</v>
      </c>
      <c r="G30" s="3709">
        <v>2015</v>
      </c>
      <c r="H30" s="2366">
        <v>4</v>
      </c>
      <c r="I30" s="2366">
        <v>1.63</v>
      </c>
      <c r="J30" s="2366">
        <v>1.1100000000000001</v>
      </c>
      <c r="K30" s="2366">
        <v>1.77</v>
      </c>
      <c r="L30" s="2367">
        <v>1.89</v>
      </c>
      <c r="N30" s="2351">
        <f t="shared" si="196"/>
        <v>1.6299999999999999E-2</v>
      </c>
      <c r="O30" s="2352">
        <f t="shared" si="191"/>
        <v>1.11E-2</v>
      </c>
      <c r="P30" s="2352">
        <f t="shared" si="191"/>
        <v>1.77E-2</v>
      </c>
      <c r="Q30" s="2352">
        <f t="shared" si="191"/>
        <v>1.89E-2</v>
      </c>
      <c r="R30" s="2353"/>
      <c r="X30" s="2325">
        <f>ROUND(SUMPRODUCT(PRODUCT(1+N30:N$36)),4)</f>
        <v>1.0826</v>
      </c>
      <c r="Y30" s="2325">
        <f>ROUND(SUMPRODUCT(PRODUCT(1+O30:O$36)),4)</f>
        <v>1.0738000000000001</v>
      </c>
      <c r="Z30" s="2325">
        <f t="shared" si="0"/>
        <v>1.0738000000000001</v>
      </c>
      <c r="AA30" s="2325">
        <f>ROUND(SUMPRODUCT(PRODUCT(1+P30:P$36)),4)</f>
        <v>1.0855999999999999</v>
      </c>
      <c r="AB30" s="2325">
        <f>ROUND(SUMPRODUCT(PRODUCT(1+Q30:Q$36)),4)</f>
        <v>1.0837000000000001</v>
      </c>
      <c r="AD30" s="2326">
        <f>ROUND(AVERAGE(I30:I$37)/100,4)</f>
        <v>1.37E-2</v>
      </c>
      <c r="AE30" s="2326">
        <f>ROUND(AVERAGE(J30:J$37)/100,4)</f>
        <v>1.1900000000000001E-2</v>
      </c>
      <c r="AF30" s="2326">
        <f t="shared" si="192"/>
        <v>1.1900000000000001E-2</v>
      </c>
      <c r="AG30" s="2326">
        <f>ROUND(AVERAGE(K30:K$37)/100,4)</f>
        <v>1.4500000000000001E-2</v>
      </c>
      <c r="AH30" s="2326">
        <f>ROUND(AVERAGE(L30:L$37)/100,4)</f>
        <v>1.18E-2</v>
      </c>
    </row>
    <row r="31" spans="1:34">
      <c r="A31" s="2339" t="s">
        <v>100</v>
      </c>
      <c r="B31" s="2356">
        <f t="shared" ref="B31:C33" si="197">B30/(1+N30)</f>
        <v>327.65915576109415</v>
      </c>
      <c r="C31" s="2356">
        <f t="shared" si="197"/>
        <v>273.95905449510434</v>
      </c>
      <c r="D31" s="2356">
        <f t="shared" si="194"/>
        <v>273.95905449510434</v>
      </c>
      <c r="E31" s="2356">
        <f t="shared" ref="E31:F33" si="198">E30/(1+P30)</f>
        <v>451.01699911565294</v>
      </c>
      <c r="F31" s="2356">
        <f t="shared" si="198"/>
        <v>244.38119540681129</v>
      </c>
      <c r="G31" s="3710"/>
      <c r="H31" s="2369">
        <v>3</v>
      </c>
      <c r="I31" s="2369">
        <v>1.65</v>
      </c>
      <c r="J31" s="2369">
        <v>0.92</v>
      </c>
      <c r="K31" s="2369">
        <v>1.88</v>
      </c>
      <c r="L31" s="2370">
        <v>1.26</v>
      </c>
      <c r="N31" s="2357">
        <f t="shared" si="196"/>
        <v>1.6500000000000001E-2</v>
      </c>
      <c r="O31" s="2363">
        <f t="shared" si="191"/>
        <v>9.1999999999999998E-3</v>
      </c>
      <c r="P31" s="2363">
        <f t="shared" si="191"/>
        <v>1.8799999999999997E-2</v>
      </c>
      <c r="Q31" s="2363">
        <f t="shared" si="191"/>
        <v>1.26E-2</v>
      </c>
      <c r="R31" s="2353"/>
      <c r="S31" s="2357"/>
      <c r="T31" s="2326"/>
      <c r="U31" s="2326"/>
      <c r="V31" s="2326"/>
      <c r="X31" s="2325">
        <f>ROUND(SUMPRODUCT(PRODUCT(1+N31:N$36)),4)</f>
        <v>1.0651999999999999</v>
      </c>
      <c r="Y31" s="2325">
        <f>ROUND(SUMPRODUCT(PRODUCT(1+O31:O$36)),4)</f>
        <v>1.0621</v>
      </c>
      <c r="Z31" s="2325">
        <f t="shared" si="0"/>
        <v>1.0621</v>
      </c>
      <c r="AA31" s="2325">
        <f>ROUND(SUMPRODUCT(PRODUCT(1+P31:P$36)),4)</f>
        <v>1.0668</v>
      </c>
      <c r="AB31" s="2325">
        <f>ROUND(SUMPRODUCT(PRODUCT(1+Q31:Q$36)),4)</f>
        <v>1.0636000000000001</v>
      </c>
      <c r="AD31" s="2326">
        <f>ROUND(AVERAGE(I31:I$37)/100,4)</f>
        <v>1.3299999999999999E-2</v>
      </c>
      <c r="AE31" s="2326">
        <f>ROUND(AVERAGE(J31:J$37)/100,4)</f>
        <v>1.2E-2</v>
      </c>
      <c r="AF31" s="2326">
        <f t="shared" si="192"/>
        <v>1.2E-2</v>
      </c>
      <c r="AG31" s="2326">
        <f>ROUND(AVERAGE(K31:K$37)/100,4)</f>
        <v>1.4E-2</v>
      </c>
      <c r="AH31" s="2326">
        <f>ROUND(AVERAGE(L31:L$37)/100,4)</f>
        <v>1.0800000000000001E-2</v>
      </c>
    </row>
    <row r="32" spans="1:34">
      <c r="A32" s="2339" t="s">
        <v>99</v>
      </c>
      <c r="B32" s="2356">
        <f t="shared" si="197"/>
        <v>322.34053690220776</v>
      </c>
      <c r="C32" s="2356">
        <f t="shared" si="197"/>
        <v>271.46160770422546</v>
      </c>
      <c r="D32" s="2356">
        <f t="shared" si="194"/>
        <v>271.46160770422546</v>
      </c>
      <c r="E32" s="2356">
        <f t="shared" si="198"/>
        <v>442.69434542172456</v>
      </c>
      <c r="F32" s="2356">
        <f t="shared" si="198"/>
        <v>241.34030753190925</v>
      </c>
      <c r="G32" s="3710"/>
      <c r="H32" s="2359">
        <v>2</v>
      </c>
      <c r="I32" s="2359">
        <v>0.77</v>
      </c>
      <c r="J32" s="2359">
        <v>0.69</v>
      </c>
      <c r="K32" s="2359">
        <v>0.8</v>
      </c>
      <c r="L32" s="2360">
        <v>0.88</v>
      </c>
      <c r="N32" s="2357">
        <f t="shared" si="196"/>
        <v>7.7000000000000002E-3</v>
      </c>
      <c r="O32" s="2363">
        <f t="shared" si="191"/>
        <v>6.8999999999999999E-3</v>
      </c>
      <c r="P32" s="2363">
        <f t="shared" si="191"/>
        <v>8.0000000000000002E-3</v>
      </c>
      <c r="Q32" s="2363">
        <f t="shared" si="191"/>
        <v>8.8000000000000005E-3</v>
      </c>
      <c r="R32" s="2353"/>
      <c r="S32" s="2357"/>
      <c r="T32" s="2326"/>
      <c r="U32" s="2326"/>
      <c r="V32" s="2326"/>
      <c r="X32" s="2325">
        <f>ROUND(SUMPRODUCT(PRODUCT(1+N32:N$36)),4)</f>
        <v>1.048</v>
      </c>
      <c r="Y32" s="2325">
        <f>ROUND(SUMPRODUCT(PRODUCT(1+O32:O$36)),4)</f>
        <v>1.0524</v>
      </c>
      <c r="Z32" s="2325">
        <f t="shared" si="0"/>
        <v>1.0524</v>
      </c>
      <c r="AA32" s="2325">
        <f>ROUND(SUMPRODUCT(PRODUCT(1+P32:P$36)),4)</f>
        <v>1.0470999999999999</v>
      </c>
      <c r="AB32" s="2325">
        <f>ROUND(SUMPRODUCT(PRODUCT(1+Q32:Q$36)),4)</f>
        <v>1.0504</v>
      </c>
      <c r="AD32" s="2326">
        <f>ROUND(AVERAGE(I32:I$37)/100,4)</f>
        <v>1.2800000000000001E-2</v>
      </c>
      <c r="AE32" s="2326">
        <f>ROUND(AVERAGE(J32:J$37)/100,4)</f>
        <v>1.2500000000000001E-2</v>
      </c>
      <c r="AF32" s="2326">
        <f t="shared" si="192"/>
        <v>1.2500000000000001E-2</v>
      </c>
      <c r="AG32" s="2326">
        <f>ROUND(AVERAGE(K32:K$37)/100,4)</f>
        <v>1.32E-2</v>
      </c>
      <c r="AH32" s="2326">
        <f>ROUND(AVERAGE(L32:L$37)/100,4)</f>
        <v>1.0500000000000001E-2</v>
      </c>
    </row>
    <row r="33" spans="1:34">
      <c r="A33" s="2339" t="s">
        <v>98</v>
      </c>
      <c r="B33" s="2356">
        <f t="shared" si="197"/>
        <v>319.87748030386797</v>
      </c>
      <c r="C33" s="2356">
        <f t="shared" si="197"/>
        <v>269.60135833173649</v>
      </c>
      <c r="D33" s="2356">
        <f t="shared" si="194"/>
        <v>269.60135833173649</v>
      </c>
      <c r="E33" s="2356">
        <f t="shared" si="198"/>
        <v>439.18089823583784</v>
      </c>
      <c r="F33" s="2356">
        <f t="shared" si="198"/>
        <v>239.23503918706311</v>
      </c>
      <c r="G33" s="3711"/>
      <c r="H33" s="2341">
        <v>1</v>
      </c>
      <c r="I33" s="2341">
        <v>0.51</v>
      </c>
      <c r="J33" s="2341">
        <v>0.54</v>
      </c>
      <c r="K33" s="2341">
        <v>0.48</v>
      </c>
      <c r="L33" s="2342">
        <v>0.93</v>
      </c>
      <c r="N33" s="2361">
        <f t="shared" si="196"/>
        <v>5.1000000000000004E-3</v>
      </c>
      <c r="O33" s="2362">
        <f t="shared" si="191"/>
        <v>5.4000000000000003E-3</v>
      </c>
      <c r="P33" s="2362">
        <f t="shared" si="191"/>
        <v>4.7999999999999996E-3</v>
      </c>
      <c r="Q33" s="2362">
        <f t="shared" si="191"/>
        <v>9.300000000000001E-3</v>
      </c>
      <c r="R33" s="2353"/>
      <c r="S33" s="2361">
        <f>B33/B34-1</f>
        <v>5.9040261127922822E-3</v>
      </c>
      <c r="T33" s="2362">
        <f>C33/C34-1</f>
        <v>5.9752176557332781E-3</v>
      </c>
      <c r="U33" s="2362">
        <f>E33/E34-1</f>
        <v>4.9906138119859556E-3</v>
      </c>
      <c r="V33" s="2362">
        <f>F33/F34-1</f>
        <v>9.4305450930933787E-3</v>
      </c>
      <c r="X33" s="2325">
        <f>ROUND(SUMPRODUCT(PRODUCT(1+N33:N$36)),4)</f>
        <v>1.0399</v>
      </c>
      <c r="Y33" s="2325">
        <f>ROUND(SUMPRODUCT(PRODUCT(1+O33:O$36)),4)</f>
        <v>1.0451999999999999</v>
      </c>
      <c r="Z33" s="2325">
        <f t="shared" si="0"/>
        <v>1.0451999999999999</v>
      </c>
      <c r="AA33" s="2325">
        <f>ROUND(SUMPRODUCT(PRODUCT(1+P33:P$36)),4)</f>
        <v>1.0387999999999999</v>
      </c>
      <c r="AB33" s="2325">
        <f>ROUND(SUMPRODUCT(PRODUCT(1+Q33:Q$36)),4)</f>
        <v>1.0411999999999999</v>
      </c>
      <c r="AD33" s="2326">
        <f>ROUND(AVERAGE(I33:I$37)/100,4)</f>
        <v>1.38E-2</v>
      </c>
      <c r="AE33" s="2326">
        <f>ROUND(AVERAGE(J33:J$37)/100,4)</f>
        <v>1.3599999999999999E-2</v>
      </c>
      <c r="AF33" s="2326">
        <f t="shared" si="192"/>
        <v>1.3599999999999999E-2</v>
      </c>
      <c r="AG33" s="2326">
        <f>ROUND(AVERAGE(K33:K$37)/100,4)</f>
        <v>1.4200000000000001E-2</v>
      </c>
      <c r="AH33" s="2326">
        <f>ROUND(AVERAGE(L33:L$37)/100,4)</f>
        <v>1.0800000000000001E-2</v>
      </c>
    </row>
    <row r="34" spans="1:34" ht="13.5" thickBot="1">
      <c r="A34" s="2339" t="s">
        <v>97</v>
      </c>
      <c r="B34" s="2371">
        <v>318</v>
      </c>
      <c r="C34" s="2371">
        <v>268</v>
      </c>
      <c r="D34" s="2371">
        <f t="shared" si="194"/>
        <v>268</v>
      </c>
      <c r="E34" s="2371">
        <v>437</v>
      </c>
      <c r="F34" s="2372">
        <v>237</v>
      </c>
      <c r="G34" s="3709">
        <v>2014</v>
      </c>
      <c r="H34" s="2366">
        <v>4</v>
      </c>
      <c r="I34" s="2366">
        <v>0.21</v>
      </c>
      <c r="J34" s="2366">
        <v>0.41</v>
      </c>
      <c r="K34" s="2366">
        <v>0.12</v>
      </c>
      <c r="L34" s="2367">
        <v>0.89</v>
      </c>
      <c r="N34" s="2357">
        <f t="shared" si="196"/>
        <v>2.0999999999999999E-3</v>
      </c>
      <c r="O34" s="2326">
        <f t="shared" si="191"/>
        <v>4.0999999999999995E-3</v>
      </c>
      <c r="P34" s="2326">
        <f t="shared" si="191"/>
        <v>1.1999999999999999E-3</v>
      </c>
      <c r="Q34" s="2326">
        <f t="shared" si="191"/>
        <v>8.8999999999999999E-3</v>
      </c>
      <c r="R34" s="2353"/>
      <c r="S34" s="2354"/>
      <c r="T34" s="2355"/>
      <c r="U34" s="2355"/>
      <c r="V34" s="2355"/>
      <c r="X34" s="2325">
        <f>ROUND(SUMPRODUCT(PRODUCT(1+N34:N$36)),4)</f>
        <v>1.0347</v>
      </c>
      <c r="Y34" s="2325">
        <f>ROUND(SUMPRODUCT(PRODUCT(1+O34:O$36)),4)</f>
        <v>1.0395000000000001</v>
      </c>
      <c r="Z34" s="2325">
        <f t="shared" si="0"/>
        <v>1.0395000000000001</v>
      </c>
      <c r="AA34" s="2325">
        <f>ROUND(SUMPRODUCT(PRODUCT(1+P34:P$36)),4)</f>
        <v>1.0338000000000001</v>
      </c>
      <c r="AB34" s="2325">
        <f>ROUND(SUMPRODUCT(PRODUCT(1+Q34:Q$36)),4)</f>
        <v>1.0316000000000001</v>
      </c>
      <c r="AD34" s="2326">
        <f>ROUND(AVERAGE(I34:I$37)/100,4)</f>
        <v>1.6E-2</v>
      </c>
      <c r="AE34" s="2326">
        <f>ROUND(AVERAGE(J34:J$37)/100,4)</f>
        <v>1.5599999999999999E-2</v>
      </c>
      <c r="AF34" s="2326">
        <f t="shared" si="192"/>
        <v>1.5599999999999999E-2</v>
      </c>
      <c r="AG34" s="2326">
        <f>ROUND(AVERAGE(K34:K$37)/100,4)</f>
        <v>1.66E-2</v>
      </c>
      <c r="AH34" s="2326">
        <f>ROUND(AVERAGE(L34:L$37)/100,4)</f>
        <v>1.12E-2</v>
      </c>
    </row>
    <row r="35" spans="1:34">
      <c r="A35" s="2339" t="s">
        <v>96</v>
      </c>
      <c r="B35" s="2356">
        <f t="shared" ref="B35:C37" si="199">B34/(1+N34)</f>
        <v>317.33359944117353</v>
      </c>
      <c r="C35" s="2356">
        <f t="shared" si="199"/>
        <v>266.90568668459315</v>
      </c>
      <c r="D35" s="2356">
        <f t="shared" si="194"/>
        <v>266.90568668459315</v>
      </c>
      <c r="E35" s="2356">
        <f t="shared" ref="E35:F37" si="200">E34/(1+P34)</f>
        <v>436.47622852576905</v>
      </c>
      <c r="F35" s="2356">
        <f t="shared" si="200"/>
        <v>234.90930716622066</v>
      </c>
      <c r="G35" s="3710"/>
      <c r="H35" s="2373">
        <v>3</v>
      </c>
      <c r="I35" s="2373">
        <v>0.83</v>
      </c>
      <c r="J35" s="2373">
        <v>1.47</v>
      </c>
      <c r="K35" s="2373">
        <v>0.65</v>
      </c>
      <c r="L35" s="2374">
        <v>0.72</v>
      </c>
      <c r="N35" s="2357">
        <f t="shared" si="196"/>
        <v>8.3000000000000001E-3</v>
      </c>
      <c r="O35" s="2326">
        <f t="shared" si="191"/>
        <v>1.47E-2</v>
      </c>
      <c r="P35" s="2326">
        <f t="shared" si="191"/>
        <v>6.5000000000000006E-3</v>
      </c>
      <c r="Q35" s="2326">
        <f t="shared" si="191"/>
        <v>7.1999999999999998E-3</v>
      </c>
      <c r="R35" s="2353"/>
      <c r="S35" s="2357"/>
      <c r="T35" s="2326"/>
      <c r="U35" s="2326"/>
      <c r="V35" s="2326"/>
      <c r="X35" s="2325">
        <f>ROUND(SUMPRODUCT(PRODUCT(1+N35:N$36)),4)</f>
        <v>1.0325</v>
      </c>
      <c r="Y35" s="2325">
        <f>ROUND(SUMPRODUCT(PRODUCT(1+O35:O$36)),4)</f>
        <v>1.0353000000000001</v>
      </c>
      <c r="Z35" s="2325">
        <f t="shared" ref="Z35:Z36" si="201">Y35</f>
        <v>1.0353000000000001</v>
      </c>
      <c r="AA35" s="2325">
        <f>ROUND(SUMPRODUCT(PRODUCT(1+P35:P$36)),4)</f>
        <v>1.0326</v>
      </c>
      <c r="AB35" s="2325">
        <f>ROUND(SUMPRODUCT(PRODUCT(1+Q35:Q$36)),4)</f>
        <v>1.0225</v>
      </c>
      <c r="AD35" s="2326">
        <f>ROUND(AVERAGE(I35:I$37)/100,4)</f>
        <v>2.07E-2</v>
      </c>
      <c r="AE35" s="2326">
        <f>ROUND(AVERAGE(J35:J$37)/100,4)</f>
        <v>1.95E-2</v>
      </c>
      <c r="AF35" s="2326">
        <f t="shared" si="192"/>
        <v>1.95E-2</v>
      </c>
      <c r="AG35" s="2326">
        <f>ROUND(AVERAGE(K35:K$37)/100,4)</f>
        <v>2.1700000000000001E-2</v>
      </c>
      <c r="AH35" s="2326">
        <f>ROUND(AVERAGE(L35:L$37)/100,4)</f>
        <v>1.2E-2</v>
      </c>
    </row>
    <row r="36" spans="1:34" ht="13.5" thickBot="1">
      <c r="A36" s="2339" t="s">
        <v>95</v>
      </c>
      <c r="B36" s="2356">
        <f t="shared" si="199"/>
        <v>314.72141172386546</v>
      </c>
      <c r="C36" s="2356">
        <f t="shared" si="199"/>
        <v>263.03901319069001</v>
      </c>
      <c r="D36" s="2356">
        <f t="shared" si="194"/>
        <v>263.03901319069001</v>
      </c>
      <c r="E36" s="2356">
        <f t="shared" si="200"/>
        <v>433.65745506782821</v>
      </c>
      <c r="F36" s="2356">
        <f t="shared" si="200"/>
        <v>233.23005080045735</v>
      </c>
      <c r="G36" s="3710"/>
      <c r="H36" s="2366">
        <v>2</v>
      </c>
      <c r="I36" s="2366">
        <v>2.4</v>
      </c>
      <c r="J36" s="2366">
        <v>2.0299999999999998</v>
      </c>
      <c r="K36" s="2366">
        <v>2.59</v>
      </c>
      <c r="L36" s="2367">
        <v>1.52</v>
      </c>
      <c r="N36" s="2357">
        <f t="shared" si="196"/>
        <v>2.4E-2</v>
      </c>
      <c r="O36" s="2326">
        <f t="shared" si="191"/>
        <v>2.0299999999999999E-2</v>
      </c>
      <c r="P36" s="2326">
        <f t="shared" si="191"/>
        <v>2.5899999999999999E-2</v>
      </c>
      <c r="Q36" s="2326">
        <f t="shared" si="191"/>
        <v>1.52E-2</v>
      </c>
      <c r="R36" s="2353"/>
      <c r="S36" s="2357"/>
      <c r="T36" s="2326"/>
      <c r="U36" s="2326"/>
      <c r="V36" s="2326"/>
      <c r="X36" s="2325">
        <f>1+N36</f>
        <v>1.024</v>
      </c>
      <c r="Y36" s="2325">
        <f>1+O36</f>
        <v>1.0203</v>
      </c>
      <c r="Z36" s="2325">
        <f t="shared" si="201"/>
        <v>1.0203</v>
      </c>
      <c r="AA36" s="2325">
        <f>1+P36</f>
        <v>1.0259</v>
      </c>
      <c r="AB36" s="2325">
        <f>1+Q36</f>
        <v>1.0152000000000001</v>
      </c>
      <c r="AD36" s="2326">
        <f>ROUND(AVERAGE(I36:I$37)/100,4)</f>
        <v>2.69E-2</v>
      </c>
      <c r="AE36" s="2326">
        <f>ROUND(AVERAGE(J36:J$37)/100,4)</f>
        <v>2.1899999999999999E-2</v>
      </c>
      <c r="AF36" s="2326">
        <f t="shared" ref="AF36" si="202">AE36</f>
        <v>2.1899999999999999E-2</v>
      </c>
      <c r="AG36" s="2326">
        <f>ROUND(AVERAGE(K36:K$37)/100,4)</f>
        <v>2.9399999999999999E-2</v>
      </c>
      <c r="AH36" s="2326">
        <f>ROUND(AVERAGE(L36:L$37)/100,4)</f>
        <v>1.44E-2</v>
      </c>
    </row>
    <row r="37" spans="1:34" s="2379" customFormat="1" ht="13.5" thickBot="1">
      <c r="A37" s="2375" t="s">
        <v>94</v>
      </c>
      <c r="B37" s="2376">
        <f t="shared" si="199"/>
        <v>307.34512863658733</v>
      </c>
      <c r="C37" s="2376">
        <f t="shared" si="199"/>
        <v>257.80556031626975</v>
      </c>
      <c r="D37" s="2376">
        <f t="shared" si="194"/>
        <v>257.80556031626975</v>
      </c>
      <c r="E37" s="2376">
        <f t="shared" si="200"/>
        <v>422.70928459677179</v>
      </c>
      <c r="F37" s="2376">
        <f t="shared" si="200"/>
        <v>229.73803270336617</v>
      </c>
      <c r="G37" s="3711"/>
      <c r="H37" s="2377">
        <v>1</v>
      </c>
      <c r="I37" s="2377">
        <v>2.97</v>
      </c>
      <c r="J37" s="2377">
        <v>2.34</v>
      </c>
      <c r="K37" s="2377">
        <v>3.28</v>
      </c>
      <c r="L37" s="2378">
        <v>1.36</v>
      </c>
      <c r="N37" s="2380">
        <f t="shared" si="196"/>
        <v>2.9700000000000001E-2</v>
      </c>
      <c r="O37" s="2381">
        <f t="shared" si="191"/>
        <v>2.3399999999999997E-2</v>
      </c>
      <c r="P37" s="2381">
        <f t="shared" si="191"/>
        <v>3.2799999999999996E-2</v>
      </c>
      <c r="Q37" s="2381">
        <f t="shared" si="191"/>
        <v>1.3600000000000001E-2</v>
      </c>
      <c r="R37" s="2382"/>
      <c r="S37" s="2383">
        <f>B37/B38-1</f>
        <v>2.7910129219355539E-2</v>
      </c>
      <c r="T37" s="2384">
        <f>C37/C38-1</f>
        <v>2.3037937762975247E-2</v>
      </c>
      <c r="U37" s="2384">
        <f>E37/E38-1</f>
        <v>3.3519033243940788E-2</v>
      </c>
      <c r="V37" s="2384">
        <f>F37/F38-1</f>
        <v>1.2061818076502862E-2</v>
      </c>
      <c r="W37" s="2385" t="s">
        <v>1149</v>
      </c>
      <c r="X37" s="2386">
        <v>1</v>
      </c>
      <c r="Y37" s="2386">
        <v>1</v>
      </c>
      <c r="Z37" s="2386">
        <v>1</v>
      </c>
      <c r="AA37" s="2386">
        <v>1</v>
      </c>
      <c r="AB37" s="2386">
        <v>1</v>
      </c>
      <c r="AD37" s="2381">
        <f>I37/100</f>
        <v>2.9700000000000001E-2</v>
      </c>
      <c r="AE37" s="2381">
        <f>J37/100</f>
        <v>2.3399999999999997E-2</v>
      </c>
      <c r="AF37" s="2381">
        <f>AE37</f>
        <v>2.3399999999999997E-2</v>
      </c>
      <c r="AG37" s="2381">
        <f>K37/100</f>
        <v>3.2799999999999996E-2</v>
      </c>
      <c r="AH37" s="2381">
        <f>L37/100</f>
        <v>1.3600000000000001E-2</v>
      </c>
    </row>
    <row r="38" spans="1:34" ht="13.5" thickBot="1">
      <c r="A38" s="2339" t="s">
        <v>982</v>
      </c>
      <c r="B38" s="2349">
        <v>299</v>
      </c>
      <c r="C38" s="2349">
        <v>252</v>
      </c>
      <c r="D38" s="2349">
        <f t="shared" si="194"/>
        <v>252</v>
      </c>
      <c r="E38" s="2349">
        <v>409</v>
      </c>
      <c r="F38" s="2350">
        <v>227</v>
      </c>
      <c r="G38" s="3714">
        <v>2013</v>
      </c>
      <c r="H38" s="2387">
        <v>4</v>
      </c>
      <c r="I38" s="2387">
        <v>1.83</v>
      </c>
      <c r="J38" s="2387">
        <v>1.68</v>
      </c>
      <c r="K38" s="2387">
        <v>1.97</v>
      </c>
      <c r="L38" s="2388">
        <v>0.87</v>
      </c>
      <c r="N38" s="2351">
        <f t="shared" si="196"/>
        <v>1.83E-2</v>
      </c>
      <c r="O38" s="2352">
        <f t="shared" si="191"/>
        <v>1.6799999999999999E-2</v>
      </c>
      <c r="P38" s="2352">
        <f t="shared" si="191"/>
        <v>1.9699999999999999E-2</v>
      </c>
      <c r="Q38" s="2352">
        <f t="shared" si="191"/>
        <v>8.6999999999999994E-3</v>
      </c>
      <c r="R38" s="2353"/>
      <c r="S38" s="2354"/>
      <c r="T38" s="2355"/>
      <c r="U38" s="2355"/>
      <c r="V38" s="2355"/>
      <c r="X38" s="2355"/>
      <c r="Y38" s="2355"/>
      <c r="Z38" s="2355"/>
    </row>
    <row r="39" spans="1:34">
      <c r="A39" s="2339" t="s">
        <v>983</v>
      </c>
      <c r="B39" s="2356">
        <f t="shared" ref="B39:C41" si="203">B38/(1+N38)</f>
        <v>293.62663262299913</v>
      </c>
      <c r="C39" s="2356">
        <f t="shared" si="203"/>
        <v>247.83634933123525</v>
      </c>
      <c r="D39" s="2356">
        <f t="shared" si="194"/>
        <v>247.83634933123525</v>
      </c>
      <c r="E39" s="2356">
        <f t="shared" ref="E39:F41" si="204">E38/(1+P38)</f>
        <v>401.09836226341076</v>
      </c>
      <c r="F39" s="2356">
        <f t="shared" si="204"/>
        <v>225.04213343908003</v>
      </c>
      <c r="G39" s="3715"/>
      <c r="H39" s="2369">
        <v>3</v>
      </c>
      <c r="I39" s="2369">
        <v>1.86</v>
      </c>
      <c r="J39" s="2369">
        <v>1.72</v>
      </c>
      <c r="K39" s="2369">
        <v>1.98</v>
      </c>
      <c r="L39" s="2370">
        <v>0.88</v>
      </c>
      <c r="N39" s="2357">
        <f t="shared" si="196"/>
        <v>1.8600000000000002E-2</v>
      </c>
      <c r="O39" s="2363">
        <f t="shared" si="191"/>
        <v>1.72E-2</v>
      </c>
      <c r="P39" s="2363">
        <f t="shared" si="191"/>
        <v>1.9799999999999998E-2</v>
      </c>
      <c r="Q39" s="2363">
        <f t="shared" si="191"/>
        <v>8.8000000000000005E-3</v>
      </c>
      <c r="R39" s="2353"/>
      <c r="S39" s="2357"/>
      <c r="T39" s="2326"/>
      <c r="U39" s="2326"/>
      <c r="V39" s="2326"/>
    </row>
    <row r="40" spans="1:34">
      <c r="A40" s="2339" t="s">
        <v>984</v>
      </c>
      <c r="B40" s="2356">
        <f t="shared" si="203"/>
        <v>288.2649053828776</v>
      </c>
      <c r="C40" s="2356">
        <f t="shared" si="203"/>
        <v>243.64564425013293</v>
      </c>
      <c r="D40" s="2356">
        <f t="shared" si="194"/>
        <v>243.64564425013293</v>
      </c>
      <c r="E40" s="2356">
        <f t="shared" si="204"/>
        <v>393.31080825986544</v>
      </c>
      <c r="F40" s="2356">
        <f t="shared" si="204"/>
        <v>223.07903790551154</v>
      </c>
      <c r="G40" s="3715"/>
      <c r="H40" s="2359">
        <v>2</v>
      </c>
      <c r="I40" s="2359">
        <v>2.04</v>
      </c>
      <c r="J40" s="2359">
        <v>2.33</v>
      </c>
      <c r="K40" s="2359">
        <v>2.0699999999999998</v>
      </c>
      <c r="L40" s="2360">
        <v>0.69</v>
      </c>
      <c r="N40" s="2357">
        <f t="shared" si="196"/>
        <v>2.0400000000000001E-2</v>
      </c>
      <c r="O40" s="2363">
        <f t="shared" si="191"/>
        <v>2.3300000000000001E-2</v>
      </c>
      <c r="P40" s="2363">
        <f t="shared" si="191"/>
        <v>2.07E-2</v>
      </c>
      <c r="Q40" s="2363">
        <f t="shared" si="191"/>
        <v>6.8999999999999999E-3</v>
      </c>
      <c r="R40" s="2353"/>
      <c r="S40" s="2357"/>
      <c r="T40" s="2326"/>
      <c r="U40" s="2326"/>
      <c r="V40" s="2326"/>
      <c r="X40" s="2389"/>
      <c r="Y40" s="2390"/>
    </row>
    <row r="41" spans="1:34">
      <c r="A41" s="2339" t="s">
        <v>985</v>
      </c>
      <c r="B41" s="2356">
        <f t="shared" si="203"/>
        <v>282.50186729015837</v>
      </c>
      <c r="C41" s="2356">
        <f t="shared" si="203"/>
        <v>238.09796174155468</v>
      </c>
      <c r="D41" s="2356">
        <f t="shared" si="194"/>
        <v>238.09796174155468</v>
      </c>
      <c r="E41" s="2356">
        <f t="shared" si="204"/>
        <v>385.33438646014054</v>
      </c>
      <c r="F41" s="2356">
        <f t="shared" si="204"/>
        <v>221.55034055567739</v>
      </c>
      <c r="G41" s="3716"/>
      <c r="H41" s="2341">
        <v>1</v>
      </c>
      <c r="I41" s="2341">
        <v>1.67</v>
      </c>
      <c r="J41" s="2341">
        <v>1.31</v>
      </c>
      <c r="K41" s="2341">
        <v>1.85</v>
      </c>
      <c r="L41" s="2342">
        <v>0.96</v>
      </c>
      <c r="N41" s="2361">
        <f t="shared" si="196"/>
        <v>1.67E-2</v>
      </c>
      <c r="O41" s="2362">
        <f t="shared" si="196"/>
        <v>1.3100000000000001E-2</v>
      </c>
      <c r="P41" s="2362">
        <f t="shared" si="196"/>
        <v>1.8500000000000003E-2</v>
      </c>
      <c r="Q41" s="2362">
        <f t="shared" si="196"/>
        <v>9.5999999999999992E-3</v>
      </c>
      <c r="R41" s="2353"/>
      <c r="S41" s="2361">
        <f>B41/B42-1</f>
        <v>1.6193767230785472E-2</v>
      </c>
      <c r="T41" s="2362">
        <f>C41/C42-1</f>
        <v>1.7512657015190891E-2</v>
      </c>
      <c r="U41" s="2362">
        <f>E41/E42-1</f>
        <v>1.6713420739157048E-2</v>
      </c>
      <c r="V41" s="2362">
        <f>F41/F42-1</f>
        <v>7.0470025258062563E-3</v>
      </c>
      <c r="X41" s="2391"/>
      <c r="Y41" s="2326"/>
      <c r="Z41" s="2326"/>
    </row>
    <row r="42" spans="1:34" ht="13.5" thickBot="1">
      <c r="A42" s="2339" t="s">
        <v>986</v>
      </c>
      <c r="B42" s="2392">
        <v>278</v>
      </c>
      <c r="C42" s="2392">
        <v>234</v>
      </c>
      <c r="D42" s="2392">
        <f t="shared" si="194"/>
        <v>234</v>
      </c>
      <c r="E42" s="2392">
        <v>379</v>
      </c>
      <c r="F42" s="2393">
        <v>220</v>
      </c>
      <c r="G42" s="3709">
        <v>2012</v>
      </c>
      <c r="H42" s="2366">
        <v>4</v>
      </c>
      <c r="I42" s="2366">
        <v>0.91</v>
      </c>
      <c r="J42" s="2366">
        <v>0.68</v>
      </c>
      <c r="K42" s="2366">
        <v>0.98</v>
      </c>
      <c r="L42" s="2367">
        <v>0.9</v>
      </c>
      <c r="N42" s="2357">
        <f t="shared" si="196"/>
        <v>9.1000000000000004E-3</v>
      </c>
      <c r="O42" s="2326">
        <f t="shared" si="196"/>
        <v>6.8000000000000005E-3</v>
      </c>
      <c r="P42" s="2326">
        <f t="shared" si="196"/>
        <v>9.7999999999999997E-3</v>
      </c>
      <c r="Q42" s="2326">
        <f t="shared" si="196"/>
        <v>9.0000000000000011E-3</v>
      </c>
      <c r="R42" s="2353"/>
      <c r="S42" s="2354"/>
      <c r="T42" s="2355"/>
      <c r="U42" s="2355"/>
      <c r="V42" s="2355"/>
      <c r="X42" s="2355"/>
      <c r="Y42" s="2355"/>
      <c r="Z42" s="2355"/>
    </row>
    <row r="43" spans="1:34">
      <c r="A43" s="2339" t="s">
        <v>987</v>
      </c>
      <c r="B43" s="2356">
        <f>B42/(1+N42)</f>
        <v>275.49301357645425</v>
      </c>
      <c r="C43" s="2356">
        <f>C42/(1+O42)</f>
        <v>232.41954707985698</v>
      </c>
      <c r="D43" s="2356">
        <f t="shared" si="194"/>
        <v>232.41954707985698</v>
      </c>
      <c r="E43" s="2356">
        <f t="shared" ref="E43:F45" si="205">E42/(1+P42)</f>
        <v>375.32184591008121</v>
      </c>
      <c r="F43" s="2356">
        <f t="shared" si="205"/>
        <v>218.03766105054513</v>
      </c>
      <c r="G43" s="3710"/>
      <c r="H43" s="2369">
        <v>3</v>
      </c>
      <c r="I43" s="2369">
        <v>0.09</v>
      </c>
      <c r="J43" s="2369">
        <v>0.28999999999999998</v>
      </c>
      <c r="K43" s="2369">
        <v>-0.01</v>
      </c>
      <c r="L43" s="2370">
        <v>0.57999999999999996</v>
      </c>
      <c r="N43" s="2357">
        <f t="shared" si="196"/>
        <v>8.9999999999999998E-4</v>
      </c>
      <c r="O43" s="2326">
        <f t="shared" si="196"/>
        <v>2.8999999999999998E-3</v>
      </c>
      <c r="P43" s="2326">
        <f t="shared" si="196"/>
        <v>-1E-4</v>
      </c>
      <c r="Q43" s="2326">
        <f t="shared" si="196"/>
        <v>5.7999999999999996E-3</v>
      </c>
      <c r="R43" s="2353"/>
      <c r="S43" s="2357"/>
      <c r="T43" s="2326"/>
      <c r="U43" s="2326"/>
      <c r="V43" s="2326"/>
    </row>
    <row r="44" spans="1:34">
      <c r="A44" s="2339" t="s">
        <v>988</v>
      </c>
      <c r="B44" s="2356">
        <f>B43/(1+N43)</f>
        <v>275.24529281292263</v>
      </c>
      <c r="C44" s="2356">
        <f>C43/(1+O43)</f>
        <v>231.74747938962707</v>
      </c>
      <c r="D44" s="2356">
        <f t="shared" si="194"/>
        <v>231.74747938962707</v>
      </c>
      <c r="E44" s="2356">
        <f t="shared" si="205"/>
        <v>375.35938184826603</v>
      </c>
      <c r="F44" s="2356">
        <f t="shared" si="205"/>
        <v>216.78033510692495</v>
      </c>
      <c r="G44" s="3710"/>
      <c r="H44" s="2359">
        <v>2</v>
      </c>
      <c r="I44" s="2359">
        <v>0.02</v>
      </c>
      <c r="J44" s="2359">
        <v>0.12</v>
      </c>
      <c r="K44" s="2359">
        <v>-0.08</v>
      </c>
      <c r="L44" s="2360">
        <v>1.24</v>
      </c>
      <c r="N44" s="2357">
        <f t="shared" si="196"/>
        <v>2.0000000000000001E-4</v>
      </c>
      <c r="O44" s="2326">
        <f t="shared" si="196"/>
        <v>1.1999999999999999E-3</v>
      </c>
      <c r="P44" s="2326">
        <f t="shared" si="196"/>
        <v>-8.0000000000000004E-4</v>
      </c>
      <c r="Q44" s="2326">
        <f t="shared" si="196"/>
        <v>1.24E-2</v>
      </c>
      <c r="R44" s="2353"/>
      <c r="S44" s="2357"/>
      <c r="T44" s="2326"/>
      <c r="U44" s="2326"/>
      <c r="V44" s="2326"/>
    </row>
    <row r="45" spans="1:34" ht="13.5" thickBot="1">
      <c r="A45" s="2339" t="s">
        <v>989</v>
      </c>
      <c r="B45" s="2356">
        <f>B44/(1+N44)</f>
        <v>275.19025476197027</v>
      </c>
      <c r="C45" s="2394">
        <v>232</v>
      </c>
      <c r="D45" s="2394">
        <f t="shared" si="194"/>
        <v>232</v>
      </c>
      <c r="E45" s="2356">
        <f t="shared" si="205"/>
        <v>375.65990977608692</v>
      </c>
      <c r="F45" s="2356">
        <f t="shared" si="205"/>
        <v>214.12518283971252</v>
      </c>
      <c r="G45" s="3711"/>
      <c r="H45" s="2341">
        <v>1</v>
      </c>
      <c r="I45" s="2341">
        <v>0.02</v>
      </c>
      <c r="J45" s="2341">
        <v>0.13</v>
      </c>
      <c r="K45" s="2341">
        <v>-0.04</v>
      </c>
      <c r="L45" s="2342">
        <v>0.46</v>
      </c>
      <c r="N45" s="2357">
        <f t="shared" si="196"/>
        <v>2.0000000000000001E-4</v>
      </c>
      <c r="O45" s="2326">
        <f t="shared" si="196"/>
        <v>1.2999999999999999E-3</v>
      </c>
      <c r="P45" s="2326">
        <f t="shared" si="196"/>
        <v>-4.0000000000000002E-4</v>
      </c>
      <c r="Q45" s="2326">
        <f t="shared" si="196"/>
        <v>4.5999999999999999E-3</v>
      </c>
      <c r="R45" s="2353"/>
      <c r="S45" s="2361">
        <f>B45/B46-1</f>
        <v>6.9183549807361189E-4</v>
      </c>
      <c r="T45" s="2362">
        <f>C45/C46-1</f>
        <v>0</v>
      </c>
      <c r="U45" s="2362">
        <f>E45/E46-1</f>
        <v>-9.0449527636460303E-4</v>
      </c>
      <c r="V45" s="2362">
        <f>F45/F46-1</f>
        <v>5.2825485432512753E-3</v>
      </c>
      <c r="X45" s="2326"/>
      <c r="Y45" s="2326"/>
      <c r="Z45" s="2326"/>
    </row>
    <row r="46" spans="1:34" ht="13.5" thickBot="1">
      <c r="A46" s="2339" t="s">
        <v>990</v>
      </c>
      <c r="B46" s="2349">
        <v>275</v>
      </c>
      <c r="C46" s="2349">
        <v>232</v>
      </c>
      <c r="D46" s="2349">
        <f t="shared" si="194"/>
        <v>232</v>
      </c>
      <c r="E46" s="2349">
        <v>376</v>
      </c>
      <c r="F46" s="2350">
        <v>213</v>
      </c>
      <c r="G46" s="3709">
        <v>2011</v>
      </c>
      <c r="H46" s="2366">
        <v>4</v>
      </c>
      <c r="I46" s="2366">
        <v>-0.2</v>
      </c>
      <c r="J46" s="2366">
        <v>0.04</v>
      </c>
      <c r="K46" s="2366">
        <v>-0.34</v>
      </c>
      <c r="L46" s="2367">
        <v>0.46</v>
      </c>
      <c r="N46" s="2351">
        <f t="shared" si="196"/>
        <v>-2E-3</v>
      </c>
      <c r="O46" s="2352">
        <f t="shared" si="196"/>
        <v>4.0000000000000002E-4</v>
      </c>
      <c r="P46" s="2352">
        <f t="shared" si="196"/>
        <v>-3.4000000000000002E-3</v>
      </c>
      <c r="Q46" s="2352">
        <f t="shared" si="196"/>
        <v>4.5999999999999999E-3</v>
      </c>
      <c r="R46" s="2353"/>
      <c r="S46" s="2354"/>
      <c r="T46" s="2355"/>
      <c r="U46" s="2355"/>
      <c r="V46" s="2355"/>
      <c r="X46" s="2355"/>
      <c r="Y46" s="2355"/>
      <c r="Z46" s="2355"/>
    </row>
    <row r="47" spans="1:34">
      <c r="A47" s="2339" t="s">
        <v>991</v>
      </c>
      <c r="B47" s="2356">
        <f t="shared" ref="B47:C49" si="206">B46/(1+N46)</f>
        <v>275.55110220440883</v>
      </c>
      <c r="C47" s="2356">
        <f t="shared" si="206"/>
        <v>231.90723710515795</v>
      </c>
      <c r="D47" s="2356">
        <f t="shared" si="194"/>
        <v>231.90723710515795</v>
      </c>
      <c r="E47" s="2356">
        <f t="shared" ref="E47:F49" si="207">E46/(1+P46)</f>
        <v>377.28276138872161</v>
      </c>
      <c r="F47" s="2356">
        <f t="shared" si="207"/>
        <v>212.02468644236512</v>
      </c>
      <c r="G47" s="3710">
        <v>2011</v>
      </c>
      <c r="H47" s="2369">
        <v>3</v>
      </c>
      <c r="I47" s="2369">
        <v>0.13</v>
      </c>
      <c r="J47" s="2369">
        <v>0.75</v>
      </c>
      <c r="K47" s="2369">
        <v>-0.08</v>
      </c>
      <c r="L47" s="2370">
        <v>0.53</v>
      </c>
      <c r="N47" s="2357">
        <f t="shared" si="196"/>
        <v>1.2999999999999999E-3</v>
      </c>
      <c r="O47" s="2363">
        <f t="shared" si="196"/>
        <v>7.4999999999999997E-3</v>
      </c>
      <c r="P47" s="2363">
        <f t="shared" si="196"/>
        <v>-8.0000000000000004E-4</v>
      </c>
      <c r="Q47" s="2363">
        <f t="shared" si="196"/>
        <v>5.3E-3</v>
      </c>
      <c r="R47" s="2353"/>
      <c r="S47" s="2357"/>
      <c r="T47" s="2326"/>
      <c r="U47" s="2326"/>
      <c r="V47" s="2326"/>
    </row>
    <row r="48" spans="1:34">
      <c r="A48" s="2339" t="s">
        <v>992</v>
      </c>
      <c r="B48" s="2356">
        <f t="shared" si="206"/>
        <v>275.19335084830601</v>
      </c>
      <c r="C48" s="2356">
        <f t="shared" si="206"/>
        <v>230.18088050139744</v>
      </c>
      <c r="D48" s="2356">
        <f t="shared" si="194"/>
        <v>230.18088050139744</v>
      </c>
      <c r="E48" s="2356">
        <f t="shared" si="207"/>
        <v>377.58482925212331</v>
      </c>
      <c r="F48" s="2356">
        <f t="shared" si="207"/>
        <v>210.90687997847917</v>
      </c>
      <c r="G48" s="3710">
        <v>2011</v>
      </c>
      <c r="H48" s="2359">
        <v>2</v>
      </c>
      <c r="I48" s="2359">
        <v>-0.4</v>
      </c>
      <c r="J48" s="2359">
        <v>0.17</v>
      </c>
      <c r="K48" s="2359">
        <v>-0.57999999999999996</v>
      </c>
      <c r="L48" s="2360">
        <v>-0.2</v>
      </c>
      <c r="N48" s="2357">
        <f t="shared" si="196"/>
        <v>-4.0000000000000001E-3</v>
      </c>
      <c r="O48" s="2363">
        <f t="shared" si="196"/>
        <v>1.7000000000000001E-3</v>
      </c>
      <c r="P48" s="2363">
        <f t="shared" si="196"/>
        <v>-5.7999999999999996E-3</v>
      </c>
      <c r="Q48" s="2363">
        <f t="shared" si="196"/>
        <v>-2E-3</v>
      </c>
      <c r="R48" s="2353"/>
      <c r="S48" s="2357"/>
      <c r="T48" s="2326"/>
      <c r="U48" s="2326"/>
      <c r="V48" s="2326"/>
    </row>
    <row r="49" spans="1:26" ht="13.5" thickBot="1">
      <c r="A49" s="2339" t="s">
        <v>993</v>
      </c>
      <c r="B49" s="2356">
        <f t="shared" si="206"/>
        <v>276.29854502841971</v>
      </c>
      <c r="C49" s="2356">
        <f t="shared" si="206"/>
        <v>229.79023709833027</v>
      </c>
      <c r="D49" s="2356">
        <f t="shared" si="194"/>
        <v>229.79023709833027</v>
      </c>
      <c r="E49" s="2356">
        <f t="shared" si="207"/>
        <v>379.78759731655936</v>
      </c>
      <c r="F49" s="2356">
        <f t="shared" si="207"/>
        <v>211.32953905659235</v>
      </c>
      <c r="G49" s="3711">
        <v>2011</v>
      </c>
      <c r="H49" s="2341">
        <v>1</v>
      </c>
      <c r="I49" s="2341">
        <v>2.65</v>
      </c>
      <c r="J49" s="2341">
        <v>3.76</v>
      </c>
      <c r="K49" s="2341">
        <v>1.89</v>
      </c>
      <c r="L49" s="2342">
        <v>7.95</v>
      </c>
      <c r="N49" s="2361">
        <f t="shared" si="196"/>
        <v>2.6499999999999999E-2</v>
      </c>
      <c r="O49" s="2362">
        <f t="shared" si="196"/>
        <v>3.7599999999999995E-2</v>
      </c>
      <c r="P49" s="2362">
        <f t="shared" si="196"/>
        <v>1.89E-2</v>
      </c>
      <c r="Q49" s="2362">
        <f t="shared" si="196"/>
        <v>7.9500000000000001E-2</v>
      </c>
      <c r="R49" s="2353"/>
      <c r="S49" s="2361">
        <f>B49/B50-1</f>
        <v>2.713213765211786E-2</v>
      </c>
      <c r="T49" s="2362">
        <f>C49/C50-1</f>
        <v>3.9774828499231862E-2</v>
      </c>
      <c r="U49" s="2362">
        <f>E49/E50-1</f>
        <v>1.8197311840641772E-2</v>
      </c>
      <c r="V49" s="2362">
        <f>F49/F50-1</f>
        <v>7.8211933962205826E-2</v>
      </c>
      <c r="X49" s="2326"/>
      <c r="Y49" s="2326"/>
      <c r="Z49" s="2326"/>
    </row>
    <row r="50" spans="1:26" ht="13.5" thickBot="1">
      <c r="A50" s="2339" t="s">
        <v>994</v>
      </c>
      <c r="B50" s="2349">
        <v>269</v>
      </c>
      <c r="C50" s="2349">
        <v>221</v>
      </c>
      <c r="D50" s="2349">
        <f t="shared" si="194"/>
        <v>221</v>
      </c>
      <c r="E50" s="2349">
        <v>373</v>
      </c>
      <c r="F50" s="2350">
        <v>196</v>
      </c>
      <c r="G50" s="3709">
        <v>2010</v>
      </c>
      <c r="H50" s="2366">
        <v>4</v>
      </c>
      <c r="I50" s="2366">
        <v>5.72</v>
      </c>
      <c r="J50" s="2366">
        <v>6.57</v>
      </c>
      <c r="K50" s="2366">
        <v>5.72</v>
      </c>
      <c r="L50" s="2367">
        <v>2.72</v>
      </c>
      <c r="N50" s="2357">
        <f t="shared" si="196"/>
        <v>5.7200000000000001E-2</v>
      </c>
      <c r="O50" s="2326">
        <f t="shared" si="196"/>
        <v>6.5700000000000008E-2</v>
      </c>
      <c r="P50" s="2326">
        <f t="shared" si="196"/>
        <v>5.7200000000000001E-2</v>
      </c>
      <c r="Q50" s="2326">
        <f t="shared" si="196"/>
        <v>2.7200000000000002E-2</v>
      </c>
      <c r="R50" s="2353"/>
      <c r="S50" s="2354"/>
      <c r="T50" s="2355"/>
      <c r="U50" s="2355"/>
      <c r="V50" s="2355"/>
      <c r="X50" s="2355"/>
      <c r="Y50" s="2355"/>
      <c r="Z50" s="2355"/>
    </row>
    <row r="51" spans="1:26">
      <c r="A51" s="2339" t="s">
        <v>995</v>
      </c>
      <c r="B51" s="2356">
        <f t="shared" ref="B51:C53" si="208">B50/(1+N50)</f>
        <v>254.44570563753314</v>
      </c>
      <c r="C51" s="2356">
        <f t="shared" si="208"/>
        <v>207.37543398705074</v>
      </c>
      <c r="D51" s="2356">
        <f t="shared" si="194"/>
        <v>207.37543398705074</v>
      </c>
      <c r="E51" s="2356">
        <f t="shared" ref="E51:F53" si="209">E50/(1+P50)</f>
        <v>352.81876655315932</v>
      </c>
      <c r="F51" s="2356">
        <f t="shared" si="209"/>
        <v>190.809968847352</v>
      </c>
      <c r="G51" s="3710">
        <v>2010</v>
      </c>
      <c r="H51" s="2369">
        <v>3</v>
      </c>
      <c r="I51" s="2369">
        <v>4.7300000000000004</v>
      </c>
      <c r="J51" s="2369">
        <v>3.9</v>
      </c>
      <c r="K51" s="2369">
        <v>5.03</v>
      </c>
      <c r="L51" s="2370">
        <v>4.21</v>
      </c>
      <c r="N51" s="2357">
        <f t="shared" si="196"/>
        <v>4.7300000000000002E-2</v>
      </c>
      <c r="O51" s="2326">
        <f t="shared" si="196"/>
        <v>3.9E-2</v>
      </c>
      <c r="P51" s="2326">
        <f t="shared" si="196"/>
        <v>5.0300000000000004E-2</v>
      </c>
      <c r="Q51" s="2326">
        <f t="shared" si="196"/>
        <v>4.2099999999999999E-2</v>
      </c>
      <c r="R51" s="2353"/>
      <c r="S51" s="2357"/>
      <c r="T51" s="2326"/>
      <c r="U51" s="2326"/>
      <c r="V51" s="2326"/>
    </row>
    <row r="52" spans="1:26">
      <c r="A52" s="2339" t="s">
        <v>996</v>
      </c>
      <c r="B52" s="2356">
        <f t="shared" si="208"/>
        <v>242.95398227588385</v>
      </c>
      <c r="C52" s="2356">
        <f t="shared" si="208"/>
        <v>199.59137053614126</v>
      </c>
      <c r="D52" s="2356">
        <f t="shared" si="194"/>
        <v>199.59137053614126</v>
      </c>
      <c r="E52" s="2356">
        <f t="shared" si="209"/>
        <v>335.92189522342125</v>
      </c>
      <c r="F52" s="2356">
        <f t="shared" si="209"/>
        <v>183.10139991109489</v>
      </c>
      <c r="G52" s="3710">
        <v>2010</v>
      </c>
      <c r="H52" s="2359">
        <v>2</v>
      </c>
      <c r="I52" s="2359">
        <v>4.6900000000000004</v>
      </c>
      <c r="J52" s="2359">
        <v>3.55</v>
      </c>
      <c r="K52" s="2359">
        <v>5.07</v>
      </c>
      <c r="L52" s="2360">
        <v>4.2300000000000004</v>
      </c>
      <c r="N52" s="2357">
        <f t="shared" si="196"/>
        <v>4.6900000000000004E-2</v>
      </c>
      <c r="O52" s="2326">
        <f t="shared" si="196"/>
        <v>3.5499999999999997E-2</v>
      </c>
      <c r="P52" s="2326">
        <f t="shared" si="196"/>
        <v>5.0700000000000002E-2</v>
      </c>
      <c r="Q52" s="2326">
        <f t="shared" si="196"/>
        <v>4.2300000000000004E-2</v>
      </c>
      <c r="R52" s="2353"/>
      <c r="S52" s="2357"/>
      <c r="T52" s="2326"/>
      <c r="U52" s="2326"/>
      <c r="V52" s="2326"/>
    </row>
    <row r="53" spans="1:26" ht="13.5" thickBot="1">
      <c r="A53" s="2339" t="s">
        <v>997</v>
      </c>
      <c r="B53" s="2356">
        <f t="shared" si="208"/>
        <v>232.06990378821649</v>
      </c>
      <c r="C53" s="2356">
        <f t="shared" si="208"/>
        <v>192.74878854286936</v>
      </c>
      <c r="D53" s="2356">
        <f t="shared" si="194"/>
        <v>192.74878854286936</v>
      </c>
      <c r="E53" s="2356">
        <f t="shared" si="209"/>
        <v>319.71247284992984</v>
      </c>
      <c r="F53" s="2356">
        <f t="shared" si="209"/>
        <v>175.67053622862409</v>
      </c>
      <c r="G53" s="3711">
        <v>2010</v>
      </c>
      <c r="H53" s="2341">
        <v>1</v>
      </c>
      <c r="I53" s="2341">
        <v>5.4</v>
      </c>
      <c r="J53" s="2341">
        <v>3.2</v>
      </c>
      <c r="K53" s="2341">
        <v>6.16</v>
      </c>
      <c r="L53" s="2342">
        <v>4.51</v>
      </c>
      <c r="N53" s="2357">
        <f t="shared" si="196"/>
        <v>5.4000000000000006E-2</v>
      </c>
      <c r="O53" s="2326">
        <f t="shared" si="196"/>
        <v>3.2000000000000001E-2</v>
      </c>
      <c r="P53" s="2326">
        <f t="shared" si="196"/>
        <v>6.1600000000000002E-2</v>
      </c>
      <c r="Q53" s="2326">
        <f t="shared" si="196"/>
        <v>4.5100000000000001E-2</v>
      </c>
      <c r="R53" s="2353"/>
      <c r="S53" s="2361">
        <f>B53/B54-1</f>
        <v>5.4863199037347599E-2</v>
      </c>
      <c r="T53" s="2362">
        <f>C53/C54-1</f>
        <v>3.0742184721226584E-2</v>
      </c>
      <c r="U53" s="2362">
        <f>E53/E54-1</f>
        <v>6.2167683886810154E-2</v>
      </c>
      <c r="V53" s="2362">
        <f>F53/F54-1</f>
        <v>4.5657953741810031E-2</v>
      </c>
      <c r="X53" s="2326"/>
      <c r="Y53" s="2326"/>
      <c r="Z53" s="2326"/>
    </row>
    <row r="54" spans="1:26" ht="13.5" thickBot="1">
      <c r="A54" s="2339" t="s">
        <v>998</v>
      </c>
      <c r="B54" s="2349">
        <v>220</v>
      </c>
      <c r="C54" s="2349">
        <v>187</v>
      </c>
      <c r="D54" s="2349">
        <f t="shared" si="194"/>
        <v>187</v>
      </c>
      <c r="E54" s="2349">
        <v>301</v>
      </c>
      <c r="F54" s="2350">
        <v>168</v>
      </c>
      <c r="G54" s="3709">
        <v>2009</v>
      </c>
      <c r="H54" s="2366">
        <v>4</v>
      </c>
      <c r="I54" s="2366">
        <v>2.2999999999999998</v>
      </c>
      <c r="J54" s="2366">
        <v>1.04</v>
      </c>
      <c r="K54" s="2366">
        <v>2.84</v>
      </c>
      <c r="L54" s="2367">
        <v>0.67</v>
      </c>
      <c r="N54" s="2351">
        <f t="shared" si="196"/>
        <v>2.3E-2</v>
      </c>
      <c r="O54" s="2352">
        <f t="shared" si="196"/>
        <v>1.04E-2</v>
      </c>
      <c r="P54" s="2352">
        <f t="shared" si="196"/>
        <v>2.8399999999999998E-2</v>
      </c>
      <c r="Q54" s="2352">
        <f t="shared" si="196"/>
        <v>6.7000000000000002E-3</v>
      </c>
      <c r="R54" s="2353"/>
      <c r="S54" s="2354"/>
      <c r="T54" s="2355"/>
      <c r="U54" s="2355"/>
      <c r="V54" s="2355"/>
      <c r="X54" s="2355"/>
      <c r="Y54" s="2355"/>
      <c r="Z54" s="2355"/>
    </row>
    <row r="55" spans="1:26">
      <c r="A55" s="2339" t="s">
        <v>999</v>
      </c>
      <c r="B55" s="2356">
        <f t="shared" ref="B55:C57" si="210">B54/(1+N54)</f>
        <v>215.05376344086022</v>
      </c>
      <c r="C55" s="2356">
        <f t="shared" si="210"/>
        <v>185.0752177355503</v>
      </c>
      <c r="D55" s="2356">
        <f t="shared" si="194"/>
        <v>185.0752177355503</v>
      </c>
      <c r="E55" s="2356">
        <f t="shared" ref="E55:F57" si="211">E54/(1+P54)</f>
        <v>292.68767016725008</v>
      </c>
      <c r="F55" s="2356">
        <f t="shared" si="211"/>
        <v>166.88189132810174</v>
      </c>
      <c r="G55" s="3710">
        <v>2009</v>
      </c>
      <c r="H55" s="2369">
        <v>3</v>
      </c>
      <c r="I55" s="2369">
        <v>2.1</v>
      </c>
      <c r="J55" s="2369">
        <v>1.86</v>
      </c>
      <c r="K55" s="2369">
        <v>2.29</v>
      </c>
      <c r="L55" s="2370">
        <v>0.85</v>
      </c>
      <c r="N55" s="2357">
        <f t="shared" si="196"/>
        <v>2.1000000000000001E-2</v>
      </c>
      <c r="O55" s="2363">
        <f t="shared" si="196"/>
        <v>1.8600000000000002E-2</v>
      </c>
      <c r="P55" s="2363">
        <f t="shared" si="196"/>
        <v>2.29E-2</v>
      </c>
      <c r="Q55" s="2363">
        <f t="shared" si="196"/>
        <v>8.5000000000000006E-3</v>
      </c>
      <c r="R55" s="2353"/>
      <c r="S55" s="2357"/>
      <c r="T55" s="2326"/>
      <c r="U55" s="2326"/>
      <c r="V55" s="2326"/>
    </row>
    <row r="56" spans="1:26">
      <c r="A56" s="2339" t="s">
        <v>1000</v>
      </c>
      <c r="B56" s="2356">
        <f t="shared" si="210"/>
        <v>210.630522469011</v>
      </c>
      <c r="C56" s="2356">
        <f t="shared" si="210"/>
        <v>181.69567812247232</v>
      </c>
      <c r="D56" s="2356">
        <f t="shared" si="194"/>
        <v>181.69567812247232</v>
      </c>
      <c r="E56" s="2356">
        <f t="shared" si="211"/>
        <v>286.13517466736738</v>
      </c>
      <c r="F56" s="2356">
        <f t="shared" si="211"/>
        <v>165.47535084591149</v>
      </c>
      <c r="G56" s="3710">
        <v>2009</v>
      </c>
      <c r="H56" s="2359">
        <v>2</v>
      </c>
      <c r="I56" s="2359">
        <v>0.86</v>
      </c>
      <c r="J56" s="2359">
        <v>-1.1299999999999999</v>
      </c>
      <c r="K56" s="2359">
        <v>1.79</v>
      </c>
      <c r="L56" s="2360">
        <v>-2.0699999999999998</v>
      </c>
      <c r="N56" s="2357">
        <f t="shared" si="196"/>
        <v>8.6E-3</v>
      </c>
      <c r="O56" s="2363">
        <f t="shared" si="196"/>
        <v>-1.1299999999999999E-2</v>
      </c>
      <c r="P56" s="2363">
        <f t="shared" si="196"/>
        <v>1.7899999999999999E-2</v>
      </c>
      <c r="Q56" s="2363">
        <f t="shared" si="196"/>
        <v>-2.07E-2</v>
      </c>
      <c r="R56" s="2353"/>
      <c r="S56" s="2357"/>
      <c r="T56" s="2326"/>
      <c r="U56" s="2326"/>
      <c r="V56" s="2326"/>
    </row>
    <row r="57" spans="1:26">
      <c r="A57" s="2339" t="s">
        <v>1001</v>
      </c>
      <c r="B57" s="2356">
        <f t="shared" si="210"/>
        <v>208.83454537875372</v>
      </c>
      <c r="C57" s="2356">
        <f t="shared" si="210"/>
        <v>183.77230517090351</v>
      </c>
      <c r="D57" s="2356">
        <f t="shared" si="194"/>
        <v>183.77230517090351</v>
      </c>
      <c r="E57" s="2356">
        <f t="shared" si="211"/>
        <v>281.10342338870947</v>
      </c>
      <c r="F57" s="2356">
        <f t="shared" si="211"/>
        <v>168.97309388942256</v>
      </c>
      <c r="G57" s="3711">
        <v>2009</v>
      </c>
      <c r="H57" s="2341">
        <v>1</v>
      </c>
      <c r="I57" s="2341">
        <v>-2.64</v>
      </c>
      <c r="J57" s="2341">
        <v>-2.5299999999999998</v>
      </c>
      <c r="K57" s="2341">
        <v>-3.02</v>
      </c>
      <c r="L57" s="2342">
        <v>1.52</v>
      </c>
      <c r="N57" s="2361">
        <f t="shared" si="196"/>
        <v>-2.64E-2</v>
      </c>
      <c r="O57" s="2362">
        <f t="shared" si="196"/>
        <v>-2.53E-2</v>
      </c>
      <c r="P57" s="2362">
        <f t="shared" si="196"/>
        <v>-3.0200000000000001E-2</v>
      </c>
      <c r="Q57" s="2362">
        <f t="shared" si="196"/>
        <v>1.52E-2</v>
      </c>
      <c r="R57" s="2353"/>
      <c r="S57" s="2361">
        <f>B57/B58-1</f>
        <v>-2.4137638417038754E-2</v>
      </c>
      <c r="T57" s="2362">
        <f>C57/C58-1</f>
        <v>-2.248773845264096E-2</v>
      </c>
      <c r="U57" s="2362">
        <f>E57/E58-1</f>
        <v>-2.7323794502735366E-2</v>
      </c>
      <c r="V57" s="2362">
        <f>F57/F58-1</f>
        <v>1.7910204153148035E-2</v>
      </c>
      <c r="X57" s="2326"/>
      <c r="Y57" s="2326"/>
      <c r="Z57" s="2326"/>
    </row>
    <row r="58" spans="1:26" ht="13.5" thickBot="1">
      <c r="A58" s="2339" t="s">
        <v>1002</v>
      </c>
      <c r="B58" s="2392">
        <v>214</v>
      </c>
      <c r="C58" s="2392">
        <v>188</v>
      </c>
      <c r="D58" s="2392">
        <f t="shared" si="194"/>
        <v>188</v>
      </c>
      <c r="E58" s="2392">
        <v>289</v>
      </c>
      <c r="F58" s="2393">
        <v>166</v>
      </c>
      <c r="G58" s="3709">
        <v>2008</v>
      </c>
      <c r="H58" s="2366">
        <v>4</v>
      </c>
      <c r="I58" s="2366">
        <v>1.73</v>
      </c>
      <c r="J58" s="2366">
        <v>0.03</v>
      </c>
      <c r="K58" s="2366">
        <v>2.59</v>
      </c>
      <c r="L58" s="2367">
        <v>-1.66</v>
      </c>
      <c r="N58" s="2357">
        <f t="shared" si="196"/>
        <v>1.7299999999999999E-2</v>
      </c>
      <c r="O58" s="2326">
        <f t="shared" si="196"/>
        <v>2.9999999999999997E-4</v>
      </c>
      <c r="P58" s="2326">
        <f t="shared" si="196"/>
        <v>2.5899999999999999E-2</v>
      </c>
      <c r="Q58" s="2326">
        <f t="shared" si="196"/>
        <v>-1.66E-2</v>
      </c>
      <c r="R58" s="2353"/>
      <c r="S58" s="2354"/>
      <c r="T58" s="2355"/>
      <c r="U58" s="2355"/>
      <c r="V58" s="2355"/>
      <c r="X58" s="2355"/>
      <c r="Y58" s="2355"/>
      <c r="Z58" s="2355"/>
    </row>
    <row r="59" spans="1:26">
      <c r="A59" s="2339" t="s">
        <v>1003</v>
      </c>
      <c r="B59" s="2356">
        <f t="shared" ref="B59:C61" si="212">B58/(1+N58)</f>
        <v>210.36075887152265</v>
      </c>
      <c r="C59" s="2356">
        <f t="shared" si="212"/>
        <v>187.94361691492554</v>
      </c>
      <c r="D59" s="2356">
        <f t="shared" si="194"/>
        <v>187.94361691492554</v>
      </c>
      <c r="E59" s="2356">
        <f t="shared" ref="E59:F61" si="213">E58/(1+P58)</f>
        <v>281.70386977288234</v>
      </c>
      <c r="F59" s="2356">
        <f t="shared" si="213"/>
        <v>168.80211511083994</v>
      </c>
      <c r="G59" s="3710">
        <v>2008</v>
      </c>
      <c r="H59" s="2369">
        <v>3</v>
      </c>
      <c r="I59" s="2369">
        <v>1.96</v>
      </c>
      <c r="J59" s="2369">
        <v>2.36</v>
      </c>
      <c r="K59" s="2369">
        <v>1.82</v>
      </c>
      <c r="L59" s="2370">
        <v>2.2200000000000002</v>
      </c>
      <c r="N59" s="2357">
        <f t="shared" si="196"/>
        <v>1.9599999999999999E-2</v>
      </c>
      <c r="O59" s="2326">
        <f t="shared" si="196"/>
        <v>2.3599999999999999E-2</v>
      </c>
      <c r="P59" s="2326">
        <f t="shared" si="196"/>
        <v>1.8200000000000001E-2</v>
      </c>
      <c r="Q59" s="2326">
        <f t="shared" si="196"/>
        <v>2.2200000000000001E-2</v>
      </c>
      <c r="R59" s="2353"/>
      <c r="S59" s="2357"/>
      <c r="T59" s="2326"/>
      <c r="U59" s="2326"/>
      <c r="V59" s="2326"/>
    </row>
    <row r="60" spans="1:26">
      <c r="A60" s="2339" t="s">
        <v>1004</v>
      </c>
      <c r="B60" s="2356">
        <f t="shared" si="212"/>
        <v>206.31694671589116</v>
      </c>
      <c r="C60" s="2356">
        <f t="shared" si="212"/>
        <v>183.61041121036101</v>
      </c>
      <c r="D60" s="2356">
        <f t="shared" si="194"/>
        <v>183.61041121036101</v>
      </c>
      <c r="E60" s="2356">
        <f t="shared" si="213"/>
        <v>276.66850301795557</v>
      </c>
      <c r="F60" s="2356">
        <f t="shared" si="213"/>
        <v>165.1360938278614</v>
      </c>
      <c r="G60" s="3710">
        <v>2008</v>
      </c>
      <c r="H60" s="2359">
        <v>2</v>
      </c>
      <c r="I60" s="2359">
        <v>4.93</v>
      </c>
      <c r="J60" s="2359">
        <v>7.38</v>
      </c>
      <c r="K60" s="2359">
        <v>3.98</v>
      </c>
      <c r="L60" s="2360">
        <v>6.86</v>
      </c>
      <c r="N60" s="2357">
        <f t="shared" si="196"/>
        <v>4.9299999999999997E-2</v>
      </c>
      <c r="O60" s="2326">
        <f t="shared" si="196"/>
        <v>7.3800000000000004E-2</v>
      </c>
      <c r="P60" s="2326">
        <f t="shared" si="196"/>
        <v>3.9800000000000002E-2</v>
      </c>
      <c r="Q60" s="2326">
        <f t="shared" si="196"/>
        <v>6.8600000000000008E-2</v>
      </c>
      <c r="R60" s="2353"/>
      <c r="S60" s="2357"/>
      <c r="T60" s="2326"/>
      <c r="U60" s="2326"/>
      <c r="V60" s="2326"/>
    </row>
    <row r="61" spans="1:26" s="2398" customFormat="1" ht="13.5" thickBot="1">
      <c r="A61" s="2339" t="s">
        <v>1005</v>
      </c>
      <c r="B61" s="2395">
        <f t="shared" si="212"/>
        <v>196.62341248059772</v>
      </c>
      <c r="C61" s="2395">
        <f t="shared" si="212"/>
        <v>170.99125648199012</v>
      </c>
      <c r="D61" s="2395">
        <f t="shared" si="194"/>
        <v>170.99125648199012</v>
      </c>
      <c r="E61" s="2395">
        <f t="shared" si="213"/>
        <v>266.07857570490052</v>
      </c>
      <c r="F61" s="2395">
        <f t="shared" si="213"/>
        <v>154.53499328828505</v>
      </c>
      <c r="G61" s="3711">
        <v>2008</v>
      </c>
      <c r="H61" s="2396">
        <v>1</v>
      </c>
      <c r="I61" s="2396">
        <v>4.1399999999999997</v>
      </c>
      <c r="J61" s="2396">
        <v>3.45</v>
      </c>
      <c r="K61" s="2396">
        <v>4.95</v>
      </c>
      <c r="L61" s="2397">
        <v>4.82</v>
      </c>
      <c r="N61" s="2399">
        <f t="shared" si="196"/>
        <v>4.1399999999999999E-2</v>
      </c>
      <c r="O61" s="2400">
        <f t="shared" si="196"/>
        <v>3.4500000000000003E-2</v>
      </c>
      <c r="P61" s="2400">
        <f t="shared" si="196"/>
        <v>4.9500000000000002E-2</v>
      </c>
      <c r="Q61" s="2400">
        <f t="shared" si="196"/>
        <v>4.82E-2</v>
      </c>
      <c r="R61" s="2401"/>
      <c r="S61" s="2399">
        <f>B61/B62-1</f>
        <v>4.5869215322328349E-2</v>
      </c>
      <c r="T61" s="2400">
        <f>C61/C62-1</f>
        <v>3.6310645345394743E-2</v>
      </c>
      <c r="U61" s="2400">
        <f>E61/E62-1</f>
        <v>4.7553447657088688E-2</v>
      </c>
      <c r="V61" s="2400">
        <f>F61/F62-1</f>
        <v>4.4155360055980086E-2</v>
      </c>
      <c r="X61" s="2400"/>
      <c r="Y61" s="2400"/>
      <c r="Z61" s="2400"/>
    </row>
    <row r="62" spans="1:26" ht="13.5" thickBot="1">
      <c r="A62" s="2339" t="s">
        <v>1006</v>
      </c>
      <c r="B62" s="2349">
        <v>188</v>
      </c>
      <c r="C62" s="2349">
        <v>165</v>
      </c>
      <c r="D62" s="2349">
        <f t="shared" si="194"/>
        <v>165</v>
      </c>
      <c r="E62" s="2349">
        <v>254</v>
      </c>
      <c r="F62" s="2350">
        <v>148</v>
      </c>
      <c r="G62" s="3709">
        <v>2007</v>
      </c>
      <c r="H62" s="2402">
        <v>4</v>
      </c>
      <c r="I62" s="2402">
        <v>5.51</v>
      </c>
      <c r="J62" s="2402">
        <v>4.8899999999999997</v>
      </c>
      <c r="K62" s="2402">
        <v>6.43</v>
      </c>
      <c r="L62" s="2403">
        <v>5.36</v>
      </c>
      <c r="N62" s="2404">
        <f t="shared" ref="N62:O65" si="214">B62/B63-1</f>
        <v>4.1339718365245526E-2</v>
      </c>
      <c r="O62" s="2405">
        <f t="shared" si="214"/>
        <v>4.0324492593776018E-2</v>
      </c>
      <c r="P62" s="2405">
        <f t="shared" ref="P62:Q65" si="215">E62/E63-1</f>
        <v>6.1625555347990968E-2</v>
      </c>
      <c r="Q62" s="2405">
        <f t="shared" si="215"/>
        <v>4.6757569250590603E-2</v>
      </c>
      <c r="R62" s="2353"/>
      <c r="S62" s="2354"/>
      <c r="T62" s="2355"/>
      <c r="U62" s="2355"/>
      <c r="V62" s="2355"/>
      <c r="X62" s="2355"/>
      <c r="Y62" s="2355"/>
      <c r="Z62" s="2355"/>
    </row>
    <row r="63" spans="1:26">
      <c r="A63" s="2339" t="s">
        <v>1007</v>
      </c>
      <c r="B63" s="2356">
        <f t="shared" ref="B63:C65" si="216">B64+(B$62-B$66)*I63/SUM(I$62:I$65)</f>
        <v>180.5366651097618</v>
      </c>
      <c r="C63" s="2356">
        <f t="shared" si="216"/>
        <v>158.60435967302453</v>
      </c>
      <c r="D63" s="2356">
        <f t="shared" si="194"/>
        <v>158.60435967302453</v>
      </c>
      <c r="E63" s="2356">
        <f t="shared" ref="E63:F65" si="217">E64+(E$62-E$66)*K63/SUM(K$62:K$65)</f>
        <v>239.25573260785075</v>
      </c>
      <c r="F63" s="2356">
        <f t="shared" si="217"/>
        <v>141.38899430740037</v>
      </c>
      <c r="G63" s="3710">
        <v>2007</v>
      </c>
      <c r="H63" s="2369">
        <v>3</v>
      </c>
      <c r="I63" s="2369">
        <v>8.65</v>
      </c>
      <c r="J63" s="2369">
        <v>8.06</v>
      </c>
      <c r="K63" s="2369">
        <v>9.94</v>
      </c>
      <c r="L63" s="2370">
        <v>5.8</v>
      </c>
      <c r="N63" s="2404">
        <f t="shared" si="214"/>
        <v>6.940217571740015E-2</v>
      </c>
      <c r="O63" s="2405">
        <f t="shared" si="214"/>
        <v>7.1197482471153428E-2</v>
      </c>
      <c r="P63" s="2405">
        <f t="shared" si="215"/>
        <v>0.10529679922579582</v>
      </c>
      <c r="Q63" s="2405">
        <f t="shared" si="215"/>
        <v>5.3292245059512133E-2</v>
      </c>
      <c r="R63" s="2353"/>
      <c r="S63" s="2357"/>
      <c r="T63" s="2326"/>
      <c r="U63" s="2326"/>
      <c r="V63" s="2326"/>
      <c r="X63" s="2406"/>
      <c r="Y63" s="2406"/>
      <c r="Z63" s="2406"/>
    </row>
    <row r="64" spans="1:26">
      <c r="A64" s="2339" t="s">
        <v>1008</v>
      </c>
      <c r="B64" s="2356">
        <f t="shared" si="216"/>
        <v>168.82017748715555</v>
      </c>
      <c r="C64" s="2356">
        <f t="shared" si="216"/>
        <v>148.06267029972753</v>
      </c>
      <c r="D64" s="2356">
        <f t="shared" si="194"/>
        <v>148.06267029972753</v>
      </c>
      <c r="E64" s="2356">
        <f t="shared" si="217"/>
        <v>216.46288379323747</v>
      </c>
      <c r="F64" s="2356">
        <f t="shared" si="217"/>
        <v>134.23529411764704</v>
      </c>
      <c r="G64" s="3710">
        <v>2007</v>
      </c>
      <c r="H64" s="2359">
        <v>2</v>
      </c>
      <c r="I64" s="2359">
        <v>3.67</v>
      </c>
      <c r="J64" s="2359">
        <v>2.3199999999999998</v>
      </c>
      <c r="K64" s="2359">
        <v>5.0199999999999996</v>
      </c>
      <c r="L64" s="2360">
        <v>6.71</v>
      </c>
      <c r="N64" s="2404">
        <f t="shared" si="214"/>
        <v>3.0339138143848032E-2</v>
      </c>
      <c r="O64" s="2405">
        <f t="shared" si="214"/>
        <v>2.0922341588790472E-2</v>
      </c>
      <c r="P64" s="2405">
        <f t="shared" si="215"/>
        <v>5.6164796592717003E-2</v>
      </c>
      <c r="Q64" s="2405">
        <f t="shared" si="215"/>
        <v>6.5704536723887319E-2</v>
      </c>
      <c r="R64" s="2353"/>
      <c r="S64" s="2357"/>
      <c r="T64" s="2326"/>
      <c r="U64" s="2326"/>
      <c r="V64" s="2326"/>
      <c r="X64" s="2406"/>
      <c r="Y64" s="2406"/>
      <c r="Z64" s="2406"/>
    </row>
    <row r="65" spans="1:26">
      <c r="A65" s="2339" t="s">
        <v>1009</v>
      </c>
      <c r="B65" s="2356">
        <f t="shared" si="216"/>
        <v>163.84913591779542</v>
      </c>
      <c r="C65" s="2356">
        <f t="shared" si="216"/>
        <v>145.0283378746594</v>
      </c>
      <c r="D65" s="2356">
        <f t="shared" si="194"/>
        <v>145.0283378746594</v>
      </c>
      <c r="E65" s="2356">
        <f t="shared" si="217"/>
        <v>204.95180722891567</v>
      </c>
      <c r="F65" s="2356">
        <f t="shared" si="217"/>
        <v>125.95920303605313</v>
      </c>
      <c r="G65" s="3711">
        <v>2007</v>
      </c>
      <c r="H65" s="2341">
        <v>1</v>
      </c>
      <c r="I65" s="2341">
        <v>3.58</v>
      </c>
      <c r="J65" s="2341">
        <v>3.08</v>
      </c>
      <c r="K65" s="2341">
        <v>4.34</v>
      </c>
      <c r="L65" s="2342">
        <v>3.21</v>
      </c>
      <c r="N65" s="2407">
        <f t="shared" si="214"/>
        <v>3.0497710174814063E-2</v>
      </c>
      <c r="O65" s="2408">
        <f t="shared" si="214"/>
        <v>2.8569772160704998E-2</v>
      </c>
      <c r="P65" s="2408">
        <f t="shared" si="215"/>
        <v>5.1034908866234296E-2</v>
      </c>
      <c r="Q65" s="2408">
        <f t="shared" si="215"/>
        <v>3.245248390207478E-2</v>
      </c>
      <c r="R65" s="2353"/>
      <c r="S65" s="2361">
        <f>B65/B66-1</f>
        <v>3.0497710174814063E-2</v>
      </c>
      <c r="T65" s="2362">
        <f>C65/C66-1</f>
        <v>2.8569772160704998E-2</v>
      </c>
      <c r="U65" s="2362">
        <f>E65/E66-1</f>
        <v>5.1034908866234296E-2</v>
      </c>
      <c r="V65" s="2362">
        <f>F65/F66-1</f>
        <v>3.245248390207478E-2</v>
      </c>
      <c r="X65" s="2406"/>
      <c r="Y65" s="2406"/>
      <c r="Z65" s="2406"/>
    </row>
    <row r="66" spans="1:26" ht="13.5" thickBot="1">
      <c r="A66" s="2339" t="s">
        <v>1010</v>
      </c>
      <c r="B66" s="2371">
        <v>159</v>
      </c>
      <c r="C66" s="2371">
        <v>141</v>
      </c>
      <c r="D66" s="2371">
        <f t="shared" si="194"/>
        <v>141</v>
      </c>
      <c r="E66" s="2371">
        <v>195</v>
      </c>
      <c r="F66" s="2372">
        <v>122</v>
      </c>
      <c r="G66" s="3709">
        <v>2006</v>
      </c>
      <c r="H66" s="2366">
        <v>4</v>
      </c>
      <c r="I66" s="2366">
        <v>3.79</v>
      </c>
      <c r="J66" s="2366">
        <v>2.21</v>
      </c>
      <c r="K66" s="2366">
        <v>5.65</v>
      </c>
      <c r="L66" s="2367">
        <v>5.41</v>
      </c>
      <c r="N66" s="2404">
        <f t="shared" ref="N66:O69" si="218">I66/SUM(I$66:I$69)*(B$66/B$70-1)</f>
        <v>7.245466462748526E-2</v>
      </c>
      <c r="O66" s="2405">
        <f t="shared" si="218"/>
        <v>2.3237230038062766E-2</v>
      </c>
      <c r="P66" s="2405">
        <f t="shared" ref="P66:Q69" si="219">K66/SUM(K$66:K$69)*(E$66/E$70-1)</f>
        <v>0.16146893866323722</v>
      </c>
      <c r="Q66" s="2405">
        <f t="shared" si="219"/>
        <v>5.0755230321793784E-2</v>
      </c>
      <c r="R66" s="2353"/>
      <c r="S66" s="2354"/>
      <c r="T66" s="2355"/>
      <c r="U66" s="2355"/>
      <c r="V66" s="2355"/>
      <c r="X66" s="2406"/>
      <c r="Y66" s="2406"/>
      <c r="Z66" s="2406"/>
    </row>
    <row r="67" spans="1:26">
      <c r="A67" s="2339" t="s">
        <v>1011</v>
      </c>
      <c r="B67" s="2356">
        <f t="shared" ref="B67:C69" si="220">B68+(B$66-B$70)*I67/SUM(I$66:I$69)</f>
        <v>149.00125628140702</v>
      </c>
      <c r="C67" s="2356">
        <f t="shared" si="220"/>
        <v>137.95592286501378</v>
      </c>
      <c r="D67" s="2356">
        <f t="shared" si="194"/>
        <v>137.95592286501378</v>
      </c>
      <c r="E67" s="2356">
        <f t="shared" ref="E67:F69" si="221">E68+(E$66-E$70)*K67/SUM(K$66:K$69)</f>
        <v>169.97231450719823</v>
      </c>
      <c r="F67" s="2356">
        <f t="shared" si="221"/>
        <v>116.21390374331551</v>
      </c>
      <c r="G67" s="3710">
        <v>2006</v>
      </c>
      <c r="H67" s="2369">
        <v>3</v>
      </c>
      <c r="I67" s="2369">
        <v>0.92</v>
      </c>
      <c r="J67" s="2369">
        <v>1.08</v>
      </c>
      <c r="K67" s="2369">
        <v>0.73</v>
      </c>
      <c r="L67" s="2370">
        <v>1.08</v>
      </c>
      <c r="N67" s="2404">
        <f t="shared" si="218"/>
        <v>1.7587939698492462E-2</v>
      </c>
      <c r="O67" s="2405">
        <f t="shared" si="218"/>
        <v>1.1355750425840628E-2</v>
      </c>
      <c r="P67" s="2405">
        <f t="shared" si="219"/>
        <v>2.0862358446754544E-2</v>
      </c>
      <c r="Q67" s="2405">
        <f t="shared" si="219"/>
        <v>1.0132282578103011E-2</v>
      </c>
      <c r="R67" s="2353"/>
      <c r="S67" s="2357"/>
      <c r="T67" s="2326"/>
      <c r="U67" s="2326"/>
      <c r="V67" s="2326"/>
      <c r="X67" s="2406"/>
      <c r="Y67" s="2406"/>
      <c r="Z67" s="2406"/>
    </row>
    <row r="68" spans="1:26">
      <c r="A68" s="2339" t="s">
        <v>1012</v>
      </c>
      <c r="B68" s="2356">
        <f t="shared" si="220"/>
        <v>146.57412060301507</v>
      </c>
      <c r="C68" s="2356">
        <f t="shared" si="220"/>
        <v>136.46831955922866</v>
      </c>
      <c r="D68" s="2356">
        <f t="shared" si="194"/>
        <v>136.46831955922866</v>
      </c>
      <c r="E68" s="2356">
        <f t="shared" si="221"/>
        <v>166.73864894795128</v>
      </c>
      <c r="F68" s="2356">
        <f t="shared" si="221"/>
        <v>115.05882352941177</v>
      </c>
      <c r="G68" s="3710">
        <v>2006</v>
      </c>
      <c r="H68" s="2359">
        <v>2</v>
      </c>
      <c r="I68" s="2359">
        <v>0.96</v>
      </c>
      <c r="J68" s="2359">
        <v>0.25</v>
      </c>
      <c r="K68" s="2359">
        <v>1.9</v>
      </c>
      <c r="L68" s="2360">
        <v>0.95</v>
      </c>
      <c r="N68" s="2404">
        <f t="shared" si="218"/>
        <v>1.8352632728861701E-2</v>
      </c>
      <c r="O68" s="2405">
        <f t="shared" si="218"/>
        <v>2.6286459319075526E-3</v>
      </c>
      <c r="P68" s="2405">
        <f t="shared" si="219"/>
        <v>5.4299289107991269E-2</v>
      </c>
      <c r="Q68" s="2405">
        <f t="shared" si="219"/>
        <v>8.9126559714794995E-3</v>
      </c>
      <c r="R68" s="2353"/>
      <c r="S68" s="2357"/>
      <c r="T68" s="2326"/>
      <c r="U68" s="2326"/>
      <c r="V68" s="2326"/>
      <c r="X68" s="2406"/>
      <c r="Y68" s="2406"/>
      <c r="Z68" s="2406"/>
    </row>
    <row r="69" spans="1:26">
      <c r="A69" s="2339" t="s">
        <v>1013</v>
      </c>
      <c r="B69" s="2356">
        <f t="shared" si="220"/>
        <v>144.04145728643215</v>
      </c>
      <c r="C69" s="2356">
        <f t="shared" si="220"/>
        <v>136.12396694214877</v>
      </c>
      <c r="D69" s="2356">
        <f t="shared" si="194"/>
        <v>136.12396694214877</v>
      </c>
      <c r="E69" s="2356">
        <f t="shared" si="221"/>
        <v>158.32225913621264</v>
      </c>
      <c r="F69" s="2356">
        <f t="shared" si="221"/>
        <v>114.04278074866311</v>
      </c>
      <c r="G69" s="3711">
        <v>2006</v>
      </c>
      <c r="H69" s="2341">
        <v>1</v>
      </c>
      <c r="I69" s="2341">
        <v>2.29</v>
      </c>
      <c r="J69" s="2341">
        <v>3.72</v>
      </c>
      <c r="K69" s="2341">
        <v>0.75</v>
      </c>
      <c r="L69" s="2342">
        <v>0.04</v>
      </c>
      <c r="N69" s="2407">
        <f t="shared" si="218"/>
        <v>4.3778675988638847E-2</v>
      </c>
      <c r="O69" s="2408">
        <f t="shared" si="218"/>
        <v>3.9114251466784385E-2</v>
      </c>
      <c r="P69" s="2408">
        <f t="shared" si="219"/>
        <v>2.1433929911049188E-2</v>
      </c>
      <c r="Q69" s="2408">
        <f t="shared" si="219"/>
        <v>3.7526972511492629E-4</v>
      </c>
      <c r="R69" s="2353"/>
      <c r="S69" s="2361">
        <f>B69/B70-1</f>
        <v>4.3778675988638716E-2</v>
      </c>
      <c r="T69" s="2362">
        <f>C69/C70-1</f>
        <v>3.91142514667846E-2</v>
      </c>
      <c r="U69" s="2362">
        <f>E69/E70-1</f>
        <v>2.143392991104931E-2</v>
      </c>
      <c r="V69" s="2362">
        <f>F69/F70-1</f>
        <v>3.7526972511492396E-4</v>
      </c>
      <c r="X69" s="2406"/>
      <c r="Y69" s="2406"/>
      <c r="Z69" s="2406"/>
    </row>
    <row r="70" spans="1:26" ht="13.5" thickBot="1">
      <c r="A70" s="2339" t="s">
        <v>1014</v>
      </c>
      <c r="B70" s="2371">
        <v>138</v>
      </c>
      <c r="C70" s="2371">
        <v>131</v>
      </c>
      <c r="D70" s="2371">
        <f t="shared" si="194"/>
        <v>131</v>
      </c>
      <c r="E70" s="2371">
        <v>155</v>
      </c>
      <c r="F70" s="2372">
        <v>114</v>
      </c>
      <c r="G70" s="3709">
        <v>2005</v>
      </c>
      <c r="H70" s="2366">
        <v>4</v>
      </c>
      <c r="I70" s="2366">
        <v>3.29</v>
      </c>
      <c r="J70" s="2366">
        <v>1.44</v>
      </c>
      <c r="K70" s="2366">
        <v>0.66</v>
      </c>
      <c r="L70" s="2367">
        <v>7.78</v>
      </c>
      <c r="N70" s="2404">
        <f t="shared" ref="N70:O73" si="222">I70/SUM(I$70:I$73)*(B$70/B$74-1)</f>
        <v>9.9404603216919935E-2</v>
      </c>
      <c r="O70" s="2405">
        <f t="shared" si="222"/>
        <v>4.7636550760861554E-2</v>
      </c>
      <c r="P70" s="2405">
        <f t="shared" ref="P70:Q73" si="223">K70/SUM(K$70:K$73)*(E$70/E$74-1)</f>
        <v>8.3756345177664976E-2</v>
      </c>
      <c r="Q70" s="2405">
        <f t="shared" si="223"/>
        <v>5.2148766661559584E-2</v>
      </c>
      <c r="R70" s="2353"/>
      <c r="S70" s="2354"/>
      <c r="T70" s="2355"/>
      <c r="U70" s="2355"/>
      <c r="V70" s="2355"/>
      <c r="X70" s="2406"/>
      <c r="Y70" s="2406"/>
      <c r="Z70" s="2406"/>
    </row>
    <row r="71" spans="1:26">
      <c r="A71" s="2339" t="s">
        <v>1015</v>
      </c>
      <c r="B71" s="2356">
        <f t="shared" ref="B71:C73" si="224">B72+(B$70-B$74)*I71/SUM(I$70:I$73)</f>
        <v>125.9720430107527</v>
      </c>
      <c r="C71" s="2356">
        <f t="shared" si="224"/>
        <v>125.1883408071749</v>
      </c>
      <c r="D71" s="2356">
        <f t="shared" si="194"/>
        <v>125.1883408071749</v>
      </c>
      <c r="E71" s="2356">
        <f t="shared" ref="E71:F73" si="225">E72+(E$70-E$74)*K71/SUM(K$70:K$73)</f>
        <v>144.61421319796952</v>
      </c>
      <c r="F71" s="2356">
        <f t="shared" si="225"/>
        <v>108.42008196721311</v>
      </c>
      <c r="G71" s="3710">
        <v>2005</v>
      </c>
      <c r="H71" s="2369">
        <v>3</v>
      </c>
      <c r="I71" s="2369">
        <v>0.46</v>
      </c>
      <c r="J71" s="2369">
        <v>0.32</v>
      </c>
      <c r="K71" s="2369">
        <v>0.42</v>
      </c>
      <c r="L71" s="2370">
        <v>0.64</v>
      </c>
      <c r="N71" s="2404">
        <f t="shared" si="222"/>
        <v>1.3898515951301874E-2</v>
      </c>
      <c r="O71" s="2405">
        <f t="shared" si="222"/>
        <v>1.0585900169080346E-2</v>
      </c>
      <c r="P71" s="2405">
        <f t="shared" si="223"/>
        <v>5.3299492385786795E-2</v>
      </c>
      <c r="Q71" s="2405">
        <f t="shared" si="223"/>
        <v>4.2898728359123568E-3</v>
      </c>
      <c r="R71" s="2353"/>
      <c r="S71" s="2357"/>
      <c r="T71" s="2326"/>
      <c r="U71" s="2326"/>
      <c r="V71" s="2326"/>
      <c r="X71" s="2406"/>
      <c r="Y71" s="2406"/>
      <c r="Z71" s="2406"/>
    </row>
    <row r="72" spans="1:26">
      <c r="A72" s="2339" t="s">
        <v>1016</v>
      </c>
      <c r="B72" s="2356">
        <f t="shared" si="224"/>
        <v>124.29032258064517</v>
      </c>
      <c r="C72" s="2356">
        <f t="shared" si="224"/>
        <v>123.8968609865471</v>
      </c>
      <c r="D72" s="2356">
        <f t="shared" si="194"/>
        <v>123.8968609865471</v>
      </c>
      <c r="E72" s="2356">
        <f t="shared" si="225"/>
        <v>138.00507614213197</v>
      </c>
      <c r="F72" s="2356">
        <f t="shared" si="225"/>
        <v>107.96106557377048</v>
      </c>
      <c r="G72" s="3710">
        <v>2005</v>
      </c>
      <c r="H72" s="2359">
        <v>2</v>
      </c>
      <c r="I72" s="2359">
        <v>0.47</v>
      </c>
      <c r="J72" s="2359">
        <v>0.1</v>
      </c>
      <c r="K72" s="2359">
        <v>0.52</v>
      </c>
      <c r="L72" s="2360">
        <v>0.79</v>
      </c>
      <c r="N72" s="2404">
        <f t="shared" si="222"/>
        <v>1.420065760241713E-2</v>
      </c>
      <c r="O72" s="2405">
        <f t="shared" si="222"/>
        <v>3.3080938028376083E-3</v>
      </c>
      <c r="P72" s="2405">
        <f t="shared" si="223"/>
        <v>6.598984771573603E-2</v>
      </c>
      <c r="Q72" s="2405">
        <f t="shared" si="223"/>
        <v>5.2953117818293153E-3</v>
      </c>
      <c r="R72" s="2353"/>
      <c r="S72" s="2357"/>
      <c r="T72" s="2326"/>
      <c r="U72" s="2326"/>
      <c r="V72" s="2326"/>
      <c r="X72" s="2406"/>
      <c r="Y72" s="2406"/>
      <c r="Z72" s="2406"/>
    </row>
    <row r="73" spans="1:26">
      <c r="A73" s="2339" t="s">
        <v>1017</v>
      </c>
      <c r="B73" s="2356">
        <f t="shared" si="224"/>
        <v>122.57204301075269</v>
      </c>
      <c r="C73" s="2356">
        <f t="shared" si="224"/>
        <v>123.4932735426009</v>
      </c>
      <c r="D73" s="2356">
        <f t="shared" si="194"/>
        <v>123.4932735426009</v>
      </c>
      <c r="E73" s="2356">
        <f t="shared" si="225"/>
        <v>129.82233502538071</v>
      </c>
      <c r="F73" s="2356">
        <f t="shared" si="225"/>
        <v>107.39446721311475</v>
      </c>
      <c r="G73" s="3711">
        <v>2005</v>
      </c>
      <c r="H73" s="2341">
        <v>1</v>
      </c>
      <c r="I73" s="2341">
        <v>0.43</v>
      </c>
      <c r="J73" s="2341">
        <v>0.37</v>
      </c>
      <c r="K73" s="2341">
        <v>0.37</v>
      </c>
      <c r="L73" s="2342">
        <v>0.55000000000000004</v>
      </c>
      <c r="N73" s="2407">
        <f t="shared" si="222"/>
        <v>1.2992090997956099E-2</v>
      </c>
      <c r="O73" s="2408">
        <f t="shared" si="222"/>
        <v>1.2239947070499151E-2</v>
      </c>
      <c r="P73" s="2408">
        <f t="shared" si="223"/>
        <v>4.6954314720812178E-2</v>
      </c>
      <c r="Q73" s="2408">
        <f t="shared" si="223"/>
        <v>3.6866094683621815E-3</v>
      </c>
      <c r="R73" s="2353"/>
      <c r="S73" s="2361">
        <f>B73/B74-1</f>
        <v>1.2992090997956174E-2</v>
      </c>
      <c r="T73" s="2362">
        <f>C73/C74-1</f>
        <v>1.2239947070499246E-2</v>
      </c>
      <c r="U73" s="2362">
        <f>E73/E74-1</f>
        <v>4.695431472081224E-2</v>
      </c>
      <c r="V73" s="2362">
        <f>F73/F74-1</f>
        <v>3.6866094683620787E-3</v>
      </c>
      <c r="X73" s="2406"/>
      <c r="Y73" s="2406"/>
      <c r="Z73" s="2406"/>
    </row>
    <row r="74" spans="1:26" ht="13.5" thickBot="1">
      <c r="A74" s="2339" t="s">
        <v>1018</v>
      </c>
      <c r="B74" s="2392">
        <v>121</v>
      </c>
      <c r="C74" s="2392">
        <v>122</v>
      </c>
      <c r="D74" s="2392">
        <f t="shared" si="194"/>
        <v>122</v>
      </c>
      <c r="E74" s="2392">
        <v>124</v>
      </c>
      <c r="F74" s="2393">
        <v>107</v>
      </c>
      <c r="G74" s="3709">
        <v>2004</v>
      </c>
      <c r="H74" s="2366">
        <v>4</v>
      </c>
      <c r="I74" s="2366">
        <v>0.33</v>
      </c>
      <c r="J74" s="2366">
        <v>0.5</v>
      </c>
      <c r="K74" s="2366">
        <v>0.5</v>
      </c>
      <c r="L74" s="2367">
        <v>0</v>
      </c>
      <c r="N74" s="2404">
        <f t="shared" ref="N74:O77" si="226">I74/SUM(I$74:I$77)*(B$74/B$78-1)</f>
        <v>1.3391770148526898E-2</v>
      </c>
      <c r="O74" s="2405">
        <f t="shared" si="226"/>
        <v>1.063264221158958E-2</v>
      </c>
      <c r="P74" s="2405">
        <f t="shared" ref="P74:Q77" si="227">K74/SUM(K$74:K$77)*(E$74/E$78-1)</f>
        <v>2.2244466688911134E-2</v>
      </c>
      <c r="Q74" s="2405">
        <f t="shared" si="227"/>
        <v>0</v>
      </c>
      <c r="R74" s="2353"/>
      <c r="S74" s="2354"/>
      <c r="T74" s="2355"/>
      <c r="U74" s="2355"/>
      <c r="V74" s="2355"/>
      <c r="X74" s="2406"/>
      <c r="Y74" s="2406"/>
      <c r="Z74" s="2406"/>
    </row>
    <row r="75" spans="1:26">
      <c r="A75" s="2339" t="s">
        <v>1019</v>
      </c>
      <c r="B75" s="2356">
        <f t="shared" ref="B75:C77" si="228">B76+(B$74-B$78)*I75/SUM(I$74:I$77)</f>
        <v>119.51351351351352</v>
      </c>
      <c r="C75" s="2356">
        <f t="shared" si="228"/>
        <v>120.7878787878788</v>
      </c>
      <c r="D75" s="2356">
        <f t="shared" si="194"/>
        <v>120.7878787878788</v>
      </c>
      <c r="E75" s="2356">
        <f t="shared" ref="E75:F77" si="229">E76+(E$74-E$78)*K75/SUM(K$74:K$77)</f>
        <v>121.5975975975976</v>
      </c>
      <c r="F75" s="2356">
        <f t="shared" si="229"/>
        <v>107</v>
      </c>
      <c r="G75" s="3710">
        <v>2004</v>
      </c>
      <c r="H75" s="2369">
        <v>3</v>
      </c>
      <c r="I75" s="2369">
        <v>0.56000000000000005</v>
      </c>
      <c r="J75" s="2369">
        <v>0.8</v>
      </c>
      <c r="K75" s="2369">
        <v>0.83</v>
      </c>
      <c r="L75" s="2370">
        <v>0.06</v>
      </c>
      <c r="N75" s="2404">
        <f t="shared" si="226"/>
        <v>2.2725428130833527E-2</v>
      </c>
      <c r="O75" s="2405">
        <f t="shared" si="226"/>
        <v>1.7012227538543329E-2</v>
      </c>
      <c r="P75" s="2405">
        <f t="shared" si="227"/>
        <v>3.6925814703592477E-2</v>
      </c>
      <c r="Q75" s="2405">
        <f t="shared" si="227"/>
        <v>2.8846153846153744E-2</v>
      </c>
      <c r="R75" s="2353"/>
      <c r="S75" s="2357"/>
      <c r="T75" s="2326"/>
      <c r="U75" s="2326"/>
      <c r="V75" s="2326"/>
      <c r="X75" s="2406"/>
      <c r="Y75" s="2406"/>
      <c r="Z75" s="2406"/>
    </row>
    <row r="76" spans="1:26">
      <c r="A76" s="2339" t="s">
        <v>1020</v>
      </c>
      <c r="B76" s="2356">
        <f t="shared" si="228"/>
        <v>116.99099099099099</v>
      </c>
      <c r="C76" s="2356">
        <f t="shared" si="228"/>
        <v>118.84848484848486</v>
      </c>
      <c r="D76" s="2356">
        <f t="shared" si="194"/>
        <v>118.84848484848486</v>
      </c>
      <c r="E76" s="2356">
        <f t="shared" si="229"/>
        <v>117.60960960960961</v>
      </c>
      <c r="F76" s="2356">
        <f t="shared" si="229"/>
        <v>104</v>
      </c>
      <c r="G76" s="3710">
        <v>2004</v>
      </c>
      <c r="H76" s="2359">
        <v>2</v>
      </c>
      <c r="I76" s="2359">
        <v>1</v>
      </c>
      <c r="J76" s="2359">
        <v>1.5</v>
      </c>
      <c r="K76" s="2359">
        <v>1.5</v>
      </c>
      <c r="L76" s="2360">
        <v>0</v>
      </c>
      <c r="N76" s="2404">
        <f t="shared" si="226"/>
        <v>4.0581121662202721E-2</v>
      </c>
      <c r="O76" s="2405">
        <f t="shared" si="226"/>
        <v>3.1897926634768738E-2</v>
      </c>
      <c r="P76" s="2405">
        <f t="shared" si="227"/>
        <v>6.6733400066733395E-2</v>
      </c>
      <c r="Q76" s="2405">
        <f t="shared" si="227"/>
        <v>0</v>
      </c>
      <c r="R76" s="2353"/>
      <c r="S76" s="2357"/>
      <c r="T76" s="2326"/>
      <c r="U76" s="2326"/>
      <c r="V76" s="2326"/>
      <c r="X76" s="2406"/>
      <c r="Y76" s="2406"/>
      <c r="Z76" s="2406"/>
    </row>
    <row r="77" spans="1:26" s="2398" customFormat="1" ht="13.5" thickBot="1">
      <c r="A77" s="2339" t="s">
        <v>1021</v>
      </c>
      <c r="B77" s="2395">
        <f t="shared" si="228"/>
        <v>112.48648648648648</v>
      </c>
      <c r="C77" s="2395">
        <f t="shared" si="228"/>
        <v>115.21212121212122</v>
      </c>
      <c r="D77" s="2395">
        <f t="shared" si="194"/>
        <v>115.21212121212122</v>
      </c>
      <c r="E77" s="2395">
        <f t="shared" si="229"/>
        <v>110.4024024024024</v>
      </c>
      <c r="F77" s="2395">
        <f t="shared" si="229"/>
        <v>104</v>
      </c>
      <c r="G77" s="3711">
        <v>2004</v>
      </c>
      <c r="H77" s="2396">
        <v>1</v>
      </c>
      <c r="I77" s="2396">
        <v>0.33</v>
      </c>
      <c r="J77" s="2396">
        <v>0.5</v>
      </c>
      <c r="K77" s="2396">
        <v>0.5</v>
      </c>
      <c r="L77" s="2397">
        <v>0</v>
      </c>
      <c r="N77" s="2409">
        <f t="shared" si="226"/>
        <v>1.3391770148526898E-2</v>
      </c>
      <c r="O77" s="2410">
        <f t="shared" si="226"/>
        <v>1.063264221158958E-2</v>
      </c>
      <c r="P77" s="2410">
        <f t="shared" si="227"/>
        <v>2.2244466688911134E-2</v>
      </c>
      <c r="Q77" s="2410">
        <f t="shared" si="227"/>
        <v>0</v>
      </c>
      <c r="R77" s="2401"/>
      <c r="S77" s="2399">
        <f>B77/B78-1</f>
        <v>1.3391770148526883E-2</v>
      </c>
      <c r="T77" s="2400">
        <f>C77/C78-1</f>
        <v>1.063264221158966E-2</v>
      </c>
      <c r="U77" s="2400">
        <f>E77/E78-1</f>
        <v>2.2244466688911224E-2</v>
      </c>
      <c r="V77" s="2400">
        <f>F77/F78-1</f>
        <v>0</v>
      </c>
      <c r="X77" s="2411"/>
      <c r="Y77" s="2411"/>
      <c r="Z77" s="2411"/>
    </row>
    <row r="78" spans="1:26" ht="13.5" thickBot="1">
      <c r="A78" s="2339" t="s">
        <v>1022</v>
      </c>
      <c r="B78" s="2412">
        <v>111</v>
      </c>
      <c r="C78" s="2412">
        <v>114</v>
      </c>
      <c r="D78" s="2412">
        <f t="shared" si="194"/>
        <v>114</v>
      </c>
      <c r="E78" s="2412">
        <v>108</v>
      </c>
      <c r="F78" s="2413">
        <v>104</v>
      </c>
      <c r="G78" s="3709">
        <v>2003</v>
      </c>
      <c r="H78" s="2402">
        <v>4</v>
      </c>
      <c r="I78" s="2414"/>
      <c r="J78" s="2414"/>
      <c r="K78" s="2414"/>
      <c r="L78" s="2414"/>
      <c r="N78" s="2415"/>
      <c r="O78" s="2414"/>
      <c r="P78" s="2414"/>
      <c r="Q78" s="2414"/>
      <c r="S78" s="2415"/>
      <c r="T78" s="2414"/>
      <c r="U78" s="2414"/>
      <c r="V78" s="2414"/>
      <c r="X78" s="2406"/>
      <c r="Y78" s="2406"/>
      <c r="Z78" s="2406"/>
    </row>
    <row r="79" spans="1:26">
      <c r="A79" s="2339" t="s">
        <v>1023</v>
      </c>
      <c r="B79" s="2416">
        <f t="shared" ref="B79:C81" si="230">B80+(B$78-B$82)/4</f>
        <v>109.75</v>
      </c>
      <c r="C79" s="2416">
        <f t="shared" si="230"/>
        <v>112.25</v>
      </c>
      <c r="D79" s="2416">
        <f t="shared" si="194"/>
        <v>112.25</v>
      </c>
      <c r="E79" s="2416">
        <f t="shared" ref="E79:F81" si="231">E80+(E$78-E$82)/4</f>
        <v>107.25</v>
      </c>
      <c r="F79" s="2416">
        <f t="shared" si="231"/>
        <v>103.5</v>
      </c>
      <c r="G79" s="3710">
        <v>2003</v>
      </c>
      <c r="H79" s="2369">
        <v>3</v>
      </c>
      <c r="I79" s="2414"/>
      <c r="J79" s="2414"/>
      <c r="K79" s="2414"/>
      <c r="L79" s="2414"/>
      <c r="X79" s="2406"/>
      <c r="Y79" s="2406"/>
      <c r="Z79" s="2406"/>
    </row>
    <row r="80" spans="1:26">
      <c r="A80" s="2339" t="s">
        <v>1024</v>
      </c>
      <c r="B80" s="2416">
        <f t="shared" si="230"/>
        <v>108.5</v>
      </c>
      <c r="C80" s="2416">
        <f t="shared" si="230"/>
        <v>110.5</v>
      </c>
      <c r="D80" s="2416">
        <f t="shared" si="194"/>
        <v>110.5</v>
      </c>
      <c r="E80" s="2416">
        <f t="shared" si="231"/>
        <v>106.5</v>
      </c>
      <c r="F80" s="2416">
        <f t="shared" si="231"/>
        <v>103</v>
      </c>
      <c r="G80" s="3710">
        <v>2003</v>
      </c>
      <c r="H80" s="2359">
        <v>2</v>
      </c>
      <c r="I80" s="2414"/>
      <c r="J80" s="2414"/>
      <c r="K80" s="2414"/>
      <c r="L80" s="2414"/>
      <c r="X80" s="2406"/>
      <c r="Y80" s="2406"/>
      <c r="Z80" s="2406"/>
    </row>
    <row r="81" spans="1:26" ht="13.5" thickBot="1">
      <c r="A81" s="2339" t="s">
        <v>1025</v>
      </c>
      <c r="B81" s="2416">
        <f t="shared" si="230"/>
        <v>107.25</v>
      </c>
      <c r="C81" s="2416">
        <f t="shared" si="230"/>
        <v>108.75</v>
      </c>
      <c r="D81" s="2416">
        <f t="shared" si="194"/>
        <v>108.75</v>
      </c>
      <c r="E81" s="2416">
        <f t="shared" si="231"/>
        <v>105.75</v>
      </c>
      <c r="F81" s="2416">
        <f t="shared" si="231"/>
        <v>102.5</v>
      </c>
      <c r="G81" s="3711">
        <v>2003</v>
      </c>
      <c r="H81" s="2417">
        <v>1</v>
      </c>
      <c r="I81" s="2414"/>
      <c r="J81" s="2414"/>
      <c r="K81" s="2414"/>
      <c r="L81" s="2414"/>
      <c r="S81" s="2357"/>
      <c r="T81" s="2326"/>
      <c r="U81" s="2326"/>
      <c r="X81" s="2406"/>
      <c r="Y81" s="2406"/>
      <c r="Z81" s="2406"/>
    </row>
    <row r="82" spans="1:26" ht="13.5" thickBot="1">
      <c r="A82" s="2339" t="s">
        <v>1026</v>
      </c>
      <c r="B82" s="2418">
        <v>106</v>
      </c>
      <c r="C82" s="2418">
        <v>107</v>
      </c>
      <c r="D82" s="2418">
        <f t="shared" si="194"/>
        <v>107</v>
      </c>
      <c r="E82" s="2418">
        <v>105</v>
      </c>
      <c r="F82" s="2419">
        <v>102</v>
      </c>
      <c r="G82" s="3709">
        <v>2002</v>
      </c>
      <c r="H82" s="2366">
        <v>4</v>
      </c>
      <c r="I82" s="2414"/>
      <c r="J82" s="2414"/>
      <c r="K82" s="2414"/>
      <c r="L82" s="2414"/>
      <c r="N82" s="2415"/>
      <c r="O82" s="2414"/>
      <c r="P82" s="2414"/>
      <c r="Q82" s="2414"/>
      <c r="S82" s="2415"/>
      <c r="T82" s="2414"/>
      <c r="U82" s="2414"/>
      <c r="V82" s="2414"/>
      <c r="X82" s="2406"/>
      <c r="Y82" s="2406"/>
      <c r="Z82" s="2406"/>
    </row>
    <row r="83" spans="1:26">
      <c r="A83" s="2339" t="s">
        <v>1027</v>
      </c>
      <c r="B83" s="2416">
        <f t="shared" ref="B83:C85" si="232">B84+(B$82-B$86)/4</f>
        <v>105</v>
      </c>
      <c r="C83" s="2416">
        <f t="shared" si="232"/>
        <v>106</v>
      </c>
      <c r="D83" s="2416">
        <f t="shared" si="194"/>
        <v>106</v>
      </c>
      <c r="E83" s="2416">
        <f t="shared" ref="E83:F85" si="233">E84+(E$82-E$86)/4</f>
        <v>104.5</v>
      </c>
      <c r="F83" s="2416">
        <f t="shared" si="233"/>
        <v>101.5</v>
      </c>
      <c r="G83" s="3710">
        <v>2002</v>
      </c>
      <c r="H83" s="2369">
        <v>3</v>
      </c>
      <c r="I83" s="2414"/>
      <c r="J83" s="2414"/>
      <c r="K83" s="2414"/>
      <c r="L83" s="2414"/>
      <c r="X83" s="2406"/>
      <c r="Y83" s="2406"/>
      <c r="Z83" s="2406"/>
    </row>
    <row r="84" spans="1:26">
      <c r="A84" s="2339" t="s">
        <v>1028</v>
      </c>
      <c r="B84" s="2416">
        <f t="shared" si="232"/>
        <v>104</v>
      </c>
      <c r="C84" s="2416">
        <f t="shared" si="232"/>
        <v>105</v>
      </c>
      <c r="D84" s="2416">
        <f t="shared" si="194"/>
        <v>105</v>
      </c>
      <c r="E84" s="2416">
        <f t="shared" si="233"/>
        <v>104</v>
      </c>
      <c r="F84" s="2416">
        <f t="shared" si="233"/>
        <v>101</v>
      </c>
      <c r="G84" s="3710">
        <v>2002</v>
      </c>
      <c r="H84" s="2359">
        <v>2</v>
      </c>
      <c r="I84" s="2414"/>
      <c r="J84" s="2414"/>
      <c r="K84" s="2414"/>
      <c r="L84" s="2414"/>
      <c r="X84" s="2406"/>
      <c r="Y84" s="2406"/>
      <c r="Z84" s="2406"/>
    </row>
    <row r="85" spans="1:26" s="2379" customFormat="1" ht="13.5" thickBot="1">
      <c r="A85" s="2375" t="s">
        <v>1029</v>
      </c>
      <c r="B85" s="2382">
        <f t="shared" si="232"/>
        <v>103</v>
      </c>
      <c r="C85" s="2382">
        <f t="shared" si="232"/>
        <v>104</v>
      </c>
      <c r="D85" s="2382">
        <f t="shared" si="194"/>
        <v>104</v>
      </c>
      <c r="E85" s="2382">
        <f t="shared" si="233"/>
        <v>103.5</v>
      </c>
      <c r="F85" s="2382">
        <f t="shared" si="233"/>
        <v>100.5</v>
      </c>
      <c r="G85" s="3711">
        <v>2002</v>
      </c>
      <c r="H85" s="2420">
        <v>1</v>
      </c>
      <c r="I85" s="2421"/>
      <c r="J85" s="2421"/>
      <c r="K85" s="2421"/>
      <c r="L85" s="2421"/>
      <c r="N85" s="2422"/>
      <c r="S85" s="2422"/>
      <c r="X85" s="2423"/>
      <c r="Y85" s="2423"/>
      <c r="Z85" s="2423"/>
    </row>
    <row r="86" spans="1:26" ht="13.5" thickBot="1">
      <c r="B86" s="2424">
        <v>102</v>
      </c>
      <c r="C86" s="2425">
        <v>103</v>
      </c>
      <c r="D86" s="2425">
        <f t="shared" si="194"/>
        <v>103</v>
      </c>
      <c r="E86" s="2425">
        <v>103</v>
      </c>
      <c r="F86" s="2426">
        <v>100</v>
      </c>
      <c r="I86" s="2414"/>
      <c r="J86" s="2414"/>
      <c r="K86" s="2414"/>
      <c r="L86" s="2414"/>
      <c r="N86" s="2415"/>
      <c r="O86" s="2414"/>
      <c r="P86" s="2414"/>
      <c r="Q86" s="2414"/>
      <c r="S86" s="2415"/>
      <c r="T86" s="2414"/>
      <c r="U86" s="2414"/>
      <c r="V86" s="2414"/>
      <c r="X86" s="2355"/>
      <c r="Y86" s="2355"/>
      <c r="Z86" s="2355"/>
    </row>
    <row r="88" spans="1:26" s="2428" customFormat="1">
      <c r="A88" s="2427" t="s">
        <v>1030</v>
      </c>
      <c r="G88" s="2429"/>
      <c r="N88" s="2429"/>
      <c r="S88" s="2429"/>
    </row>
    <row r="89" spans="1:26" s="2428" customFormat="1">
      <c r="A89" s="2428" t="s">
        <v>1031</v>
      </c>
      <c r="G89" s="2429"/>
      <c r="N89" s="2429"/>
      <c r="S89" s="2429"/>
    </row>
    <row r="90" spans="1:26" s="2428" customFormat="1">
      <c r="A90" s="2428" t="s">
        <v>1032</v>
      </c>
      <c r="G90" s="2429"/>
      <c r="I90" s="2430"/>
      <c r="J90" s="2430"/>
      <c r="K90" s="2430"/>
      <c r="L90" s="2430"/>
      <c r="N90" s="2431"/>
      <c r="O90" s="2430"/>
      <c r="P90" s="2430"/>
      <c r="Q90" s="2430"/>
      <c r="S90" s="2431"/>
      <c r="T90" s="2430"/>
      <c r="U90" s="2430"/>
      <c r="V90" s="2430"/>
    </row>
    <row r="91" spans="1:26" s="2428" customFormat="1">
      <c r="A91" s="2428" t="s">
        <v>1033</v>
      </c>
      <c r="G91" s="2429"/>
      <c r="N91" s="2429"/>
      <c r="S91" s="2429"/>
    </row>
    <row r="98" spans="7:22" ht="13.5" thickBot="1"/>
    <row r="99" spans="7:22">
      <c r="G99" s="2325"/>
      <c r="S99" s="2432" t="s">
        <v>1034</v>
      </c>
      <c r="T99" s="2433" t="s">
        <v>1035</v>
      </c>
      <c r="U99" s="2433" t="s">
        <v>1036</v>
      </c>
      <c r="V99" s="2433" t="s">
        <v>1037</v>
      </c>
    </row>
    <row r="100" spans="7:22">
      <c r="G100" s="2325"/>
      <c r="N100" s="2354"/>
      <c r="O100" s="2355"/>
      <c r="P100" s="2355"/>
      <c r="Q100" s="2355"/>
      <c r="S100" s="2434">
        <v>2006</v>
      </c>
      <c r="T100" s="2435">
        <v>15.1</v>
      </c>
      <c r="U100" s="2435">
        <v>7.43</v>
      </c>
      <c r="V100" s="2435">
        <v>26.26</v>
      </c>
    </row>
    <row r="101" spans="7:22">
      <c r="G101" s="2325"/>
      <c r="N101" s="2354"/>
      <c r="O101" s="2355"/>
      <c r="P101" s="2355"/>
      <c r="Q101" s="2355"/>
      <c r="S101" s="2436">
        <v>2005</v>
      </c>
      <c r="T101" s="2437">
        <v>13.9</v>
      </c>
      <c r="U101" s="2437">
        <v>7.49</v>
      </c>
      <c r="V101" s="2437">
        <v>24.92</v>
      </c>
    </row>
    <row r="102" spans="7:22">
      <c r="G102" s="2325"/>
      <c r="N102" s="2354"/>
      <c r="O102" s="2355"/>
      <c r="P102" s="2355"/>
      <c r="Q102" s="2355"/>
      <c r="S102" s="2434">
        <v>2004</v>
      </c>
      <c r="T102" s="2435">
        <v>9.48</v>
      </c>
      <c r="U102" s="2435">
        <v>7.2</v>
      </c>
      <c r="V102" s="2435">
        <v>14.68</v>
      </c>
    </row>
    <row r="103" spans="7:22">
      <c r="G103" s="2325"/>
      <c r="N103" s="2354"/>
      <c r="O103" s="2355"/>
      <c r="P103" s="2355"/>
      <c r="Q103" s="2355"/>
      <c r="S103" s="2436">
        <v>2003</v>
      </c>
      <c r="T103" s="2437">
        <v>4.5</v>
      </c>
      <c r="U103" s="2437">
        <v>6.12</v>
      </c>
      <c r="V103" s="2437">
        <v>2.34</v>
      </c>
    </row>
    <row r="104" spans="7:22" ht="13.5" thickBot="1">
      <c r="G104" s="2325"/>
      <c r="N104" s="2354"/>
      <c r="O104" s="2355"/>
      <c r="P104" s="2355"/>
      <c r="Q104" s="2355"/>
      <c r="S104" s="2438">
        <v>2002</v>
      </c>
      <c r="T104" s="2439">
        <v>3.59</v>
      </c>
      <c r="U104" s="2439">
        <v>4.54</v>
      </c>
      <c r="V104" s="2439">
        <v>2.5499999999999998</v>
      </c>
    </row>
    <row r="105" spans="7:22">
      <c r="G105" s="2325"/>
      <c r="N105" s="2354"/>
      <c r="O105" s="2355"/>
      <c r="P105" s="2355"/>
      <c r="Q105" s="2355"/>
    </row>
    <row r="106" spans="7:22">
      <c r="G106" s="2325"/>
      <c r="N106" s="2354"/>
      <c r="O106" s="2355"/>
      <c r="P106" s="2355"/>
      <c r="Q106" s="2355"/>
    </row>
    <row r="107" spans="7:22">
      <c r="G107" s="2325"/>
      <c r="N107" s="2354"/>
      <c r="O107" s="2355"/>
      <c r="P107" s="2355"/>
      <c r="Q107" s="2355"/>
    </row>
    <row r="108" spans="7:22">
      <c r="G108" s="2325"/>
      <c r="N108" s="2354"/>
      <c r="O108" s="2355"/>
      <c r="P108" s="2355"/>
      <c r="Q108" s="2355"/>
    </row>
    <row r="109" spans="7:22">
      <c r="G109" s="2325"/>
      <c r="N109" s="2354"/>
      <c r="O109" s="2355"/>
      <c r="P109" s="2355"/>
      <c r="Q109" s="2355"/>
    </row>
    <row r="110" spans="7:22">
      <c r="G110" s="2325"/>
      <c r="N110" s="2354"/>
      <c r="O110" s="2355"/>
      <c r="P110" s="2355"/>
      <c r="Q110" s="2355"/>
    </row>
    <row r="111" spans="7:22">
      <c r="G111" s="2325"/>
      <c r="N111" s="2354"/>
      <c r="O111" s="2355"/>
      <c r="P111" s="2355"/>
      <c r="Q111" s="2355"/>
    </row>
    <row r="112" spans="7:22">
      <c r="G112" s="2325"/>
      <c r="N112" s="2354"/>
      <c r="O112" s="2355"/>
      <c r="P112" s="2355"/>
      <c r="Q112" s="2355"/>
    </row>
    <row r="113" spans="7:19">
      <c r="G113" s="2325"/>
      <c r="N113" s="2354"/>
      <c r="O113" s="2355"/>
      <c r="P113" s="2355"/>
      <c r="Q113" s="2355"/>
    </row>
    <row r="114" spans="7:19">
      <c r="G114" s="2325"/>
      <c r="N114" s="2354"/>
      <c r="O114" s="2355"/>
      <c r="P114" s="2355"/>
      <c r="Q114" s="2355"/>
    </row>
    <row r="115" spans="7:19">
      <c r="G115" s="2325"/>
      <c r="N115" s="2354"/>
      <c r="O115" s="2355"/>
      <c r="P115" s="2355"/>
      <c r="Q115" s="2355"/>
      <c r="S115" s="2325"/>
    </row>
    <row r="116" spans="7:19">
      <c r="G116" s="2325"/>
      <c r="N116" s="2354"/>
      <c r="O116" s="2355"/>
      <c r="P116" s="2355"/>
      <c r="Q116" s="2355"/>
      <c r="S116" s="2325"/>
    </row>
    <row r="117" spans="7:19">
      <c r="G117" s="2325"/>
      <c r="N117" s="2354"/>
      <c r="O117" s="2355"/>
      <c r="P117" s="2355"/>
      <c r="Q117" s="2355"/>
      <c r="S117" s="2325"/>
    </row>
    <row r="118" spans="7:19">
      <c r="G118" s="2325"/>
      <c r="N118" s="2354"/>
      <c r="O118" s="2355"/>
      <c r="P118" s="2355"/>
      <c r="Q118" s="2355"/>
      <c r="S118" s="2325"/>
    </row>
    <row r="119" spans="7:19">
      <c r="G119" s="2325"/>
      <c r="N119" s="2354"/>
      <c r="O119" s="2355"/>
      <c r="P119" s="2355"/>
      <c r="Q119" s="2355"/>
      <c r="S119" s="2325"/>
    </row>
    <row r="120" spans="7:19">
      <c r="G120" s="2325"/>
      <c r="N120" s="2354"/>
      <c r="O120" s="2355"/>
      <c r="P120" s="2355"/>
      <c r="Q120" s="2355"/>
      <c r="S120" s="2325"/>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70"/>
  <sheetViews>
    <sheetView workbookViewId="0">
      <selection activeCell="M31" sqref="M31"/>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44645</v>
      </c>
      <c r="D1" s="1264" t="s">
        <v>1117</v>
      </c>
      <c r="E1" s="1270">
        <f>'数据-取费表'!B24</f>
        <v>2</v>
      </c>
      <c r="F1" s="1264" t="s">
        <v>1118</v>
      </c>
      <c r="G1" s="1271">
        <f ca="1">INDIRECT("d"&amp;$K$1)/100</f>
        <v>3.7000000000000005E-2</v>
      </c>
      <c r="H1" s="1264" t="s">
        <v>1148</v>
      </c>
      <c r="I1" s="1271">
        <f ca="1">F4/100</f>
        <v>1.4999999999999999E-2</v>
      </c>
      <c r="J1" s="1265">
        <f>IF(C1&gt;C13,0,MATCH(C1,C$13:C$107,-1))+IF(SUMIF(C13:C107,C1,D13:D107)=0,13,12)</f>
        <v>13</v>
      </c>
      <c r="K1" s="1265">
        <f>MATCH(E1,C3:C7,1)+IF(SUMIF(C3:C7,E1,D3:D7)=0,2,1)</f>
        <v>5</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ht="14.25">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24" customFormat="1" ht="15">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23"/>
      <c r="AB18" s="3123"/>
      <c r="AC18" s="3123"/>
      <c r="AD18" s="3123"/>
      <c r="AE18" s="3123"/>
      <c r="AF18" s="3123"/>
      <c r="AG18" s="3123"/>
      <c r="AH18" s="3123"/>
      <c r="AI18" s="3123"/>
      <c r="AJ18" s="3123"/>
      <c r="AK18" s="3123"/>
      <c r="AL18" s="3123"/>
      <c r="AM18" s="3123"/>
      <c r="AN18" s="3123"/>
      <c r="AO18" s="3123"/>
      <c r="AP18" s="3123"/>
      <c r="AQ18" s="3123"/>
      <c r="AR18" s="3123"/>
      <c r="AS18" s="3123"/>
      <c r="AT18" s="3123"/>
      <c r="AU18" s="3123"/>
      <c r="AV18" s="3123"/>
      <c r="AW18" s="3123"/>
      <c r="AX18" s="3123"/>
      <c r="AY18" s="3123"/>
      <c r="AZ18" s="3123"/>
      <c r="BA18" s="3123"/>
      <c r="BB18" s="3123"/>
      <c r="BC18" s="3123"/>
      <c r="BD18" s="3123"/>
      <c r="BE18" s="3123"/>
      <c r="BF18" s="3123"/>
      <c r="BG18" s="3123"/>
      <c r="BH18" s="3123"/>
      <c r="BI18" s="3123"/>
      <c r="BJ18" s="3123"/>
      <c r="BK18" s="3123"/>
      <c r="BL18" s="3123"/>
      <c r="BM18" s="3123"/>
      <c r="BN18" s="3123"/>
      <c r="BO18" s="3123"/>
      <c r="BP18" s="3123"/>
      <c r="BQ18" s="3123"/>
      <c r="BR18" s="3123"/>
      <c r="BS18" s="3123"/>
      <c r="BT18" s="3123"/>
      <c r="BU18" s="3123"/>
      <c r="BV18" s="3123"/>
      <c r="BW18" s="3123"/>
      <c r="BX18" s="3123"/>
      <c r="BY18" s="3123"/>
      <c r="BZ18" s="3123"/>
      <c r="CA18" s="3123"/>
      <c r="CB18" s="3123"/>
      <c r="CC18" s="3123"/>
      <c r="CD18" s="3123"/>
      <c r="CE18" s="3123"/>
      <c r="CF18" s="3123"/>
      <c r="CG18" s="3123"/>
      <c r="CH18" s="3123"/>
      <c r="CI18" s="3123"/>
      <c r="CJ18" s="3123"/>
      <c r="CK18" s="3123"/>
      <c r="CL18" s="3123"/>
      <c r="CM18" s="3123"/>
      <c r="CN18" s="3123"/>
      <c r="CO18" s="3123"/>
      <c r="CP18" s="3123"/>
      <c r="CQ18" s="3123"/>
      <c r="CR18" s="3123"/>
      <c r="CS18" s="3123"/>
      <c r="CT18" s="3123"/>
      <c r="CU18" s="3123"/>
      <c r="CV18" s="3123"/>
      <c r="CW18" s="3123"/>
      <c r="CX18" s="3123"/>
      <c r="CY18" s="3123"/>
      <c r="CZ18" s="3123"/>
      <c r="DA18" s="3123"/>
      <c r="DB18" s="3123"/>
      <c r="DC18" s="3123"/>
      <c r="DD18" s="3123"/>
      <c r="DE18" s="3123"/>
      <c r="DF18" s="3123"/>
      <c r="DG18" s="3123"/>
      <c r="DH18" s="3123"/>
      <c r="DI18" s="3123"/>
      <c r="DJ18" s="3123"/>
      <c r="DK18" s="3123"/>
      <c r="DL18" s="3123"/>
      <c r="DM18" s="3123"/>
      <c r="DN18" s="3123"/>
      <c r="DO18" s="3123"/>
      <c r="DP18" s="3123"/>
      <c r="DQ18" s="3123"/>
      <c r="DR18" s="3123"/>
      <c r="DS18" s="3123"/>
      <c r="DT18" s="3123"/>
      <c r="DU18" s="3123"/>
      <c r="DV18" s="3123"/>
      <c r="DW18" s="3123"/>
      <c r="DX18" s="3123"/>
      <c r="DY18" s="3123"/>
      <c r="DZ18" s="3123"/>
      <c r="EA18" s="3123"/>
      <c r="EB18" s="3123"/>
      <c r="EC18" s="3123"/>
      <c r="ED18" s="3123"/>
      <c r="EE18" s="3123"/>
      <c r="EF18" s="3123"/>
      <c r="EG18" s="3123"/>
      <c r="EH18" s="3123"/>
      <c r="EI18" s="3123"/>
      <c r="EJ18" s="3123"/>
      <c r="EK18" s="3123"/>
      <c r="EL18" s="3123"/>
      <c r="EM18" s="3123"/>
      <c r="EN18" s="3123"/>
      <c r="EO18" s="3123"/>
      <c r="EP18" s="3123"/>
      <c r="EQ18" s="3123"/>
      <c r="ER18" s="3123"/>
      <c r="ES18" s="3123"/>
      <c r="ET18" s="3123"/>
      <c r="EU18" s="3123"/>
      <c r="EV18" s="3123"/>
      <c r="EW18" s="3123"/>
      <c r="EX18" s="3123"/>
      <c r="EY18" s="3123"/>
      <c r="EZ18" s="3123"/>
      <c r="FA18" s="3123"/>
      <c r="FB18" s="3123"/>
      <c r="FC18" s="3123"/>
      <c r="FD18" s="3123"/>
      <c r="FE18" s="3123"/>
      <c r="FF18" s="3123"/>
      <c r="FG18" s="3123"/>
      <c r="FH18" s="3123"/>
      <c r="FI18" s="3123"/>
      <c r="FJ18" s="3123"/>
      <c r="FK18" s="3123"/>
      <c r="FL18" s="3123"/>
      <c r="FM18" s="3123"/>
      <c r="FN18" s="3123"/>
      <c r="FO18" s="3123"/>
      <c r="FP18" s="3123"/>
      <c r="FQ18" s="3123"/>
      <c r="FR18" s="3123"/>
      <c r="FS18" s="3123"/>
      <c r="FT18" s="3123"/>
      <c r="FU18" s="3123"/>
      <c r="FV18" s="3123"/>
      <c r="FW18" s="3123"/>
      <c r="FX18" s="3123"/>
      <c r="FY18" s="3123"/>
      <c r="FZ18" s="3123"/>
      <c r="GA18" s="3123"/>
      <c r="GB18" s="3123"/>
      <c r="GC18" s="3123"/>
      <c r="GD18" s="3123"/>
      <c r="GE18" s="3123"/>
      <c r="GF18" s="3123"/>
      <c r="GG18" s="3123"/>
      <c r="GH18" s="3123"/>
      <c r="GI18" s="3123"/>
      <c r="GJ18" s="3123"/>
      <c r="GK18" s="3123"/>
      <c r="GL18" s="3123"/>
      <c r="GM18" s="3123"/>
      <c r="GN18" s="3123"/>
      <c r="GO18" s="3123"/>
      <c r="GP18" s="3123"/>
      <c r="GQ18" s="3123"/>
      <c r="GR18" s="3123"/>
      <c r="GS18" s="3123"/>
      <c r="GT18" s="3123"/>
      <c r="GU18" s="3123"/>
      <c r="GV18" s="3123"/>
      <c r="GW18" s="3123"/>
      <c r="GX18" s="3123"/>
      <c r="GY18" s="3123"/>
      <c r="GZ18" s="3123"/>
      <c r="HA18" s="3123"/>
      <c r="HB18" s="3123"/>
      <c r="HC18" s="3123"/>
      <c r="HD18" s="3123"/>
      <c r="HE18" s="3123"/>
      <c r="HF18" s="3123"/>
      <c r="HG18" s="3123"/>
      <c r="HH18" s="3123"/>
      <c r="HI18" s="3123"/>
      <c r="HJ18" s="3123"/>
      <c r="HK18" s="3123"/>
      <c r="HL18" s="3123"/>
      <c r="HM18" s="3123"/>
      <c r="HN18" s="3123"/>
      <c r="HO18" s="3123"/>
      <c r="HP18" s="3123"/>
      <c r="HQ18" s="3123"/>
      <c r="HR18" s="3123"/>
      <c r="HS18" s="3123"/>
      <c r="HT18" s="3123"/>
      <c r="HU18" s="3123"/>
      <c r="HV18" s="3123"/>
      <c r="HW18" s="3123"/>
      <c r="HX18" s="3123"/>
      <c r="HY18" s="3123"/>
      <c r="HZ18" s="3123"/>
      <c r="IA18" s="3123"/>
      <c r="IB18" s="3123"/>
      <c r="IC18" s="3123"/>
      <c r="ID18" s="3123"/>
      <c r="IE18" s="3123"/>
      <c r="IF18" s="3123"/>
      <c r="IG18" s="3123"/>
      <c r="IH18" s="3123"/>
      <c r="II18" s="3123"/>
      <c r="IJ18" s="3123"/>
      <c r="IK18" s="3123"/>
      <c r="IL18" s="3123"/>
      <c r="IM18" s="3123"/>
      <c r="IN18" s="3123"/>
      <c r="IO18" s="3123"/>
      <c r="IP18" s="3123"/>
      <c r="IQ18" s="3123"/>
      <c r="IR18" s="3123"/>
      <c r="IS18" s="3123"/>
      <c r="IT18" s="3123"/>
      <c r="IU18" s="3123"/>
      <c r="IV18" s="3123"/>
    </row>
    <row r="19" spans="1:256" ht="14.25">
      <c r="A19" s="3121"/>
      <c r="B19" s="1251" t="s">
        <v>2820</v>
      </c>
      <c r="C19" s="1260">
        <v>43697</v>
      </c>
      <c r="D19" s="3122">
        <v>4.25</v>
      </c>
      <c r="E19" s="3122">
        <f t="shared" si="0"/>
        <v>4.25</v>
      </c>
      <c r="F19" s="3122">
        <f t="shared" si="1"/>
        <v>4.25</v>
      </c>
      <c r="G19" s="3122">
        <f t="shared" si="2"/>
        <v>4.25</v>
      </c>
      <c r="H19" s="3122">
        <v>4.8499999999999996</v>
      </c>
      <c r="I19" s="3122"/>
      <c r="J19" s="3122"/>
      <c r="K19" s="3121"/>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34700</v>
      </c>
      <c r="D58" s="1257">
        <v>9</v>
      </c>
      <c r="E58" s="1257">
        <v>10.98</v>
      </c>
      <c r="F58" s="1257">
        <v>12.96</v>
      </c>
      <c r="G58" s="1257">
        <v>14.58</v>
      </c>
      <c r="H58" s="1257">
        <v>14.76</v>
      </c>
      <c r="I58" s="1257">
        <v>0</v>
      </c>
      <c r="J58" s="1257">
        <v>0</v>
      </c>
    </row>
    <row r="59" spans="2:26">
      <c r="B59" s="1257"/>
      <c r="C59" s="1258">
        <v>34161</v>
      </c>
      <c r="D59" s="1257">
        <v>9</v>
      </c>
      <c r="E59" s="1257">
        <v>10.98</v>
      </c>
      <c r="F59" s="1257">
        <v>12.24</v>
      </c>
      <c r="G59" s="1257">
        <v>13.86</v>
      </c>
      <c r="H59" s="1257">
        <v>14.04</v>
      </c>
      <c r="I59" s="1257">
        <v>0</v>
      </c>
      <c r="J59" s="1257">
        <v>0</v>
      </c>
    </row>
    <row r="60" spans="2:26">
      <c r="B60" s="1257"/>
      <c r="C60" s="1258">
        <v>34104</v>
      </c>
      <c r="D60" s="1257">
        <v>8.82</v>
      </c>
      <c r="E60" s="1257">
        <v>9.36</v>
      </c>
      <c r="F60" s="1257">
        <v>10.8</v>
      </c>
      <c r="G60" s="1257">
        <v>12.06</v>
      </c>
      <c r="H60" s="1257">
        <v>12.24</v>
      </c>
      <c r="I60" s="1257">
        <v>0</v>
      </c>
      <c r="J60" s="1257">
        <v>0</v>
      </c>
    </row>
    <row r="61" spans="2:26">
      <c r="B61" s="1257"/>
      <c r="C61" s="1258">
        <v>33349</v>
      </c>
      <c r="D61" s="1257">
        <v>8.1</v>
      </c>
      <c r="E61" s="1257">
        <v>8.64</v>
      </c>
      <c r="F61" s="1257">
        <v>9</v>
      </c>
      <c r="G61" s="1257">
        <v>9.5399999999999991</v>
      </c>
      <c r="H61" s="1257">
        <v>9.7200000000000006</v>
      </c>
      <c r="I61" s="1257">
        <v>0</v>
      </c>
      <c r="J61" s="1257">
        <v>0</v>
      </c>
    </row>
    <row r="62" spans="2:26">
      <c r="B62" s="1257"/>
      <c r="C62" s="1258">
        <v>33318</v>
      </c>
      <c r="D62" s="1257">
        <v>9</v>
      </c>
      <c r="E62" s="1257">
        <v>10.08</v>
      </c>
      <c r="F62" s="1257">
        <v>10.8</v>
      </c>
      <c r="G62" s="1257">
        <v>11.52</v>
      </c>
      <c r="H62" s="1257">
        <v>11.88</v>
      </c>
      <c r="I62" s="1257" t="s">
        <v>1147</v>
      </c>
      <c r="J62" s="1257" t="s">
        <v>1147</v>
      </c>
    </row>
    <row r="63" spans="2:26">
      <c r="B63" s="1257"/>
      <c r="C63" s="1258">
        <v>33106</v>
      </c>
      <c r="D63" s="1257">
        <v>8.64</v>
      </c>
      <c r="E63" s="1257">
        <v>9.36</v>
      </c>
      <c r="F63" s="1257">
        <v>10.08</v>
      </c>
      <c r="G63" s="1257">
        <v>10.8</v>
      </c>
      <c r="H63" s="1257">
        <v>11.16</v>
      </c>
      <c r="I63" s="1257">
        <v>0</v>
      </c>
      <c r="J63" s="1257">
        <v>0</v>
      </c>
    </row>
    <row r="64" spans="2:26">
      <c r="B64" s="1257"/>
      <c r="C64" s="1258">
        <v>32540</v>
      </c>
      <c r="D64" s="1257">
        <v>11.34</v>
      </c>
      <c r="E64" s="1257">
        <v>11.34</v>
      </c>
      <c r="F64" s="1257">
        <v>12.78</v>
      </c>
      <c r="G64" s="1257">
        <v>14.4</v>
      </c>
      <c r="H64" s="1257">
        <v>19.260000000000002</v>
      </c>
      <c r="I64" s="1257">
        <v>0</v>
      </c>
      <c r="J64" s="1257">
        <v>0</v>
      </c>
    </row>
    <row r="65" spans="2:10">
      <c r="B65" s="1257"/>
      <c r="C65" s="1258"/>
      <c r="D65" s="1257"/>
      <c r="E65" s="1257"/>
      <c r="F65" s="1257"/>
      <c r="G65" s="1257"/>
      <c r="H65" s="1257"/>
      <c r="I65" s="1257"/>
      <c r="J65" s="1257"/>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61"/>
      <c r="C68" s="1262"/>
      <c r="D68" s="1261"/>
      <c r="E68" s="1261"/>
      <c r="F68" s="1261"/>
      <c r="G68" s="1261"/>
      <c r="H68" s="1261"/>
      <c r="I68" s="1261"/>
      <c r="J68" s="1261"/>
    </row>
    <row r="69" spans="2:10">
      <c r="B69" s="1208"/>
      <c r="C69" s="1208"/>
      <c r="D69" s="1208"/>
      <c r="E69" s="1208"/>
      <c r="F69" s="1208"/>
      <c r="G69" s="1208"/>
      <c r="H69" s="1208"/>
      <c r="I69" s="1208"/>
      <c r="J69" s="1208"/>
    </row>
    <row r="70" spans="2:10">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3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8"/>
      <c r="C2" s="3338"/>
      <c r="D2" s="3338"/>
      <c r="E2" s="3338"/>
    </row>
    <row r="3" spans="1:5" ht="13.5" customHeight="1">
      <c r="A3" s="1332"/>
      <c r="B3" s="1332"/>
      <c r="C3" s="1332"/>
      <c r="D3" s="1332"/>
      <c r="E3" s="1332"/>
    </row>
    <row r="4" spans="1:5" ht="19.5" thickBot="1">
      <c r="A4" s="3339" t="str">
        <f>IF(项目基本情况!D5="房地产市场价值","估价结果一览表（市场价值不需本页表格)","估价结果一览表")</f>
        <v>估价结果一览表</v>
      </c>
      <c r="B4" s="3339"/>
      <c r="C4" s="3339"/>
      <c r="D4" s="3339"/>
      <c r="E4" s="3339"/>
    </row>
    <row r="5" spans="1:5" ht="14.25" customHeight="1" thickTop="1">
      <c r="A5" s="1329"/>
      <c r="B5" s="1333" t="s">
        <v>742</v>
      </c>
      <c r="C5" s="3340" t="s">
        <v>775</v>
      </c>
      <c r="D5" s="3341"/>
      <c r="E5" s="1329"/>
    </row>
    <row r="6" spans="1:5" ht="14.25">
      <c r="A6" s="1329"/>
      <c r="B6" s="1334" t="str">
        <f>项目基本情况!I1</f>
        <v>北京市房地产</v>
      </c>
      <c r="C6" s="3342">
        <f>项目基本情况!C12</f>
        <v>240.88</v>
      </c>
      <c r="D6" s="3342"/>
      <c r="E6" s="1329"/>
    </row>
    <row r="7" spans="1:5" ht="14.25">
      <c r="A7" s="1329"/>
      <c r="B7" s="3336" t="s">
        <v>776</v>
      </c>
      <c r="C7" s="1335" t="str">
        <f>IF('数据-取费表'!B3="万元","总价（万元）","总价（元）")</f>
        <v>总价（万元）</v>
      </c>
      <c r="D7" s="1336">
        <f ca="1">IF('数据-取费表'!E3="否",结果表!I102,'结果表 (1修多)'!I104)</f>
        <v>1067</v>
      </c>
      <c r="E7" s="1329"/>
    </row>
    <row r="8" spans="1:5" ht="14.25">
      <c r="A8" s="1329"/>
      <c r="B8" s="3336"/>
      <c r="C8" s="1337" t="s">
        <v>1106</v>
      </c>
      <c r="D8" s="1338" t="str">
        <f ca="1">IF('数据-取费表'!B3="万元",NUMBERSTRING(INT(D7*10000),2)&amp;"元整",NUMBERSTRING(INT(D7),2)&amp;"元整")</f>
        <v>壹仟零陆拾柒万元整</v>
      </c>
      <c r="E8" s="1329"/>
    </row>
    <row r="9" spans="1:5" ht="14.25">
      <c r="A9" s="1329"/>
      <c r="B9" s="3336"/>
      <c r="C9" s="1339" t="s">
        <v>1202</v>
      </c>
      <c r="D9" s="1336">
        <f ca="1">IF('数据-取费表'!E3="否",结果表!I103,'结果表 (1修多)'!I105)</f>
        <v>44296</v>
      </c>
      <c r="E9" s="1329"/>
    </row>
    <row r="10" spans="1:5" ht="14.25">
      <c r="A10" s="1329"/>
      <c r="B10" s="3343" t="str">
        <f>IF('数据-取费表'!E3="否",结果表!F105,'结果表 (1修多)'!F107)</f>
        <v>2.估价师所知悉的法定优先受偿款</v>
      </c>
      <c r="C10" s="1340" t="str">
        <f>IF('数据-取费表'!B3="万元","总额（万元）","总额（元）")</f>
        <v>总额（万元）</v>
      </c>
      <c r="D10" s="1336">
        <f>IF('数据-取费表'!E3="否",结果表!I105,'结果表 (1修多)'!I107)</f>
        <v>0</v>
      </c>
      <c r="E10" s="1329"/>
    </row>
    <row r="11" spans="1:5" ht="14.25">
      <c r="A11" s="1329"/>
      <c r="B11" s="3343"/>
      <c r="C11" s="1337" t="s">
        <v>1106</v>
      </c>
      <c r="D11" s="1338" t="str">
        <f>IF('数据-取费表'!B3="万元",NUMBERSTRING(INT(D10*10000),2)&amp;"元整",NUMBERSTRING(INT(D10),2)&amp;"元整")</f>
        <v>零元整</v>
      </c>
      <c r="E11" s="1329"/>
    </row>
    <row r="12" spans="1:5" ht="14.25">
      <c r="A12" s="1329"/>
      <c r="B12" s="1341" t="s">
        <v>743</v>
      </c>
      <c r="C12" s="1342" t="str">
        <f>C10</f>
        <v>总额（万元）</v>
      </c>
      <c r="D12" s="1343">
        <f>IF('数据-取费表'!E3="否",结果表!I106,'结果表 (1修多)'!I108)</f>
        <v>0</v>
      </c>
      <c r="E12" s="1329"/>
    </row>
    <row r="13" spans="1:5" ht="14.25">
      <c r="A13" s="1329"/>
      <c r="B13" s="1341" t="s">
        <v>744</v>
      </c>
      <c r="C13" s="1342" t="str">
        <f>C10</f>
        <v>总额（万元）</v>
      </c>
      <c r="D13" s="1343">
        <f>IF('数据-取费表'!E3="否",结果表!I107,'结果表 (1修多)'!I109)</f>
        <v>0</v>
      </c>
      <c r="E13" s="1329"/>
    </row>
    <row r="14" spans="1:5" ht="14.25">
      <c r="A14" s="1329"/>
      <c r="B14" s="1341" t="s">
        <v>745</v>
      </c>
      <c r="C14" s="1342" t="str">
        <f>C10</f>
        <v>总额（万元）</v>
      </c>
      <c r="D14" s="1343">
        <f>IF('数据-取费表'!E3="否",结果表!I108,'结果表 (1修多)'!I110)</f>
        <v>0</v>
      </c>
      <c r="E14" s="1329"/>
    </row>
    <row r="15" spans="1:5" ht="14.25">
      <c r="A15" s="1329"/>
      <c r="B15" s="3343" t="str">
        <f>IF('数据-取费表'!E3="否",结果表!F110,'结果表 (1修多)'!F112)</f>
        <v>3.房地产抵押价值</v>
      </c>
      <c r="C15" s="1330" t="str">
        <f>C7</f>
        <v>总价（万元）</v>
      </c>
      <c r="D15" s="1336">
        <f ca="1">IF('数据-取费表'!E3="否",结果表!I110,'结果表 (1修多)'!I112)</f>
        <v>1067</v>
      </c>
      <c r="E15" s="1329"/>
    </row>
    <row r="16" spans="1:5" ht="14.25">
      <c r="A16" s="1329"/>
      <c r="B16" s="3343"/>
      <c r="C16" s="1337" t="s">
        <v>1106</v>
      </c>
      <c r="D16" s="1336" t="str">
        <f ca="1">IF('数据-取费表'!B3="万元",NUMBERSTRING(INT(D15*10000),2)&amp;"元整",NUMBERSTRING(INT(D15),2)&amp;"元整")</f>
        <v>壹仟零陆拾柒万元整</v>
      </c>
      <c r="E16" s="1329"/>
    </row>
    <row r="17" spans="1:5" ht="14.25">
      <c r="A17" s="1329"/>
      <c r="B17" s="3343"/>
      <c r="C17" s="1339" t="s">
        <v>1202</v>
      </c>
      <c r="D17" s="1336">
        <f ca="1">IF('数据-取费表'!E3="否",结果表!I111,'结果表 (1修多)'!I113)</f>
        <v>44296</v>
      </c>
      <c r="E17" s="1329"/>
    </row>
    <row r="18" spans="1:5" ht="14.25">
      <c r="A18" s="1329"/>
      <c r="B18" s="3343" t="str">
        <f>IF('数据-取费表'!E3="否",结果表!F112,'结果表 (1修多)'!F114)</f>
        <v>——</v>
      </c>
      <c r="C18" s="1330" t="str">
        <f>C7</f>
        <v>总价（万元）</v>
      </c>
      <c r="D18" s="1336" t="str">
        <f>IF('数据-取费表'!E3="否",结果表!I112,'结果表 (1修多)'!I114)</f>
        <v>——</v>
      </c>
      <c r="E18" s="1329"/>
    </row>
    <row r="19" spans="1:5" ht="14.25">
      <c r="A19" s="1329"/>
      <c r="B19" s="3343"/>
      <c r="C19" s="1337" t="s">
        <v>1106</v>
      </c>
      <c r="D19" s="1336" t="e">
        <f>IF('数据-取费表'!B3="万元",NUMBERSTRING(INT(D18*10000),2)&amp;"元整",NUMBERSTRING(INT(D18),2)&amp;"元整")</f>
        <v>#VALUE!</v>
      </c>
      <c r="E19" s="1329"/>
    </row>
    <row r="20" spans="1:5" ht="14.25">
      <c r="A20" s="1329"/>
      <c r="B20" s="3343"/>
      <c r="C20" s="1339" t="s">
        <v>1202</v>
      </c>
      <c r="D20" s="1336" t="str">
        <f>IF('数据-取费表'!E3="否",结果表!I113,'结果表 (1修多)'!I115)</f>
        <v>——</v>
      </c>
      <c r="E20" s="1329"/>
    </row>
    <row r="21" spans="1:5" ht="14.25">
      <c r="A21" s="1329"/>
      <c r="B21" s="3336" t="str">
        <f>IF('数据-取费表'!E3="否",结果表!F114,'结果表 (1修多)'!F116)</f>
        <v>——</v>
      </c>
      <c r="C21" s="1335" t="str">
        <f>C7</f>
        <v>总价（万元）</v>
      </c>
      <c r="D21" s="1336" t="str">
        <f>IF('数据-取费表'!E3="否",结果表!I114,'结果表 (1修多)'!I116)</f>
        <v>——</v>
      </c>
      <c r="E21" s="1329"/>
    </row>
    <row r="22" spans="1:5" ht="14.25">
      <c r="A22" s="1329"/>
      <c r="B22" s="3336"/>
      <c r="C22" s="1337" t="s">
        <v>1106</v>
      </c>
      <c r="D22" s="1338" t="e">
        <f>IF('数据-取费表'!B3="万元",NUMBERSTRING(INT(D21*10000),2)&amp;"元整",NUMBERSTRING(INT(D21),2)&amp;"元整")</f>
        <v>#VALUE!</v>
      </c>
      <c r="E22" s="1329"/>
    </row>
    <row r="23" spans="1:5" ht="15" thickBot="1">
      <c r="A23" s="1329"/>
      <c r="B23" s="3337"/>
      <c r="C23" s="1344" t="s">
        <v>1202</v>
      </c>
      <c r="D23" s="1345" t="str">
        <f ca="1">IF('数据-取费表'!E3="否",结果表!I115,'结果表 (1修多)'!I117)</f>
        <v>——</v>
      </c>
      <c r="E23" s="1329"/>
    </row>
    <row r="24" spans="1:5" ht="14.25" thickTop="1">
      <c r="A24" s="1329"/>
      <c r="B24" s="1329"/>
      <c r="C24" s="1329"/>
      <c r="D24" s="1329"/>
      <c r="E24" s="1329"/>
    </row>
    <row r="25" spans="1:5" ht="18.75" customHeight="1" thickBot="1">
      <c r="A25" s="1329"/>
      <c r="B25" s="3328" t="s">
        <v>1203</v>
      </c>
      <c r="C25" s="3328"/>
      <c r="D25" s="3328"/>
      <c r="E25" s="1329"/>
    </row>
    <row r="26" spans="1:5" ht="18.75" customHeight="1" thickTop="1">
      <c r="A26" s="1329"/>
      <c r="B26" s="3331" t="s">
        <v>1105</v>
      </c>
      <c r="C26" s="3332"/>
      <c r="D26" s="3329" t="s">
        <v>1104</v>
      </c>
      <c r="E26" s="1329"/>
    </row>
    <row r="27" spans="1:5" ht="18.75" customHeight="1">
      <c r="A27" s="1329"/>
      <c r="B27" s="3333"/>
      <c r="C27" s="3334"/>
      <c r="D27" s="3330"/>
      <c r="E27" s="1329"/>
    </row>
    <row r="28" spans="1:5" ht="14.25">
      <c r="A28" s="1329"/>
      <c r="B28" s="3321" t="s">
        <v>776</v>
      </c>
      <c r="C28" s="1346" t="s">
        <v>1107</v>
      </c>
      <c r="D28" s="1347">
        <f ca="1">IF('数据-取费表'!E3="否",结果表!I102,'结果表 (1修多)'!I104)</f>
        <v>1067</v>
      </c>
      <c r="E28" s="1329"/>
    </row>
    <row r="29" spans="1:5" ht="14.25">
      <c r="A29" s="1329"/>
      <c r="B29" s="3322"/>
      <c r="C29" s="1348" t="s">
        <v>1106</v>
      </c>
      <c r="D29" s="1349" t="str">
        <f ca="1">IF('数据-取费表'!B3="万元",NUMBERSTRING(INT(D28*10000),2)&amp;"元整",NUMBERSTRING(INT(D28),2)&amp;"元整")</f>
        <v>壹仟零陆拾柒万元整</v>
      </c>
      <c r="E29" s="1329"/>
    </row>
    <row r="30" spans="1:5" ht="14.25">
      <c r="A30" s="1329"/>
      <c r="B30" s="3323"/>
      <c r="C30" s="1339" t="s">
        <v>1109</v>
      </c>
      <c r="D30" s="1350">
        <f ca="1">IF('数据-取费表'!E3="否",结果表!I103,'结果表 (1修多)'!I105)</f>
        <v>44296</v>
      </c>
      <c r="E30" s="1329"/>
    </row>
    <row r="31" spans="1:5" ht="14.25">
      <c r="A31" s="1329"/>
      <c r="B31" s="3326" t="str">
        <f>B10</f>
        <v>2.估价师所知悉的法定优先受偿款</v>
      </c>
      <c r="C31" s="1351" t="s">
        <v>1108</v>
      </c>
      <c r="D31" s="1352">
        <f>IF('数据-取费表'!E3="否",结果表!I105,'结果表 (1修多)'!I107)</f>
        <v>0</v>
      </c>
      <c r="E31" s="1329"/>
    </row>
    <row r="32" spans="1:5" ht="14.25">
      <c r="A32" s="1329"/>
      <c r="B32" s="3335"/>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24" t="str">
        <f>B15</f>
        <v>3.房地产抵押价值</v>
      </c>
      <c r="C36" s="1351" t="str">
        <f>C28</f>
        <v>总价</v>
      </c>
      <c r="D36" s="1352">
        <f ca="1">IF('数据-取费表'!E3="否",结果表!I110,'结果表 (1修多)'!I112)</f>
        <v>1067</v>
      </c>
      <c r="E36" s="1329"/>
    </row>
    <row r="37" spans="1:5" ht="14.25">
      <c r="A37" s="1329"/>
      <c r="B37" s="3324"/>
      <c r="C37" s="1348" t="s">
        <v>1106</v>
      </c>
      <c r="D37" s="1353" t="str">
        <f ca="1">IF('数据-取费表'!B3="万元",NUMBERSTRING(INT(D36*10000),2)&amp;"元整",NUMBERSTRING(INT(D36),2)&amp;"元整")</f>
        <v>壹仟零陆拾柒万元整</v>
      </c>
      <c r="E37" s="1329"/>
    </row>
    <row r="38" spans="1:5" ht="14.25">
      <c r="A38" s="1329"/>
      <c r="B38" s="3324"/>
      <c r="C38" s="1339" t="s">
        <v>1110</v>
      </c>
      <c r="D38" s="1350">
        <f ca="1">IF('数据-取费表'!E3="否",结果表!D113,'结果表 (1修多)'!D117)</f>
        <v>44296</v>
      </c>
      <c r="E38" s="1329"/>
    </row>
    <row r="39" spans="1:5" ht="14.25">
      <c r="A39" s="1329"/>
      <c r="B39" s="3325" t="str">
        <f>B18</f>
        <v>——</v>
      </c>
      <c r="C39" s="1351" t="str">
        <f>C28</f>
        <v>总价</v>
      </c>
      <c r="D39" s="1352" t="str">
        <f>IF('数据-取费表'!E3="否",结果表!I112,'结果表 (1修多)'!I114)</f>
        <v>——</v>
      </c>
      <c r="E39" s="1329"/>
    </row>
    <row r="40" spans="1:5" ht="14.25">
      <c r="A40" s="1329"/>
      <c r="B40" s="3325"/>
      <c r="C40" s="1348" t="s">
        <v>1106</v>
      </c>
      <c r="D40" s="1353" t="e">
        <f>IF('数据-取费表'!B3="万元",NUMBERSTRING(INT(D39*10000),2)&amp;"元整",NUMBERSTRING(INT(D39),2)&amp;"元整")</f>
        <v>#VALUE!</v>
      </c>
      <c r="E40" s="1329"/>
    </row>
    <row r="41" spans="1:5" ht="14.25">
      <c r="A41" s="1329"/>
      <c r="B41" s="3325"/>
      <c r="C41" s="1339" t="s">
        <v>1110</v>
      </c>
      <c r="D41" s="1350" t="str">
        <f>IF('数据-取费表'!E3="否",结果表!D115,'结果表 (1修多)'!D119)</f>
        <v>——</v>
      </c>
      <c r="E41" s="1329"/>
    </row>
    <row r="42" spans="1:5" ht="14.25">
      <c r="A42" s="1329"/>
      <c r="B42" s="3324" t="str">
        <f>B21</f>
        <v>——</v>
      </c>
      <c r="C42" s="1351" t="str">
        <f>C28</f>
        <v>总价</v>
      </c>
      <c r="D42" s="1352" t="str">
        <f>IF('数据-取费表'!E3="否",结果表!I114,'结果表 (1修多)'!I116)</f>
        <v>——</v>
      </c>
      <c r="E42" s="1329"/>
    </row>
    <row r="43" spans="1:5" ht="14.25">
      <c r="A43" s="1329"/>
      <c r="B43" s="3326"/>
      <c r="C43" s="1348" t="s">
        <v>1106</v>
      </c>
      <c r="D43" s="1354" t="e">
        <f>IF('数据-取费表'!B3="万元",NUMBERSTRING(INT(D42*10000),2)&amp;"元整",NUMBERSTRING(INT(D42),2)&amp;"元整")</f>
        <v>#VALUE!</v>
      </c>
      <c r="E43" s="1329"/>
    </row>
    <row r="44" spans="1:5" ht="15" thickBot="1">
      <c r="A44" s="1329"/>
      <c r="B44" s="3327"/>
      <c r="C44" s="1344" t="s">
        <v>1110</v>
      </c>
      <c r="D44" s="1355" t="str">
        <f ca="1">IF('数据-取费表'!E3="否",结果表!D117,'结果表 (1修多)'!D121)</f>
        <v>——</v>
      </c>
      <c r="E44" s="1329"/>
    </row>
    <row r="45" spans="1:5" ht="14.25" thickTop="1">
      <c r="A45" s="1329"/>
      <c r="B45" s="1329" t="str">
        <f>IF('数据-取费表'!B3="元","单位：元、元/平方米（单位：人民币）","单位：万元、元/平方米（单位：人民币）")</f>
        <v>单位：万元、元/平方米（单位：人民币）</v>
      </c>
      <c r="C45" s="1329"/>
      <c r="D45" s="1329"/>
      <c r="E45" s="1329"/>
    </row>
    <row r="46" spans="1:5" ht="18.75">
      <c r="B46" s="1356" t="s">
        <v>1093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50" t="str">
        <f>IF(项目基本情况!D5="房地产市场价值","估价结果一览表","结果表-2")</f>
        <v>结果表-2</v>
      </c>
      <c r="B1" s="3350"/>
      <c r="C1" s="3350"/>
      <c r="D1" s="3350"/>
      <c r="E1" s="3350"/>
      <c r="F1" s="3350"/>
      <c r="G1" s="3350"/>
      <c r="H1" s="3350"/>
      <c r="I1" s="3350"/>
    </row>
    <row r="2" spans="1:9" ht="30" customHeight="1" thickTop="1">
      <c r="A2" s="3351" t="s">
        <v>1204</v>
      </c>
      <c r="B2" s="3351" t="s">
        <v>1205</v>
      </c>
      <c r="C2" s="3351" t="s">
        <v>1206</v>
      </c>
      <c r="D2" s="3351" t="str">
        <f>IF('数据-取费表'!E3="否",结果表!D119,'结果表 (1修多)'!D123)</f>
        <v>出让国有建设用地使用权价值</v>
      </c>
      <c r="E2" s="3351"/>
      <c r="F2" s="3351" t="s">
        <v>1207</v>
      </c>
      <c r="G2" s="3351"/>
      <c r="H2" s="3351" t="s">
        <v>1208</v>
      </c>
      <c r="I2" s="3351"/>
    </row>
    <row r="3" spans="1:9" ht="15">
      <c r="A3" s="3344"/>
      <c r="B3" s="3344"/>
      <c r="C3" s="3344"/>
      <c r="D3" s="818" t="s">
        <v>1209</v>
      </c>
      <c r="E3" s="818" t="s">
        <v>1210</v>
      </c>
      <c r="F3" s="818" t="s">
        <v>1209</v>
      </c>
      <c r="G3" s="818" t="s">
        <v>1211</v>
      </c>
      <c r="H3" s="818" t="s">
        <v>1209</v>
      </c>
      <c r="I3" s="818" t="s">
        <v>1211</v>
      </c>
    </row>
    <row r="4" spans="1:9" ht="46.5" customHeight="1">
      <c r="A4" s="818" t="str">
        <f>项目基本情况!I1</f>
        <v>北京市房地产</v>
      </c>
      <c r="B4" s="818">
        <f>结果表!B121</f>
        <v>240.88</v>
      </c>
      <c r="C4" s="818">
        <f>结果表!C121</f>
        <v>0</v>
      </c>
      <c r="D4" s="818">
        <f ca="1">IF('数据-取费表'!E3="否",结果表!D121,'结果表 (1修多)'!D125)</f>
        <v>845</v>
      </c>
      <c r="E4" s="818">
        <f ca="1">IF('数据-取费表'!E3="否",结果表!E121,'结果表 (1修多)'!E125)</f>
        <v>35080</v>
      </c>
      <c r="F4" s="818">
        <f ca="1">IF('数据-取费表'!E3="否",结果表!F121,'结果表 (1修多)'!F125)</f>
        <v>222</v>
      </c>
      <c r="G4" s="818">
        <f ca="1">IF('数据-取费表'!E3="否",结果表!G121,'结果表 (1修多)'!G125)</f>
        <v>9216</v>
      </c>
      <c r="H4" s="818">
        <f ca="1">IF('数据-取费表'!E3="否",结果表!H121,'结果表 (1修多)'!H125)</f>
        <v>1067</v>
      </c>
      <c r="I4" s="818">
        <f ca="1">IF('数据-取费表'!E3="否",结果表!I121,'结果表 (1修多)'!I125)</f>
        <v>44296</v>
      </c>
    </row>
    <row r="5" spans="1:9" ht="15">
      <c r="A5" s="3344" t="s">
        <v>1212</v>
      </c>
      <c r="B5" s="3344"/>
      <c r="C5" s="3344"/>
      <c r="D5" s="3345" t="str">
        <f ca="1">IF('数据-取费表'!E3="否",结果表!D122,'结果表 (1修多)'!D126)</f>
        <v>捌佰肆拾伍万元整</v>
      </c>
      <c r="E5" s="3345"/>
      <c r="F5" s="3345" t="str">
        <f ca="1">IF('数据-取费表'!E3="否",结果表!F122,'结果表 (1修多)'!F126)</f>
        <v>贰佰贰拾贰万元整</v>
      </c>
      <c r="G5" s="3345"/>
      <c r="H5" s="3345" t="str">
        <f ca="1">IF('数据-取费表'!E3="否",结果表!H122,'结果表 (1修多)'!H126)</f>
        <v>壹仟零陆拾柒万元整</v>
      </c>
      <c r="I5" s="3345"/>
    </row>
    <row r="6" spans="1:9" ht="15.75">
      <c r="A6" s="3346" t="str">
        <f>IF('数据-取费表'!E3="否",结果表!A123,'结果表 (1修多)'!A127)</f>
        <v>估价师所知悉的法定优先受偿款</v>
      </c>
      <c r="B6" s="3346"/>
      <c r="C6" s="3346"/>
      <c r="D6" s="3346">
        <f>IF('数据-取费表'!E3="否",结果表!D123,'结果表 (1修多)'!D127)</f>
        <v>0</v>
      </c>
      <c r="E6" s="3346"/>
      <c r="F6" s="3346"/>
      <c r="G6" s="3346"/>
      <c r="H6" s="3346"/>
      <c r="I6" s="3346"/>
    </row>
    <row r="7" spans="1:9" ht="15">
      <c r="A7" s="3344" t="s">
        <v>1212</v>
      </c>
      <c r="B7" s="3344"/>
      <c r="C7" s="3344"/>
      <c r="D7" s="3352">
        <f>IF('数据-取费表'!E3="否",结果表!D124,'结果表 (1修多)'!D128)</f>
        <v>0</v>
      </c>
      <c r="E7" s="3353"/>
      <c r="F7" s="3353"/>
      <c r="G7" s="3353"/>
      <c r="H7" s="3353"/>
      <c r="I7" s="3354"/>
    </row>
    <row r="8" spans="1:9" ht="15.75">
      <c r="A8" s="3346" t="str">
        <f>IF('数据-取费表'!E3="否",结果表!A125,'结果表 (1修多)'!A129)</f>
        <v>房地产抵押价值</v>
      </c>
      <c r="B8" s="3346"/>
      <c r="C8" s="3346"/>
      <c r="D8" s="3346">
        <f ca="1">IF('数据-取费表'!E3="否",结果表!D125,'结果表 (1修多)'!D129)</f>
        <v>1067</v>
      </c>
      <c r="E8" s="3346"/>
      <c r="F8" s="3346"/>
      <c r="G8" s="3346"/>
      <c r="H8" s="3346"/>
      <c r="I8" s="3346"/>
    </row>
    <row r="9" spans="1:9" ht="15">
      <c r="A9" s="3344" t="s">
        <v>1212</v>
      </c>
      <c r="B9" s="3344"/>
      <c r="C9" s="3344"/>
      <c r="D9" s="3345">
        <f ca="1">IF('数据-取费表'!E3="否",结果表!D126,'结果表 (1修多)'!D130)</f>
        <v>44296</v>
      </c>
      <c r="E9" s="3345"/>
      <c r="F9" s="3345"/>
      <c r="G9" s="3345"/>
      <c r="H9" s="3345"/>
      <c r="I9" s="3345"/>
    </row>
    <row r="10" spans="1:9" ht="15.75">
      <c r="A10" s="3346" t="str">
        <f>IF('数据-取费表'!E3="否",结果表!A127,'结果表 (1修多)'!A131)</f>
        <v/>
      </c>
      <c r="B10" s="3346"/>
      <c r="C10" s="3346"/>
      <c r="D10" s="3346" t="str">
        <f>IF('数据-取费表'!E3="否",结果表!D127,'结果表 (1修多)'!D130)</f>
        <v>——</v>
      </c>
      <c r="E10" s="3346"/>
      <c r="F10" s="3346"/>
      <c r="G10" s="3346"/>
      <c r="H10" s="3346"/>
      <c r="I10" s="3346"/>
    </row>
    <row r="11" spans="1:9" ht="15">
      <c r="A11" s="3344" t="s">
        <v>1212</v>
      </c>
      <c r="B11" s="3344"/>
      <c r="C11" s="3344"/>
      <c r="D11" s="3345" t="str">
        <f>IF('数据-取费表'!E3="否",结果表!D128,'结果表 (1修多)'!D132)</f>
        <v>——</v>
      </c>
      <c r="E11" s="3345"/>
      <c r="F11" s="3345"/>
      <c r="G11" s="3345"/>
      <c r="H11" s="3345"/>
      <c r="I11" s="3345"/>
    </row>
    <row r="12" spans="1:9" ht="15.75">
      <c r="A12" s="3346" t="str">
        <f>IF('数据-取费表'!E3="否",结果表!A129,'结果表 (1修多)'!A133)</f>
        <v/>
      </c>
      <c r="B12" s="3346"/>
      <c r="C12" s="3346"/>
      <c r="D12" s="3346" t="str">
        <f>IF('数据-取费表'!E3="否",结果表!D129,'结果表 (1修多)'!D133)</f>
        <v>——</v>
      </c>
      <c r="E12" s="3346"/>
      <c r="F12" s="3346"/>
      <c r="G12" s="3346"/>
      <c r="H12" s="3346"/>
      <c r="I12" s="3346"/>
    </row>
    <row r="13" spans="1:9" ht="15.75" thickBot="1">
      <c r="A13" s="3347" t="s">
        <v>1212</v>
      </c>
      <c r="B13" s="3347"/>
      <c r="C13" s="3347"/>
      <c r="D13" s="3348">
        <f>IF('数据-取费表'!E3="否",结果表!D130,'结果表 (1修多)'!D134)</f>
        <v>0</v>
      </c>
      <c r="E13" s="3348"/>
      <c r="F13" s="3348"/>
      <c r="G13" s="3348"/>
      <c r="H13" s="3348"/>
      <c r="I13" s="3348"/>
    </row>
    <row r="14" spans="1:9" ht="15" thickTop="1">
      <c r="A14" s="3349" t="str">
        <f>IF('数据-取费表'!E3="否",结果表!A131,'结果表 (1修多)'!A135)</f>
        <v>单位：平方米、万元、元/平方米（币种：人民币）</v>
      </c>
      <c r="B14" s="3349"/>
      <c r="C14" s="3349"/>
      <c r="D14" s="3349"/>
      <c r="E14" s="3349"/>
      <c r="F14" s="3349"/>
      <c r="G14" s="3349"/>
      <c r="H14" s="3349"/>
      <c r="I14" s="3349"/>
    </row>
    <row r="15" spans="1:9">
      <c r="A15" s="605"/>
      <c r="B15" s="605"/>
      <c r="C15" s="605"/>
      <c r="D15" s="605"/>
      <c r="E15" s="605"/>
      <c r="F15" s="605"/>
      <c r="G15" s="605"/>
      <c r="H15" s="605"/>
      <c r="I15" s="605"/>
    </row>
    <row r="16" spans="1:9" ht="18.75">
      <c r="A16" s="1357" t="s">
        <v>1213</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56" t="s">
        <v>1225</v>
      </c>
      <c r="B1" s="3356"/>
      <c r="C1" s="3356"/>
      <c r="D1" s="3356"/>
    </row>
    <row r="2" spans="1:4" ht="18">
      <c r="A2" s="3355" t="s">
        <v>1214</v>
      </c>
      <c r="B2" s="3355"/>
      <c r="C2" s="3355"/>
      <c r="D2" s="3355"/>
    </row>
    <row r="3" spans="1:4" ht="18.75">
      <c r="A3" s="1358" t="s">
        <v>1215</v>
      </c>
      <c r="B3" s="1358" t="s">
        <v>1216</v>
      </c>
      <c r="C3" s="1358" t="s">
        <v>1217</v>
      </c>
      <c r="D3" s="1358" t="s">
        <v>1218</v>
      </c>
    </row>
    <row r="4" spans="1:4" ht="56.25" customHeight="1">
      <c r="A4" s="1359">
        <f>项目基本情况!B3</f>
        <v>0</v>
      </c>
      <c r="B4" s="1360">
        <f>项目基本情况!C3</f>
        <v>0</v>
      </c>
      <c r="C4" s="1361"/>
      <c r="D4" s="1362" t="s">
        <v>1226</v>
      </c>
    </row>
    <row r="5" spans="1:4" ht="56.25" customHeight="1">
      <c r="A5" s="1359">
        <f>项目基本情况!D3</f>
        <v>0</v>
      </c>
      <c r="B5" s="1360">
        <f>项目基本情况!E3</f>
        <v>0</v>
      </c>
      <c r="C5" s="1363"/>
      <c r="D5" s="1362" t="s">
        <v>1226</v>
      </c>
    </row>
    <row r="6" spans="1:4" ht="12" customHeight="1">
      <c r="A6" s="1359"/>
      <c r="B6" s="1360"/>
      <c r="C6" s="1364"/>
      <c r="D6" s="1362"/>
    </row>
    <row r="7" spans="1:4" ht="18">
      <c r="A7" s="3355" t="s">
        <v>1219</v>
      </c>
      <c r="B7" s="3355"/>
      <c r="C7" s="3355"/>
      <c r="D7" s="3355"/>
    </row>
    <row r="8" spans="1:4" ht="18.75">
      <c r="A8" s="1358" t="s">
        <v>1215</v>
      </c>
      <c r="B8" s="1360" t="s">
        <v>1220</v>
      </c>
      <c r="C8" s="1358" t="s">
        <v>1217</v>
      </c>
      <c r="D8" s="1358" t="s">
        <v>1218</v>
      </c>
    </row>
    <row r="9" spans="1:4" ht="56.25" customHeight="1">
      <c r="A9" s="1365" t="s">
        <v>777</v>
      </c>
      <c r="B9" s="1365" t="s">
        <v>778</v>
      </c>
      <c r="C9" s="1361"/>
      <c r="D9" s="1362" t="s">
        <v>1226</v>
      </c>
    </row>
    <row r="11" spans="1:4" ht="18.75">
      <c r="A11" s="1366" t="s">
        <v>1221</v>
      </c>
    </row>
    <row r="12" spans="1:4" ht="30" customHeight="1">
      <c r="A12" s="3357" t="s">
        <v>2680</v>
      </c>
      <c r="B12" s="3358"/>
      <c r="C12" s="3358"/>
      <c r="D12" s="3358"/>
    </row>
    <row r="13" spans="1:4" ht="15.75">
      <c r="A13" s="335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58"/>
      <c r="C13" s="3358"/>
      <c r="D13" s="3358"/>
    </row>
    <row r="14" spans="1:4" ht="30" customHeight="1">
      <c r="A14" s="3357" t="str">
        <f>IF(项目基本情况!D4="抵押","3.抵押双方在办理抵押登记手续时，应使用本公司出具的正式《不动产估价报告书》，特提醒报告使用者注意。","——")</f>
        <v>——</v>
      </c>
      <c r="B14" s="3358"/>
      <c r="C14" s="3358"/>
      <c r="D14" s="3358"/>
    </row>
    <row r="15" spans="1:4" ht="15.75" customHeight="1">
      <c r="A15" s="3357" t="str">
        <f>IF(项目基本情况!D4="抵押","4.本次评估估价师所知悉的法定优先受偿款情况说明如下：","——")</f>
        <v>——</v>
      </c>
      <c r="B15" s="3358"/>
      <c r="C15" s="3358"/>
      <c r="D15" s="3358"/>
    </row>
    <row r="16" spans="1:4" ht="75" customHeight="1">
      <c r="A16" s="3357" t="str">
        <f>IF(项目基本情况!D4="抵押",CONCATENATE(项目基本情况!J13,项目基本情况!J14,项目基本情况!J15),"——")</f>
        <v>——</v>
      </c>
      <c r="B16" s="3357"/>
      <c r="C16" s="3357"/>
      <c r="D16" s="3357"/>
    </row>
    <row r="17" spans="1:4" ht="63.75" customHeight="1">
      <c r="A17" s="3359" t="s">
        <v>1227</v>
      </c>
      <c r="B17" s="3359"/>
      <c r="C17" s="3359"/>
      <c r="D17" s="3359"/>
    </row>
    <row r="18" spans="1:4" ht="15.75" customHeight="1">
      <c r="A18" s="3357" t="str">
        <f>IF(项目基本情况!D4="抵押",结果表!L106,"——")</f>
        <v>——</v>
      </c>
      <c r="B18" s="3357"/>
      <c r="C18" s="3357"/>
      <c r="D18" s="3357"/>
    </row>
    <row r="19" spans="1:4" ht="46.5" customHeight="1">
      <c r="A19" s="335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57"/>
      <c r="C19" s="3357"/>
      <c r="D19" s="3357"/>
    </row>
    <row r="20" spans="1:4" ht="15">
      <c r="A20" s="3359" t="s">
        <v>2681</v>
      </c>
      <c r="B20" s="3359"/>
      <c r="C20" s="3359"/>
      <c r="D20" s="3359"/>
    </row>
    <row r="21" spans="1:4">
      <c r="A21" s="1367"/>
      <c r="B21" s="980"/>
      <c r="C21" s="980"/>
      <c r="D21" s="980"/>
    </row>
    <row r="22" spans="1:4">
      <c r="A22" s="1367"/>
      <c r="B22" s="980"/>
      <c r="C22" s="980"/>
      <c r="D22" s="980"/>
    </row>
    <row r="23" spans="1:4" ht="18.75">
      <c r="A23" s="1328" t="s">
        <v>1222</v>
      </c>
    </row>
    <row r="24" spans="1:4" ht="18">
      <c r="A24" s="1328"/>
    </row>
    <row r="25" spans="1:4" ht="18.75">
      <c r="A25" s="1328" t="s">
        <v>1223</v>
      </c>
    </row>
    <row r="28" spans="1:4" ht="21" customHeight="1">
      <c r="D28" s="1368" t="s">
        <v>1224</v>
      </c>
    </row>
    <row r="29" spans="1:4" ht="21" customHeight="1">
      <c r="C29" s="1369"/>
      <c r="D29" s="137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D25" sqref="D25"/>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1294</v>
      </c>
    </row>
    <row r="3" spans="1:7" ht="14.25">
      <c r="A3" s="1374" t="s">
        <v>1295</v>
      </c>
      <c r="B3" s="605" t="s">
        <v>1296</v>
      </c>
      <c r="G3" s="1375"/>
    </row>
    <row r="4" spans="1:7">
      <c r="G4" s="1375"/>
    </row>
    <row r="5" spans="1:7" ht="14.25">
      <c r="A5" s="1377" t="s">
        <v>1297</v>
      </c>
      <c r="B5" s="605" t="s">
        <v>1298</v>
      </c>
      <c r="G5" s="1375"/>
    </row>
    <row r="6" spans="1:7">
      <c r="G6" s="1375"/>
    </row>
    <row r="7" spans="1:7" ht="14.25">
      <c r="A7" s="1378" t="s">
        <v>1299</v>
      </c>
      <c r="B7" s="605" t="s">
        <v>1300</v>
      </c>
      <c r="G7" s="1375"/>
    </row>
    <row r="8" spans="1:7">
      <c r="G8" s="1375"/>
    </row>
    <row r="9" spans="1:7">
      <c r="A9" s="1379" t="s">
        <v>1301</v>
      </c>
      <c r="B9" s="605" t="s">
        <v>1302</v>
      </c>
    </row>
    <row r="11" spans="1:7">
      <c r="A11" s="1380" t="s">
        <v>1303</v>
      </c>
      <c r="B11" s="1381" t="s">
        <v>1304</v>
      </c>
    </row>
    <row r="13" spans="1:7">
      <c r="A13" s="1161" t="s">
        <v>1305</v>
      </c>
    </row>
    <row r="15" spans="1:7" ht="14.25">
      <c r="A15" s="3365" t="s">
        <v>1306</v>
      </c>
      <c r="B15" s="3360" t="s">
        <v>1307</v>
      </c>
      <c r="C15" s="3361"/>
    </row>
    <row r="16" spans="1:7" ht="14.25">
      <c r="A16" s="3366"/>
      <c r="B16" s="3360" t="s">
        <v>1308</v>
      </c>
      <c r="C16" s="3361"/>
    </row>
    <row r="17" spans="1:3" ht="14.25">
      <c r="A17" s="3366"/>
      <c r="B17" s="3360" t="s">
        <v>1309</v>
      </c>
      <c r="C17" s="3361"/>
    </row>
    <row r="18" spans="1:3" ht="14.25">
      <c r="A18" s="3367"/>
      <c r="B18" s="3362" t="s">
        <v>1310</v>
      </c>
      <c r="C18" s="3361"/>
    </row>
    <row r="19" spans="1:3" ht="14.25">
      <c r="A19" s="1382" t="s">
        <v>1311</v>
      </c>
      <c r="B19" s="1383"/>
      <c r="C19" s="1384"/>
    </row>
    <row r="20" spans="1:3" ht="14.25">
      <c r="A20" s="3363" t="s">
        <v>1312</v>
      </c>
      <c r="B20" s="3362" t="s">
        <v>1313</v>
      </c>
      <c r="C20" s="3361"/>
    </row>
    <row r="21" spans="1:3" ht="14.25">
      <c r="A21" s="3363"/>
      <c r="B21" s="3362" t="s">
        <v>1314</v>
      </c>
      <c r="C21" s="3361"/>
    </row>
    <row r="22" spans="1:3" ht="14.25">
      <c r="A22" s="3363"/>
      <c r="B22" s="3362" t="s">
        <v>1315</v>
      </c>
      <c r="C22" s="3361"/>
    </row>
    <row r="23" spans="1:3" ht="14.25">
      <c r="A23" s="3363"/>
      <c r="B23" s="3364" t="s">
        <v>1316</v>
      </c>
      <c r="C23" s="1385" t="s">
        <v>1317</v>
      </c>
    </row>
    <row r="24" spans="1:3" ht="14.25">
      <c r="A24" s="3363"/>
      <c r="B24" s="3364"/>
      <c r="C24" s="1385" t="s">
        <v>1318</v>
      </c>
    </row>
    <row r="25" spans="1:3" ht="14.25">
      <c r="A25" s="3363"/>
      <c r="B25" s="3364"/>
      <c r="C25" s="1385" t="s">
        <v>1319</v>
      </c>
    </row>
    <row r="26" spans="1:3" ht="14.25">
      <c r="A26" s="3363"/>
      <c r="B26" s="3364"/>
      <c r="C26" s="1385" t="s">
        <v>1320</v>
      </c>
    </row>
    <row r="27" spans="1:3" ht="14.25">
      <c r="A27" s="3363"/>
      <c r="B27" s="3364"/>
      <c r="C27" s="1385" t="s">
        <v>1321</v>
      </c>
    </row>
    <row r="28" spans="1:3" ht="14.25">
      <c r="A28" s="3363"/>
      <c r="B28" s="3364"/>
      <c r="C28" s="1385" t="s">
        <v>1322</v>
      </c>
    </row>
    <row r="29" spans="1:3" ht="14.25">
      <c r="A29" s="3363"/>
      <c r="B29" s="3364"/>
      <c r="C29" s="1385" t="s">
        <v>1323</v>
      </c>
    </row>
    <row r="30" spans="1:3" ht="14.25">
      <c r="A30" s="3363"/>
      <c r="B30" s="3364"/>
      <c r="C30" s="1385" t="s">
        <v>1324</v>
      </c>
    </row>
    <row r="31" spans="1:3" ht="14.25">
      <c r="A31" s="3363"/>
      <c r="B31" s="3364"/>
      <c r="C31" s="1385" t="s">
        <v>1325</v>
      </c>
    </row>
    <row r="32" spans="1:3">
      <c r="A32" s="1386"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030" customWidth="1"/>
    <col min="2" max="2" width="38.625" style="3030" customWidth="1"/>
    <col min="3" max="3" width="26" style="3030" customWidth="1"/>
    <col min="4" max="4" width="35" style="3030" hidden="1" customWidth="1"/>
    <col min="5" max="5" width="30.125" style="3030" customWidth="1"/>
    <col min="6" max="6" width="35.5" style="3030" customWidth="1"/>
    <col min="7" max="7" width="31" style="3030" customWidth="1"/>
    <col min="8" max="8" width="37.5" style="3030" hidden="1" customWidth="1"/>
    <col min="9" max="16384" width="22.625" style="3030"/>
  </cols>
  <sheetData>
    <row r="1" spans="1:8" ht="24" customHeight="1">
      <c r="A1" s="3033"/>
      <c r="B1" s="3033"/>
      <c r="C1" s="3033"/>
      <c r="D1" s="3033"/>
      <c r="E1" s="3033"/>
      <c r="F1" s="3033"/>
      <c r="G1" s="3033"/>
      <c r="H1" s="3033"/>
    </row>
    <row r="2" spans="1:8" ht="24" customHeight="1">
      <c r="A2" s="3034" t="s">
        <v>746</v>
      </c>
      <c r="B2" s="3035">
        <f ca="1">TODAY()</f>
        <v>44648</v>
      </c>
      <c r="C2" s="3036" t="s">
        <v>747</v>
      </c>
      <c r="D2" s="3036"/>
      <c r="E2" s="3036"/>
      <c r="F2" s="3033"/>
      <c r="G2" s="3033"/>
      <c r="H2" s="3033"/>
    </row>
    <row r="3" spans="1:8" ht="24" customHeight="1">
      <c r="A3" s="3037" t="s">
        <v>748</v>
      </c>
      <c r="B3" s="3038" t="s">
        <v>749</v>
      </c>
      <c r="C3" s="3038" t="s">
        <v>750</v>
      </c>
      <c r="D3" s="3039" t="s">
        <v>772</v>
      </c>
      <c r="E3" s="3052" t="s">
        <v>751</v>
      </c>
      <c r="F3" s="1272" t="s">
        <v>752</v>
      </c>
      <c r="G3" s="3038" t="s">
        <v>750</v>
      </c>
      <c r="H3" s="3039" t="s">
        <v>773</v>
      </c>
    </row>
    <row r="4" spans="1:8" ht="24" customHeight="1">
      <c r="A4" s="1272" t="s">
        <v>753</v>
      </c>
      <c r="B4" s="1272">
        <f ca="1">IF(C4&lt;B2,"已过期",1119970066)</f>
        <v>1119970066</v>
      </c>
      <c r="C4" s="3040">
        <v>44876</v>
      </c>
      <c r="D4" s="3051" t="str">
        <f ca="1">A4&amp;"（注册号："&amp;B4&amp;"）"</f>
        <v>梁津（注册号：1119970066）</v>
      </c>
      <c r="E4" s="3053" t="s">
        <v>753</v>
      </c>
      <c r="F4" s="1272">
        <f ca="1">IF(G4&lt;B2,"已过期",96010014)</f>
        <v>96010014</v>
      </c>
      <c r="G4" s="3041">
        <v>47118</v>
      </c>
      <c r="H4" s="3042" t="str">
        <f ca="1">E4&amp;"（注册号："&amp;F4&amp;"）"</f>
        <v>梁津（注册号：96010014）</v>
      </c>
    </row>
    <row r="5" spans="1:8" ht="24" customHeight="1">
      <c r="A5" s="1272" t="s">
        <v>754</v>
      </c>
      <c r="B5" s="1272">
        <f ca="1">IF(C5&lt;B2,"已过期",1119970111)</f>
        <v>1119970111</v>
      </c>
      <c r="C5" s="3040">
        <v>44876</v>
      </c>
      <c r="D5" s="3051" t="str">
        <f t="shared" ref="D5:D14" ca="1" si="0">A5&amp;"（注册号："&amp;B5&amp;"）"</f>
        <v>叶凌（注册号：1119970111）</v>
      </c>
      <c r="E5" s="3053" t="s">
        <v>754</v>
      </c>
      <c r="F5" s="1272">
        <f ca="1">IF(G5&lt;B2,"已过期",94010078)</f>
        <v>94010078</v>
      </c>
      <c r="G5" s="3041">
        <v>46387</v>
      </c>
      <c r="H5" s="3042" t="str">
        <f t="shared" ref="H5:H16" ca="1" si="1">E5&amp;"（注册号："&amp;F5&amp;"）"</f>
        <v>叶凌（注册号：94010078）</v>
      </c>
    </row>
    <row r="6" spans="1:8" ht="24" customHeight="1">
      <c r="A6" s="1272" t="s">
        <v>755</v>
      </c>
      <c r="B6" s="1272" t="str">
        <f ca="1">IF(C6&lt;B2,"已过期",1120050019)</f>
        <v>已过期</v>
      </c>
      <c r="C6" s="3040">
        <v>44395</v>
      </c>
      <c r="D6" s="3051" t="str">
        <f t="shared" ca="1" si="0"/>
        <v>王鹏（注册号：已过期）</v>
      </c>
      <c r="E6" s="3053" t="s">
        <v>755</v>
      </c>
      <c r="F6" s="1272">
        <f ca="1">IF(G6&lt;B2,"已过期",2002110030)</f>
        <v>2002110030</v>
      </c>
      <c r="G6" s="3041">
        <v>46387</v>
      </c>
      <c r="H6" s="3042" t="str">
        <f t="shared" ca="1" si="1"/>
        <v>王鹏（注册号：2002110030）</v>
      </c>
    </row>
    <row r="7" spans="1:8" ht="24" customHeight="1">
      <c r="A7" s="1272" t="s">
        <v>756</v>
      </c>
      <c r="B7" s="1272">
        <f ca="1">IF(C7&lt;B2,"已过期",1120000080)</f>
        <v>1120000080</v>
      </c>
      <c r="C7" s="3040">
        <v>44876</v>
      </c>
      <c r="D7" s="3051" t="str">
        <f t="shared" ca="1" si="0"/>
        <v>欧红伟（注册号：1120000080）</v>
      </c>
      <c r="E7" s="3053" t="s">
        <v>756</v>
      </c>
      <c r="F7" s="1272">
        <f ca="1">IF(G7&lt;B2,"已过期",2000110082)</f>
        <v>2000110082</v>
      </c>
      <c r="G7" s="3041">
        <v>46387</v>
      </c>
      <c r="H7" s="3042" t="str">
        <f t="shared" ca="1" si="1"/>
        <v>欧红伟（注册号：2000110082）</v>
      </c>
    </row>
    <row r="8" spans="1:8" ht="24" customHeight="1">
      <c r="A8" s="1272" t="s">
        <v>757</v>
      </c>
      <c r="B8" s="1272">
        <f ca="1">IF(C8&lt;B2,"已过期",1419970001)</f>
        <v>1419970001</v>
      </c>
      <c r="C8" s="3040">
        <v>44899</v>
      </c>
      <c r="D8" s="3051" t="str">
        <f t="shared" ca="1" si="0"/>
        <v>吴薇（注册号：1419970001）</v>
      </c>
      <c r="E8" s="3053" t="s">
        <v>757</v>
      </c>
      <c r="F8" s="1272">
        <f ca="1">IF(G8&lt;B2,"已过期",2002110125)</f>
        <v>2002110125</v>
      </c>
      <c r="G8" s="3041">
        <v>47118</v>
      </c>
      <c r="H8" s="3042" t="str">
        <f t="shared" ca="1" si="1"/>
        <v>吴薇（注册号：2002110125）</v>
      </c>
    </row>
    <row r="9" spans="1:8" ht="24" customHeight="1">
      <c r="A9" s="1272" t="s">
        <v>758</v>
      </c>
      <c r="B9" s="1272" t="str">
        <f ca="1">IF(C9&lt;B2,"已过期",1120060040)</f>
        <v>已过期</v>
      </c>
      <c r="C9" s="3043">
        <v>44554</v>
      </c>
      <c r="D9" s="3051" t="str">
        <f t="shared" ca="1" si="0"/>
        <v>陈颖（注册号：已过期）</v>
      </c>
      <c r="E9" s="3053" t="s">
        <v>758</v>
      </c>
      <c r="F9" s="1272">
        <f ca="1">IF(G9&lt;B2,"已过期",2004110096)</f>
        <v>2004110096</v>
      </c>
      <c r="G9" s="3041">
        <v>47118</v>
      </c>
      <c r="H9" s="3042" t="str">
        <f t="shared" ca="1" si="1"/>
        <v>陈颖（注册号：2004110096）</v>
      </c>
    </row>
    <row r="10" spans="1:8" ht="24" customHeight="1">
      <c r="A10" s="1272" t="s">
        <v>759</v>
      </c>
      <c r="B10" s="1272">
        <f ca="1">IF(C10&lt;B2,"已过期",1120100036)</f>
        <v>1120100036</v>
      </c>
      <c r="C10" s="3043">
        <v>44675</v>
      </c>
      <c r="D10" s="3051" t="str">
        <f t="shared" ca="1" si="0"/>
        <v>崔锴（注册号：1120100036）</v>
      </c>
      <c r="E10" s="3053" t="s">
        <v>759</v>
      </c>
      <c r="F10" s="1272">
        <f ca="1">IF(G10&lt;B2,"已过期",2010110070)</f>
        <v>2010110070</v>
      </c>
      <c r="G10" s="3041">
        <v>47907</v>
      </c>
      <c r="H10" s="3042" t="str">
        <f t="shared" ca="1" si="1"/>
        <v>崔锴（注册号：2010110070）</v>
      </c>
    </row>
    <row r="11" spans="1:8" ht="24" customHeight="1">
      <c r="A11" s="1272" t="s">
        <v>760</v>
      </c>
      <c r="B11" s="1272">
        <f ca="1">IF(C11&lt;B2,"已过期",1120070131)</f>
        <v>1120070131</v>
      </c>
      <c r="C11" s="3040">
        <v>44849</v>
      </c>
      <c r="D11" s="3051" t="str">
        <f t="shared" ca="1" si="0"/>
        <v>郑燚（注册号：1120070131）</v>
      </c>
      <c r="E11" s="3053" t="s">
        <v>760</v>
      </c>
      <c r="F11" s="1272">
        <f ca="1">IF(G11&lt;B2,"已过期",2014110011)</f>
        <v>2014110011</v>
      </c>
      <c r="G11" s="3041">
        <v>49302</v>
      </c>
      <c r="H11" s="3042" t="str">
        <f t="shared" ca="1" si="1"/>
        <v>郑燚（注册号：2014110011）</v>
      </c>
    </row>
    <row r="12" spans="1:8" ht="24" customHeight="1">
      <c r="A12" s="1272" t="s">
        <v>2656</v>
      </c>
      <c r="B12" s="1272">
        <f ca="1">IF(C12&lt;B2,"已过期",1120040230)</f>
        <v>1120040230</v>
      </c>
      <c r="C12" s="3043">
        <v>44864</v>
      </c>
      <c r="D12" s="3051" t="str">
        <f t="shared" ca="1" si="0"/>
        <v>苏海（注册号：1120040230）</v>
      </c>
      <c r="E12" s="3053" t="s">
        <v>2656</v>
      </c>
      <c r="F12" s="1272">
        <f ca="1">IF(G12&lt;B2,"已过期",98030020)</f>
        <v>98030020</v>
      </c>
      <c r="G12" s="3041">
        <v>47118</v>
      </c>
      <c r="H12" s="3042" t="str">
        <f t="shared" ca="1" si="1"/>
        <v>苏海（注册号：98030020）</v>
      </c>
    </row>
    <row r="13" spans="1:8" ht="24" customHeight="1">
      <c r="A13" s="1272" t="s">
        <v>761</v>
      </c>
      <c r="B13" s="1272" t="str">
        <f ca="1">IF(C13&lt;B2,"已过期",1120020033)</f>
        <v>已过期</v>
      </c>
      <c r="C13" s="3040">
        <v>44339</v>
      </c>
      <c r="D13" s="3051" t="str">
        <f t="shared" ca="1" si="0"/>
        <v>刘敬东（注册号：已过期）</v>
      </c>
      <c r="E13" s="3053" t="s">
        <v>761</v>
      </c>
      <c r="F13" s="1272">
        <f ca="1">IF(G13&lt;B2,"已过期",2000110137)</f>
        <v>2000110137</v>
      </c>
      <c r="G13" s="3041">
        <v>46387</v>
      </c>
      <c r="H13" s="3042" t="str">
        <f t="shared" ca="1" si="1"/>
        <v>刘敬东（注册号：2000110137）</v>
      </c>
    </row>
    <row r="14" spans="1:8" ht="24" customHeight="1">
      <c r="A14" s="1272" t="s">
        <v>2673</v>
      </c>
      <c r="B14" s="1272">
        <f ca="1">IF(C14&lt;B2,"已过期",1119980106)</f>
        <v>1119980106</v>
      </c>
      <c r="C14" s="3043">
        <v>44969</v>
      </c>
      <c r="D14" s="3051" t="str">
        <f t="shared" ca="1" si="0"/>
        <v>刘俊财（注册号：1119980106）</v>
      </c>
      <c r="E14" s="3053" t="s">
        <v>2773</v>
      </c>
      <c r="F14" s="1272">
        <f ca="1">IF(G14&lt;B2,"已过期",96010063)</f>
        <v>96010063</v>
      </c>
      <c r="G14" s="3041">
        <v>47483</v>
      </c>
      <c r="H14" s="3042" t="str">
        <f t="shared" ca="1" si="1"/>
        <v>刘俊财（注册号：96010063）</v>
      </c>
    </row>
    <row r="15" spans="1:8" ht="24" customHeight="1">
      <c r="A15" s="1272"/>
      <c r="B15" s="1272"/>
      <c r="C15" s="3043"/>
      <c r="D15" s="3051" t="str">
        <f t="shared" ref="D15" si="2">A15&amp;"（注册号："&amp;B15&amp;"）"</f>
        <v>（注册号：）</v>
      </c>
      <c r="E15" s="3053" t="s">
        <v>2777</v>
      </c>
      <c r="F15" s="1272">
        <f ca="1">IF(G15&lt;B2,"已过期",2011110090)</f>
        <v>2011110090</v>
      </c>
      <c r="G15" s="3041">
        <v>48302</v>
      </c>
      <c r="H15" s="3042" t="str">
        <f t="shared" ref="H15" ca="1" si="3">E15&amp;"（注册号："&amp;F15&amp;"）"</f>
        <v>赵雯（注册号：2011110090）</v>
      </c>
    </row>
    <row r="16" spans="1:8" s="3031" customFormat="1" ht="24" customHeight="1">
      <c r="A16" s="1272"/>
      <c r="B16" s="1272"/>
      <c r="C16" s="1272"/>
      <c r="D16" s="3051" t="str">
        <f>A16&amp;"（注册号："&amp;B16&amp;"）"</f>
        <v>（注册号：）</v>
      </c>
      <c r="E16" s="3053"/>
      <c r="F16" s="1272"/>
      <c r="G16" s="1272"/>
      <c r="H16" s="3044" t="str">
        <f t="shared" si="1"/>
        <v>（注册号：）</v>
      </c>
    </row>
    <row r="17" spans="1:8" ht="24" customHeight="1">
      <c r="A17" s="3368" t="s">
        <v>762</v>
      </c>
      <c r="B17" s="3368"/>
      <c r="C17" s="3368"/>
      <c r="D17" s="3368"/>
      <c r="E17" s="3368"/>
      <c r="F17" s="3368"/>
      <c r="G17" s="3368"/>
      <c r="H17" s="3368"/>
    </row>
    <row r="18" spans="1:8" ht="24" customHeight="1">
      <c r="A18" s="3369" t="s">
        <v>763</v>
      </c>
      <c r="B18" s="3369"/>
      <c r="C18" s="3369"/>
      <c r="D18" s="3039"/>
      <c r="E18" s="3370" t="s">
        <v>764</v>
      </c>
      <c r="F18" s="3369"/>
      <c r="G18" s="3369"/>
    </row>
    <row r="19" spans="1:8" s="3029" customFormat="1" ht="24" customHeight="1">
      <c r="A19" s="3045" t="s">
        <v>765</v>
      </c>
      <c r="B19" s="3038" t="s">
        <v>766</v>
      </c>
      <c r="C19" s="3038" t="s">
        <v>767</v>
      </c>
      <c r="D19" s="3039"/>
      <c r="E19" s="3053" t="s">
        <v>765</v>
      </c>
      <c r="F19" s="3038" t="s">
        <v>766</v>
      </c>
      <c r="G19" s="3038" t="s">
        <v>767</v>
      </c>
    </row>
    <row r="20" spans="1:8" s="3029" customFormat="1" ht="24" customHeight="1">
      <c r="A20" s="3046" t="s">
        <v>2774</v>
      </c>
      <c r="B20" s="3046" t="s">
        <v>2775</v>
      </c>
      <c r="C20" s="3041">
        <v>44820</v>
      </c>
      <c r="D20" s="3054"/>
      <c r="E20" s="3056" t="s">
        <v>768</v>
      </c>
      <c r="F20" s="3046" t="s">
        <v>769</v>
      </c>
      <c r="G20" s="3047">
        <v>44377</v>
      </c>
    </row>
    <row r="21" spans="1:8" s="3029" customFormat="1" ht="24" customHeight="1">
      <c r="A21" s="3046"/>
      <c r="B21" s="3046"/>
      <c r="C21" s="3048"/>
      <c r="D21" s="3055"/>
      <c r="E21" s="3056" t="s">
        <v>770</v>
      </c>
      <c r="F21" s="3049" t="s">
        <v>2672</v>
      </c>
      <c r="G21" s="3050">
        <v>44012</v>
      </c>
    </row>
    <row r="22" spans="1:8" ht="24" customHeight="1">
      <c r="C22" s="3032"/>
      <c r="D22" s="3032"/>
      <c r="E22" s="3057"/>
      <c r="F22" s="3058"/>
      <c r="G22" s="3059" t="s">
        <v>2776</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1327</v>
      </c>
      <c r="B1" s="4" t="s">
        <v>1328</v>
      </c>
      <c r="C1" s="1388" t="s">
        <v>1329</v>
      </c>
      <c r="D1" s="5" t="s">
        <v>1330</v>
      </c>
      <c r="E1" s="5" t="s">
        <v>1331</v>
      </c>
      <c r="F1" s="5" t="s">
        <v>1332</v>
      </c>
      <c r="G1" s="5" t="s">
        <v>1333</v>
      </c>
      <c r="H1" s="5" t="s">
        <v>1334</v>
      </c>
      <c r="I1" s="5" t="s">
        <v>1335</v>
      </c>
      <c r="J1" s="5" t="s">
        <v>1336</v>
      </c>
      <c r="K1" s="5" t="s">
        <v>1337</v>
      </c>
      <c r="L1" s="5" t="s">
        <v>1338</v>
      </c>
      <c r="M1" s="5" t="s">
        <v>1339</v>
      </c>
      <c r="N1" s="5" t="s">
        <v>1340</v>
      </c>
      <c r="O1" s="5" t="s">
        <v>1341</v>
      </c>
      <c r="P1" s="1389" t="s">
        <v>1342</v>
      </c>
      <c r="Q1" s="1389" t="s">
        <v>1343</v>
      </c>
      <c r="R1" s="1389" t="s">
        <v>1344</v>
      </c>
      <c r="S1" s="5" t="s">
        <v>1345</v>
      </c>
      <c r="T1" s="6" t="s">
        <v>1346</v>
      </c>
      <c r="U1" s="5" t="s">
        <v>1347</v>
      </c>
      <c r="V1" s="5" t="s">
        <v>1348</v>
      </c>
      <c r="W1" s="5" t="s">
        <v>1349</v>
      </c>
      <c r="X1" s="5" t="s">
        <v>1350</v>
      </c>
      <c r="Y1" s="5" t="s">
        <v>1351</v>
      </c>
    </row>
    <row r="2" spans="1:25">
      <c r="A2" s="1390" t="s">
        <v>33</v>
      </c>
      <c r="B2" s="1390" t="s">
        <v>1352</v>
      </c>
      <c r="C2" s="1391"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90" t="s">
        <v>1365</v>
      </c>
      <c r="B3" s="1392"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90" t="s">
        <v>1378</v>
      </c>
      <c r="B4" s="1392" t="s">
        <v>1379</v>
      </c>
      <c r="C4" s="1391"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90" t="s">
        <v>1389</v>
      </c>
      <c r="B5" s="1390" t="s">
        <v>1390</v>
      </c>
      <c r="C5" s="1391"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3"/>
    </row>
    <row r="6" spans="1:25">
      <c r="A6" s="1390" t="s">
        <v>1398</v>
      </c>
      <c r="B6" s="1390"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3"/>
    </row>
    <row r="7" spans="1:25">
      <c r="A7" s="1390" t="s">
        <v>1406</v>
      </c>
      <c r="B7" s="1392" t="s">
        <v>1407</v>
      </c>
      <c r="C7" s="1391" t="s">
        <v>1408</v>
      </c>
      <c r="F7" s="7" t="s">
        <v>1409</v>
      </c>
      <c r="H7" s="7" t="s">
        <v>1410</v>
      </c>
      <c r="I7" s="7" t="s">
        <v>1411</v>
      </c>
      <c r="X7" s="1393"/>
    </row>
    <row r="8" spans="1:25">
      <c r="A8" s="1390" t="s">
        <v>1412</v>
      </c>
      <c r="B8" s="1392" t="s">
        <v>1413</v>
      </c>
      <c r="C8" s="1391" t="s">
        <v>1414</v>
      </c>
      <c r="F8" s="7" t="s">
        <v>1415</v>
      </c>
      <c r="H8" s="7" t="s">
        <v>1416</v>
      </c>
      <c r="I8" s="7" t="s">
        <v>1417</v>
      </c>
      <c r="X8" s="1393"/>
    </row>
    <row r="9" spans="1:25">
      <c r="A9" s="1390" t="s">
        <v>1418</v>
      </c>
      <c r="B9" s="1390" t="s">
        <v>1419</v>
      </c>
      <c r="C9" s="1391" t="s">
        <v>1420</v>
      </c>
      <c r="F9" s="7" t="s">
        <v>1421</v>
      </c>
      <c r="H9" s="7" t="s">
        <v>1422</v>
      </c>
    </row>
    <row r="10" spans="1:25">
      <c r="A10" s="1390" t="s">
        <v>1423</v>
      </c>
      <c r="B10" s="1390" t="s">
        <v>1424</v>
      </c>
      <c r="C10" s="1391" t="s">
        <v>1425</v>
      </c>
      <c r="F10" s="7" t="s">
        <v>13</v>
      </c>
    </row>
    <row r="11" spans="1:25">
      <c r="A11" s="1390" t="s">
        <v>1426</v>
      </c>
      <c r="B11" s="1390" t="s">
        <v>1427</v>
      </c>
      <c r="C11" s="1391" t="s">
        <v>1428</v>
      </c>
    </row>
    <row r="12" spans="1:25">
      <c r="A12" s="1390" t="s">
        <v>1429</v>
      </c>
      <c r="B12" s="1390" t="s">
        <v>1430</v>
      </c>
      <c r="C12" s="1391" t="s">
        <v>1431</v>
      </c>
    </row>
    <row r="13" spans="1:25">
      <c r="A13" s="1390" t="s">
        <v>1432</v>
      </c>
      <c r="B13" s="1390" t="s">
        <v>1433</v>
      </c>
      <c r="C13" s="1391" t="s">
        <v>1434</v>
      </c>
    </row>
    <row r="14" spans="1:25">
      <c r="A14" s="1390" t="s">
        <v>1435</v>
      </c>
      <c r="B14" s="1390" t="s">
        <v>1436</v>
      </c>
      <c r="C14" s="1391"/>
    </row>
    <row r="15" spans="1:25">
      <c r="A15" s="1390" t="s">
        <v>1437</v>
      </c>
      <c r="B15" s="1390" t="s">
        <v>1438</v>
      </c>
      <c r="C15" s="1391"/>
    </row>
    <row r="16" spans="1:25">
      <c r="A16" s="1390" t="s">
        <v>1439</v>
      </c>
      <c r="B16" s="1390" t="s">
        <v>1440</v>
      </c>
      <c r="C16" s="1391"/>
    </row>
    <row r="17" spans="1:3">
      <c r="A17" s="1390" t="s">
        <v>1441</v>
      </c>
      <c r="B17" s="1390" t="s">
        <v>1442</v>
      </c>
      <c r="C17" s="1391"/>
    </row>
    <row r="18" spans="1:3">
      <c r="A18" s="1390" t="s">
        <v>1443</v>
      </c>
      <c r="B18" s="1390" t="s">
        <v>1444</v>
      </c>
      <c r="C18" s="1391"/>
    </row>
    <row r="19" spans="1:3">
      <c r="A19" s="1390" t="s">
        <v>1445</v>
      </c>
      <c r="B19" s="1390" t="s">
        <v>1446</v>
      </c>
      <c r="C19" s="1391"/>
    </row>
    <row r="20" spans="1:3">
      <c r="A20" s="1390" t="s">
        <v>1447</v>
      </c>
      <c r="B20" s="1390" t="s">
        <v>2968</v>
      </c>
      <c r="C20" s="1391"/>
    </row>
    <row r="21" spans="1:3">
      <c r="A21" s="1390" t="s">
        <v>1448</v>
      </c>
      <c r="B21" s="1390" t="s">
        <v>740</v>
      </c>
      <c r="C21" s="1391"/>
    </row>
    <row r="22" spans="1:3">
      <c r="A22" s="1390" t="s">
        <v>1449</v>
      </c>
      <c r="B22" s="1390" t="s">
        <v>740</v>
      </c>
      <c r="C22" s="1391"/>
    </row>
    <row r="23" spans="1:3">
      <c r="A23" s="1390" t="s">
        <v>1450</v>
      </c>
      <c r="B23" s="1390" t="s">
        <v>740</v>
      </c>
      <c r="C23" s="1391"/>
    </row>
    <row r="24" spans="1:3">
      <c r="A24" s="1390" t="s">
        <v>1451</v>
      </c>
      <c r="B24" s="1390" t="s">
        <v>740</v>
      </c>
      <c r="C24" s="1391"/>
    </row>
    <row r="25" spans="1:3">
      <c r="A25" s="1390" t="s">
        <v>1452</v>
      </c>
      <c r="B25" s="1390" t="s">
        <v>740</v>
      </c>
      <c r="C25" s="1391"/>
    </row>
    <row r="26" spans="1:3">
      <c r="A26" s="1390" t="s">
        <v>1453</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1455</v>
      </c>
    </row>
    <row r="52" spans="1:4">
      <c r="A52" s="1394" t="s">
        <v>1456</v>
      </c>
      <c r="B52" s="1394" t="s">
        <v>1457</v>
      </c>
      <c r="C52" s="9" t="s">
        <v>1458</v>
      </c>
      <c r="D52" s="9" t="s">
        <v>1459</v>
      </c>
    </row>
    <row r="53" spans="1:4" ht="14.25" customHeight="1">
      <c r="A53" s="3371"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本次估价的“房地产价值”是指在正常市场情况下，在价值时点2022年3月25日，估价对象规划用途为，假定未设立法定优先受偿款下的房地产市场价值。</v>
      </c>
    </row>
    <row r="54" spans="1:4">
      <c r="A54" s="3371"/>
      <c r="B54" s="9" t="s">
        <v>1462</v>
      </c>
      <c r="C54" s="9" t="s">
        <v>1463</v>
      </c>
    </row>
    <row r="55" spans="1:4">
      <c r="A55" s="3371"/>
      <c r="B55" s="9" t="s">
        <v>1464</v>
      </c>
      <c r="C55" s="9" t="s">
        <v>1465</v>
      </c>
    </row>
    <row r="56" spans="1:4">
      <c r="A56" s="3371"/>
      <c r="B56" s="9" t="s">
        <v>1466</v>
      </c>
      <c r="C56" s="9" t="s">
        <v>1467</v>
      </c>
    </row>
    <row r="57" spans="1:4">
      <c r="A57" s="3371"/>
      <c r="B57" s="9" t="s">
        <v>1468</v>
      </c>
      <c r="C57" s="9" t="s">
        <v>1469</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比较法-办公</vt:lpstr>
      <vt:lpstr>案例</vt:lpstr>
      <vt:lpstr>假设开发法</vt:lpstr>
      <vt:lpstr>收益法</vt:lpstr>
      <vt:lpstr>成本法</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2020-08-03T08:20:51Z</cp:lastPrinted>
  <dcterms:created xsi:type="dcterms:W3CDTF">2015-07-13T07:17:23Z</dcterms:created>
  <dcterms:modified xsi:type="dcterms:W3CDTF">2022-03-28T01:20:40Z</dcterms:modified>
</cp:coreProperties>
</file>