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F045EC1D-235C-41CC-BDF4-2127E7A31C25}" xr6:coauthVersionLast="47" xr6:coauthVersionMax="47" xr10:uidLastSave="{00000000-0000-0000-0000-000000000000}"/>
  <bookViews>
    <workbookView xWindow="555" yWindow="0" windowWidth="16500" windowHeight="20760" tabRatio="747" firstSheet="1" activeTab="2" xr2:uid="{00000000-000D-0000-FFFF-FFFF00000000}"/>
  </bookViews>
  <sheets>
    <sheet name="系统读取表" sheetId="11" r:id="rId1"/>
    <sheet name="项目信息" sheetId="13" r:id="rId2"/>
    <sheet name="测算表" sheetId="6" r:id="rId3"/>
    <sheet name="成本分析" sheetId="14" r:id="rId4"/>
    <sheet name="案例汇总" sheetId="5" r:id="rId5"/>
    <sheet name="案例汇总 -月" sheetId="36" r:id="rId6"/>
    <sheet name="城研数据 整理" sheetId="35" r:id="rId7"/>
    <sheet name="贝壳案例" sheetId="31" r:id="rId8"/>
    <sheet name="中指数据" sheetId="4" r:id="rId9"/>
    <sheet name="朝阳区金泰丽富嘉园" sheetId="28" state="hidden" r:id="rId10"/>
    <sheet name="中指" sheetId="25" state="hidden" r:id="rId11"/>
    <sheet name="房源表明细" sheetId="34" r:id="rId12"/>
    <sheet name="城研数据 " sheetId="29" r:id="rId13"/>
    <sheet name="之前评估" sheetId="15" r:id="rId14"/>
  </sheets>
  <externalReferences>
    <externalReference r:id="rId15"/>
  </externalReferences>
  <definedNames>
    <definedName name="_xlnm._FilterDatabase" localSheetId="11"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6"/>
  </pivotCaches>
</workbook>
</file>

<file path=xl/calcChain.xml><?xml version="1.0" encoding="utf-8"?>
<calcChain xmlns="http://schemas.openxmlformats.org/spreadsheetml/2006/main">
  <c r="T35" i="31" l="1"/>
  <c r="T37" i="31"/>
  <c r="L36" i="36" s="1"/>
  <c r="T9" i="31"/>
  <c r="G5" i="6"/>
  <c r="F15" i="36"/>
  <c r="F41" i="36"/>
  <c r="F28" i="36"/>
  <c r="M28" i="36"/>
  <c r="T41" i="36"/>
  <c r="T28" i="36"/>
  <c r="T15" i="36"/>
  <c r="G127" i="36"/>
  <c r="E113" i="36"/>
  <c r="E109" i="36"/>
  <c r="S107" i="36"/>
  <c r="X99" i="36"/>
  <c r="W99" i="36"/>
  <c r="V99" i="36"/>
  <c r="X98" i="36"/>
  <c r="W98" i="36"/>
  <c r="V98" i="36"/>
  <c r="X97" i="36"/>
  <c r="W97" i="36"/>
  <c r="V97" i="36"/>
  <c r="X96" i="36"/>
  <c r="W96" i="36"/>
  <c r="V96" i="36"/>
  <c r="X95" i="36"/>
  <c r="W95" i="36"/>
  <c r="V95" i="36"/>
  <c r="B62" i="36"/>
  <c r="H61" i="36"/>
  <c r="H60" i="36"/>
  <c r="H59" i="36"/>
  <c r="B59" i="36"/>
  <c r="C94" i="36" s="1"/>
  <c r="S53" i="36"/>
  <c r="E53" i="36"/>
  <c r="S52" i="36"/>
  <c r="T52" i="36" s="1"/>
  <c r="Q108" i="36" s="1"/>
  <c r="M52" i="36"/>
  <c r="R108" i="36" s="1"/>
  <c r="L52" i="36"/>
  <c r="E52" i="36"/>
  <c r="F52" i="36" s="1"/>
  <c r="S108" i="36" s="1"/>
  <c r="S51" i="36"/>
  <c r="L51" i="36"/>
  <c r="E51" i="36"/>
  <c r="S50" i="36"/>
  <c r="L50" i="36"/>
  <c r="M49" i="36" s="1"/>
  <c r="R107" i="36" s="1"/>
  <c r="E50" i="36"/>
  <c r="S49" i="36"/>
  <c r="T49" i="36" s="1"/>
  <c r="Q107" i="36" s="1"/>
  <c r="F49" i="36"/>
  <c r="E49" i="36"/>
  <c r="S48" i="36"/>
  <c r="L48" i="36"/>
  <c r="E48" i="36"/>
  <c r="S47" i="36"/>
  <c r="E47" i="36"/>
  <c r="T46" i="36"/>
  <c r="Q106" i="36" s="1"/>
  <c r="S46" i="36"/>
  <c r="L46" i="36"/>
  <c r="M46" i="36" s="1"/>
  <c r="R106" i="36" s="1"/>
  <c r="F46" i="36"/>
  <c r="S106" i="36" s="1"/>
  <c r="E46" i="36"/>
  <c r="S45" i="36"/>
  <c r="L45" i="36"/>
  <c r="E45" i="36"/>
  <c r="S44" i="36"/>
  <c r="L44" i="36"/>
  <c r="E44" i="36"/>
  <c r="T43" i="36"/>
  <c r="Q105" i="36" s="1"/>
  <c r="S43" i="36"/>
  <c r="L43" i="36"/>
  <c r="M43" i="36" s="1"/>
  <c r="R105" i="36" s="1"/>
  <c r="F43" i="36"/>
  <c r="S105" i="36" s="1"/>
  <c r="E43" i="36"/>
  <c r="S42" i="36"/>
  <c r="T42" i="36" s="1"/>
  <c r="P42" i="36"/>
  <c r="M42" i="36"/>
  <c r="R101" i="36" s="1"/>
  <c r="L42" i="36"/>
  <c r="I42" i="36"/>
  <c r="F42" i="36"/>
  <c r="S101" i="36" s="1"/>
  <c r="E42" i="36"/>
  <c r="T40" i="36"/>
  <c r="E127" i="36" s="1"/>
  <c r="S40" i="36"/>
  <c r="L40" i="36"/>
  <c r="M40" i="36" s="1"/>
  <c r="F127" i="36" s="1"/>
  <c r="F40" i="36"/>
  <c r="E40" i="36"/>
  <c r="S39" i="36"/>
  <c r="T37" i="36" s="1"/>
  <c r="E126" i="36" s="1"/>
  <c r="L39" i="36"/>
  <c r="E39" i="36"/>
  <c r="S38" i="36"/>
  <c r="L38" i="36"/>
  <c r="E38" i="36"/>
  <c r="F37" i="36" s="1"/>
  <c r="G126" i="36" s="1"/>
  <c r="S37" i="36"/>
  <c r="L37" i="36"/>
  <c r="M37" i="36" s="1"/>
  <c r="F126" i="36" s="1"/>
  <c r="E37" i="36"/>
  <c r="S36" i="36"/>
  <c r="T34" i="36" s="1"/>
  <c r="E125" i="36" s="1"/>
  <c r="E36" i="36"/>
  <c r="S35" i="36"/>
  <c r="L35" i="36"/>
  <c r="E35" i="36"/>
  <c r="F34" i="36" s="1"/>
  <c r="G125" i="36" s="1"/>
  <c r="S34" i="36"/>
  <c r="L34" i="36"/>
  <c r="E34" i="36"/>
  <c r="S33" i="36"/>
  <c r="T31" i="36" s="1"/>
  <c r="E124" i="36" s="1"/>
  <c r="L33" i="36"/>
  <c r="E33" i="36"/>
  <c r="S32" i="36"/>
  <c r="L32" i="36"/>
  <c r="E32" i="36"/>
  <c r="F31" i="36" s="1"/>
  <c r="G124" i="36" s="1"/>
  <c r="S31" i="36"/>
  <c r="L31" i="36"/>
  <c r="M31" i="36" s="1"/>
  <c r="F124" i="36" s="1"/>
  <c r="E31" i="36"/>
  <c r="S30" i="36"/>
  <c r="L30" i="36"/>
  <c r="M29" i="36" s="1"/>
  <c r="E30" i="36"/>
  <c r="S29" i="36"/>
  <c r="T29" i="36" s="1"/>
  <c r="P29" i="36"/>
  <c r="L29" i="36"/>
  <c r="I29" i="36"/>
  <c r="F29" i="36"/>
  <c r="G123" i="36" s="1"/>
  <c r="B29" i="36"/>
  <c r="B61" i="36" s="1"/>
  <c r="C122" i="36" s="1"/>
  <c r="T27" i="36"/>
  <c r="S27" i="36"/>
  <c r="L27" i="36"/>
  <c r="M27" i="36" s="1"/>
  <c r="F113" i="36" s="1"/>
  <c r="F27" i="36"/>
  <c r="G113" i="36" s="1"/>
  <c r="E27" i="36"/>
  <c r="S26" i="36"/>
  <c r="T24" i="36" s="1"/>
  <c r="E112" i="36" s="1"/>
  <c r="L26" i="36"/>
  <c r="E26" i="36"/>
  <c r="S25" i="36"/>
  <c r="L25" i="36"/>
  <c r="E25" i="36"/>
  <c r="F24" i="36" s="1"/>
  <c r="G112" i="36" s="1"/>
  <c r="S24" i="36"/>
  <c r="L24" i="36"/>
  <c r="M24" i="36" s="1"/>
  <c r="F112" i="36" s="1"/>
  <c r="E24" i="36"/>
  <c r="S23" i="36"/>
  <c r="T21" i="36" s="1"/>
  <c r="E111" i="36" s="1"/>
  <c r="L23" i="36"/>
  <c r="E23" i="36"/>
  <c r="S22" i="36"/>
  <c r="L22" i="36"/>
  <c r="E22" i="36"/>
  <c r="F21" i="36" s="1"/>
  <c r="G111" i="36" s="1"/>
  <c r="S21" i="36"/>
  <c r="L21" i="36"/>
  <c r="M21" i="36" s="1"/>
  <c r="F111" i="36" s="1"/>
  <c r="E21" i="36"/>
  <c r="S20" i="36"/>
  <c r="T18" i="36" s="1"/>
  <c r="E110" i="36" s="1"/>
  <c r="L20" i="36"/>
  <c r="E20" i="36"/>
  <c r="S19" i="36"/>
  <c r="L19" i="36"/>
  <c r="E19" i="36"/>
  <c r="F18" i="36" s="1"/>
  <c r="G110" i="36" s="1"/>
  <c r="S18" i="36"/>
  <c r="L18" i="36"/>
  <c r="M18" i="36" s="1"/>
  <c r="F110" i="36" s="1"/>
  <c r="S17" i="36"/>
  <c r="L17" i="36"/>
  <c r="E17" i="36"/>
  <c r="F16" i="36" s="1"/>
  <c r="T16" i="36"/>
  <c r="S16" i="36"/>
  <c r="M16" i="36"/>
  <c r="F109" i="36" s="1"/>
  <c r="F114" i="36" s="1"/>
  <c r="L16" i="36"/>
  <c r="B16" i="36"/>
  <c r="I16" i="36" s="1"/>
  <c r="T14" i="36"/>
  <c r="E99" i="36" s="1"/>
  <c r="S14" i="36"/>
  <c r="L14" i="36"/>
  <c r="M14" i="36" s="1"/>
  <c r="F99" i="36" s="1"/>
  <c r="F14" i="36"/>
  <c r="G99" i="36" s="1"/>
  <c r="E14" i="36"/>
  <c r="S13" i="36"/>
  <c r="L13" i="36"/>
  <c r="E13" i="36"/>
  <c r="S12" i="36"/>
  <c r="L12" i="36"/>
  <c r="E12" i="36"/>
  <c r="T11" i="36"/>
  <c r="E98" i="36" s="1"/>
  <c r="S11" i="36"/>
  <c r="L11" i="36"/>
  <c r="M11" i="36" s="1"/>
  <c r="F98" i="36" s="1"/>
  <c r="F11" i="36"/>
  <c r="G98" i="36" s="1"/>
  <c r="E11" i="36"/>
  <c r="S10" i="36"/>
  <c r="L10" i="36"/>
  <c r="M15" i="36" s="1"/>
  <c r="E10" i="36"/>
  <c r="S9" i="36"/>
  <c r="L9" i="36"/>
  <c r="E9" i="36"/>
  <c r="T8" i="36"/>
  <c r="E97" i="36" s="1"/>
  <c r="S8" i="36"/>
  <c r="L8" i="36"/>
  <c r="F8" i="36"/>
  <c r="G97" i="36" s="1"/>
  <c r="E8" i="36"/>
  <c r="S7" i="36"/>
  <c r="L7" i="36"/>
  <c r="E7" i="36"/>
  <c r="S6" i="36"/>
  <c r="L6" i="36"/>
  <c r="E6" i="36"/>
  <c r="T5" i="36"/>
  <c r="E96" i="36" s="1"/>
  <c r="S5" i="36"/>
  <c r="L5" i="36"/>
  <c r="M5" i="36" s="1"/>
  <c r="F96" i="36" s="1"/>
  <c r="F5" i="36"/>
  <c r="C59" i="36" s="1"/>
  <c r="E5" i="36"/>
  <c r="S4" i="36"/>
  <c r="P4" i="36"/>
  <c r="L4" i="36"/>
  <c r="E4" i="36"/>
  <c r="S3" i="36"/>
  <c r="T3" i="36" s="1"/>
  <c r="L3" i="36"/>
  <c r="M3" i="36" s="1"/>
  <c r="I3" i="36"/>
  <c r="F3" i="36"/>
  <c r="G95" i="36" s="1"/>
  <c r="B3" i="36"/>
  <c r="I4" i="36" s="1"/>
  <c r="C2" i="14"/>
  <c r="C10" i="14"/>
  <c r="M41" i="36" l="1"/>
  <c r="D61" i="36" s="1"/>
  <c r="M34" i="36"/>
  <c r="F125" i="36" s="1"/>
  <c r="M8" i="36"/>
  <c r="F97" i="36" s="1"/>
  <c r="E60" i="36"/>
  <c r="G128" i="36"/>
  <c r="E123" i="36"/>
  <c r="E128" i="36" s="1"/>
  <c r="E61" i="36"/>
  <c r="E114" i="36"/>
  <c r="F95" i="36"/>
  <c r="F100" i="36" s="1"/>
  <c r="D59" i="36"/>
  <c r="F59" i="36" s="1"/>
  <c r="I59" i="36" s="1"/>
  <c r="E59" i="36"/>
  <c r="E95" i="36"/>
  <c r="E100" i="36" s="1"/>
  <c r="G109" i="36"/>
  <c r="G114" i="36" s="1"/>
  <c r="C60" i="36"/>
  <c r="F123" i="36"/>
  <c r="F128" i="36" s="1"/>
  <c r="T54" i="36"/>
  <c r="Q101" i="36"/>
  <c r="C61" i="36"/>
  <c r="G96" i="36"/>
  <c r="G100" i="36" s="1"/>
  <c r="P16" i="36"/>
  <c r="D60" i="36"/>
  <c r="B60" i="36"/>
  <c r="C108" i="36" s="1"/>
  <c r="M54" i="36"/>
  <c r="F54" i="36"/>
  <c r="P3" i="36"/>
  <c r="F24" i="6"/>
  <c r="F114" i="5"/>
  <c r="E114" i="5"/>
  <c r="G127" i="5"/>
  <c r="G126" i="5"/>
  <c r="G125" i="5"/>
  <c r="G124" i="5"/>
  <c r="G123" i="5"/>
  <c r="F127" i="5"/>
  <c r="F126" i="5"/>
  <c r="F124" i="5"/>
  <c r="F123" i="5"/>
  <c r="E128" i="5"/>
  <c r="E127" i="5"/>
  <c r="E126" i="5"/>
  <c r="E125" i="5"/>
  <c r="E124" i="5"/>
  <c r="E123" i="5"/>
  <c r="G113" i="5"/>
  <c r="F113" i="5"/>
  <c r="E113" i="5"/>
  <c r="E109" i="5"/>
  <c r="G112" i="5"/>
  <c r="G111" i="5"/>
  <c r="G110" i="5"/>
  <c r="G109" i="5"/>
  <c r="F112" i="5"/>
  <c r="F111" i="5"/>
  <c r="F110" i="5"/>
  <c r="F109" i="5"/>
  <c r="F95" i="5"/>
  <c r="F96" i="5"/>
  <c r="G114" i="5"/>
  <c r="E112" i="5"/>
  <c r="E111" i="5"/>
  <c r="E110" i="5"/>
  <c r="X99" i="5"/>
  <c r="W99" i="5"/>
  <c r="V99" i="5"/>
  <c r="X98" i="5"/>
  <c r="W98" i="5"/>
  <c r="V98" i="5"/>
  <c r="X97" i="5"/>
  <c r="W97" i="5"/>
  <c r="V97" i="5"/>
  <c r="X96" i="5"/>
  <c r="W96" i="5"/>
  <c r="V96" i="5"/>
  <c r="X95" i="5"/>
  <c r="W95" i="5"/>
  <c r="V95" i="5"/>
  <c r="E95" i="5"/>
  <c r="E96" i="5"/>
  <c r="F41" i="5"/>
  <c r="T41" i="5"/>
  <c r="M28" i="5"/>
  <c r="F28" i="5"/>
  <c r="T28" i="5"/>
  <c r="T15" i="5"/>
  <c r="F15" i="5"/>
  <c r="G99" i="5"/>
  <c r="G98" i="5"/>
  <c r="G97" i="5"/>
  <c r="G100" i="5" s="1"/>
  <c r="G96" i="5"/>
  <c r="G95" i="5"/>
  <c r="F99" i="5"/>
  <c r="F98" i="5"/>
  <c r="E100" i="5"/>
  <c r="E99" i="5"/>
  <c r="E98" i="5"/>
  <c r="E97" i="5"/>
  <c r="F13" i="6"/>
  <c r="J13" i="6" s="1"/>
  <c r="B1" i="11"/>
  <c r="B14" i="11"/>
  <c r="H3" i="13"/>
  <c r="G41" i="6"/>
  <c r="H41" i="6" s="1"/>
  <c r="E41" i="6"/>
  <c r="G47" i="6"/>
  <c r="G18" i="6" s="1"/>
  <c r="G45" i="6"/>
  <c r="I45" i="6"/>
  <c r="I47" i="6" s="1"/>
  <c r="I18" i="6" s="1"/>
  <c r="E45" i="6"/>
  <c r="E47" i="6" s="1"/>
  <c r="E18" i="6" s="1"/>
  <c r="C45" i="6"/>
  <c r="C47" i="6" s="1"/>
  <c r="C18" i="6" s="1"/>
  <c r="F61" i="36" l="1"/>
  <c r="I61" i="36" s="1"/>
  <c r="F60" i="36"/>
  <c r="I60" i="36" s="1"/>
  <c r="J60" i="36" s="1"/>
  <c r="J59" i="36"/>
  <c r="K59" i="36" s="1"/>
  <c r="E5" i="6" s="1"/>
  <c r="S109" i="36"/>
  <c r="C62" i="36"/>
  <c r="E62" i="36"/>
  <c r="Q109" i="36"/>
  <c r="R109" i="36"/>
  <c r="D62" i="36"/>
  <c r="G128" i="5"/>
  <c r="F18" i="6"/>
  <c r="J18" i="6" s="1"/>
  <c r="I41" i="6"/>
  <c r="H18" i="6"/>
  <c r="J61" i="36" l="1"/>
  <c r="K61" i="36" s="1"/>
  <c r="I5" i="6" s="1"/>
  <c r="K60" i="36"/>
  <c r="F62" i="36"/>
  <c r="I62" i="36" s="1"/>
  <c r="E4" i="14"/>
  <c r="F4" i="14"/>
  <c r="E2" i="14"/>
  <c r="K3" i="13"/>
  <c r="L3" i="13" s="1"/>
  <c r="J3" i="13"/>
  <c r="H24" i="6"/>
  <c r="J23" i="6"/>
  <c r="G39" i="6"/>
  <c r="H39" i="6" s="1"/>
  <c r="I39" i="6" s="1"/>
  <c r="E39" i="6"/>
  <c r="F20" i="6"/>
  <c r="J20" i="6" s="1"/>
  <c r="F17" i="6"/>
  <c r="J17" i="6" s="1"/>
  <c r="F16" i="6"/>
  <c r="J16" i="6" s="1"/>
  <c r="I11" i="6"/>
  <c r="G11" i="6"/>
  <c r="E11" i="6"/>
  <c r="I10" i="6"/>
  <c r="G10" i="6"/>
  <c r="E10" i="6"/>
  <c r="H61" i="5"/>
  <c r="H60" i="5"/>
  <c r="H59" i="5"/>
  <c r="S31" i="5"/>
  <c r="S32" i="5"/>
  <c r="S33" i="5"/>
  <c r="S34" i="5"/>
  <c r="S35" i="5"/>
  <c r="S36" i="5"/>
  <c r="S37" i="5"/>
  <c r="S38" i="5"/>
  <c r="S39" i="5"/>
  <c r="S40" i="5"/>
  <c r="T40" i="5" s="1"/>
  <c r="S30" i="5"/>
  <c r="T29" i="5"/>
  <c r="S29" i="5"/>
  <c r="S18" i="5"/>
  <c r="S19" i="5"/>
  <c r="S20" i="5"/>
  <c r="S21" i="5"/>
  <c r="S22" i="5"/>
  <c r="S23" i="5"/>
  <c r="S24" i="5"/>
  <c r="S25" i="5"/>
  <c r="S26" i="5"/>
  <c r="S27" i="5"/>
  <c r="S17" i="5"/>
  <c r="S16" i="5"/>
  <c r="S5" i="5"/>
  <c r="S6" i="5"/>
  <c r="S7" i="5"/>
  <c r="S8" i="5"/>
  <c r="S9" i="5"/>
  <c r="S10" i="5"/>
  <c r="S11" i="5"/>
  <c r="S12" i="5"/>
  <c r="S13" i="5"/>
  <c r="T11" i="5" s="1"/>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L18" i="5"/>
  <c r="L19" i="5"/>
  <c r="L20" i="5"/>
  <c r="L21" i="5"/>
  <c r="L22" i="5"/>
  <c r="L23" i="5"/>
  <c r="L24" i="5"/>
  <c r="L25" i="5"/>
  <c r="L26" i="5"/>
  <c r="L27" i="5"/>
  <c r="L17" i="5"/>
  <c r="L16" i="5"/>
  <c r="L4" i="5"/>
  <c r="L5" i="5"/>
  <c r="L6" i="5"/>
  <c r="L7" i="5"/>
  <c r="L8" i="5"/>
  <c r="L9" i="5"/>
  <c r="L10" i="5"/>
  <c r="L11" i="5"/>
  <c r="L12" i="5"/>
  <c r="L13" i="5"/>
  <c r="L14" i="5"/>
  <c r="M14" i="5" s="1"/>
  <c r="L3" i="5"/>
  <c r="T41" i="31"/>
  <c r="T38" i="31"/>
  <c r="T36" i="31"/>
  <c r="L35" i="5" s="1"/>
  <c r="T34" i="31"/>
  <c r="T33" i="31"/>
  <c r="T32" i="31"/>
  <c r="L31" i="5" s="1"/>
  <c r="T30" i="31"/>
  <c r="T27" i="31"/>
  <c r="T24" i="31"/>
  <c r="T23" i="31"/>
  <c r="T22" i="31"/>
  <c r="T21" i="31"/>
  <c r="T20" i="31"/>
  <c r="T19" i="31"/>
  <c r="T17" i="31"/>
  <c r="T16" i="31"/>
  <c r="T13" i="31"/>
  <c r="T12" i="31"/>
  <c r="T8" i="31"/>
  <c r="T6" i="31"/>
  <c r="T5" i="31"/>
  <c r="T4" i="31"/>
  <c r="T2" i="31"/>
  <c r="B62" i="5"/>
  <c r="M40" i="5"/>
  <c r="T27" i="5"/>
  <c r="M27" i="5"/>
  <c r="T14" i="5"/>
  <c r="E40" i="5"/>
  <c r="F40" i="5" s="1"/>
  <c r="E39" i="5"/>
  <c r="E38" i="5"/>
  <c r="E37" i="5"/>
  <c r="E36" i="5"/>
  <c r="E35" i="5"/>
  <c r="E34" i="5"/>
  <c r="E33" i="5"/>
  <c r="E32" i="5"/>
  <c r="E31" i="5"/>
  <c r="E30" i="5"/>
  <c r="F29" i="5" s="1"/>
  <c r="E27" i="5"/>
  <c r="F27" i="5" s="1"/>
  <c r="E26" i="5"/>
  <c r="E25" i="5"/>
  <c r="E24" i="5"/>
  <c r="E23" i="5"/>
  <c r="E22" i="5"/>
  <c r="E21" i="5"/>
  <c r="E20" i="5"/>
  <c r="E19" i="5"/>
  <c r="E17" i="5"/>
  <c r="F16" i="5" s="1"/>
  <c r="E14" i="5"/>
  <c r="E13" i="5"/>
  <c r="E12" i="5"/>
  <c r="E11" i="5"/>
  <c r="E10" i="5"/>
  <c r="E9" i="5"/>
  <c r="E8" i="5"/>
  <c r="E7" i="5"/>
  <c r="E6" i="5"/>
  <c r="E5" i="5"/>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B29" i="5"/>
  <c r="P29" i="5" s="1"/>
  <c r="B16" i="5"/>
  <c r="P16" i="5" s="1"/>
  <c r="B3" i="5"/>
  <c r="P4" i="5" s="1"/>
  <c r="H9" i="6" l="1"/>
  <c r="G28" i="6" s="1"/>
  <c r="J9" i="6"/>
  <c r="I28" i="6" s="1"/>
  <c r="E28" i="6"/>
  <c r="J62" i="36"/>
  <c r="K62" i="36"/>
  <c r="F24" i="5"/>
  <c r="T21" i="5"/>
  <c r="F8" i="5"/>
  <c r="F18" i="5"/>
  <c r="F5" i="5"/>
  <c r="F34" i="5"/>
  <c r="M31" i="5"/>
  <c r="T18" i="5"/>
  <c r="F31" i="5"/>
  <c r="F37" i="5"/>
  <c r="M8" i="5"/>
  <c r="M18" i="5"/>
  <c r="F21" i="5"/>
  <c r="M5" i="5"/>
  <c r="M29" i="5"/>
  <c r="M34" i="5"/>
  <c r="J24" i="6"/>
  <c r="H20" i="6"/>
  <c r="H17" i="6"/>
  <c r="J39" i="6"/>
  <c r="H22" i="6"/>
  <c r="J22" i="6" s="1"/>
  <c r="H16" i="6"/>
  <c r="F22" i="6"/>
  <c r="H23" i="6"/>
  <c r="M24" i="5"/>
  <c r="M21" i="5"/>
  <c r="M16" i="5"/>
  <c r="T5" i="5"/>
  <c r="M11" i="5"/>
  <c r="M37" i="5"/>
  <c r="B61" i="5"/>
  <c r="C122" i="5" s="1"/>
  <c r="T8" i="5"/>
  <c r="T24" i="5"/>
  <c r="T31" i="5"/>
  <c r="B60" i="5"/>
  <c r="C108" i="5" s="1"/>
  <c r="B59" i="5"/>
  <c r="C94" i="5" s="1"/>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F125" i="5" l="1"/>
  <c r="F128" i="5" s="1"/>
  <c r="M41" i="5"/>
  <c r="M15" i="5"/>
  <c r="F97" i="5"/>
  <c r="F100" i="5" s="1"/>
  <c r="U14" i="34"/>
  <c r="U16" i="34"/>
  <c r="U11" i="34"/>
  <c r="U13" i="34"/>
  <c r="U15" i="34"/>
  <c r="U12" i="34"/>
  <c r="F3" i="13"/>
  <c r="D3" i="13"/>
  <c r="E3" i="13" s="1"/>
  <c r="G3" i="13" s="1"/>
  <c r="E43" i="5"/>
  <c r="E44" i="5"/>
  <c r="E45" i="5"/>
  <c r="E46" i="5"/>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8" i="5" s="1"/>
  <c r="L51" i="5"/>
  <c r="L48" i="5"/>
  <c r="L46" i="5"/>
  <c r="L45" i="5"/>
  <c r="L44" i="5"/>
  <c r="L43" i="5"/>
  <c r="L42" i="5"/>
  <c r="M42" i="5" s="1"/>
  <c r="R101" i="5" s="1"/>
  <c r="F46" i="5" l="1"/>
  <c r="S106" i="5" s="1"/>
  <c r="F43" i="5"/>
  <c r="S105" i="5" s="1"/>
  <c r="M43" i="5"/>
  <c r="R105" i="5" s="1"/>
  <c r="T49" i="5"/>
  <c r="Q107" i="5" s="1"/>
  <c r="T52" i="5"/>
  <c r="Q108" i="5" s="1"/>
  <c r="F49" i="5"/>
  <c r="S107" i="5" s="1"/>
  <c r="F52" i="5"/>
  <c r="S108" i="5" s="1"/>
  <c r="T46" i="5"/>
  <c r="Q106" i="5" s="1"/>
  <c r="T43" i="5"/>
  <c r="Q105" i="5" s="1"/>
  <c r="M46" i="5"/>
  <c r="R106" i="5" l="1"/>
  <c r="T54" i="5"/>
  <c r="E62" i="5" s="1"/>
  <c r="F54" i="5"/>
  <c r="Q109" i="5" l="1"/>
  <c r="C62" i="5"/>
  <c r="S109"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E61" i="5"/>
  <c r="C59" i="5"/>
  <c r="C61" i="5"/>
  <c r="C60" i="5"/>
  <c r="J8" i="31"/>
  <c r="J85" i="31"/>
  <c r="J48" i="31"/>
  <c r="E60" i="5"/>
  <c r="I63" i="31"/>
  <c r="J63" i="31"/>
  <c r="J31" i="31"/>
  <c r="I54" i="31"/>
  <c r="J54" i="31"/>
  <c r="J80" i="31"/>
  <c r="J28" i="31"/>
  <c r="I28" i="31"/>
  <c r="I70" i="31"/>
  <c r="J70" i="31"/>
  <c r="J40" i="31"/>
  <c r="I40" i="31"/>
  <c r="I78" i="31"/>
  <c r="J78" i="31"/>
  <c r="J13" i="31"/>
  <c r="I83" i="31"/>
  <c r="J83" i="31"/>
  <c r="J46" i="31"/>
  <c r="E59" i="5"/>
  <c r="I7" i="31"/>
  <c r="I4" i="31"/>
  <c r="L50" i="5" l="1"/>
  <c r="M49" i="5" s="1"/>
  <c r="D59" i="5"/>
  <c r="F59" i="5" s="1"/>
  <c r="B7" i="13"/>
  <c r="E7" i="13"/>
  <c r="F7" i="13" s="1"/>
  <c r="I59" i="5" l="1"/>
  <c r="J59" i="5" s="1"/>
  <c r="R107" i="5"/>
  <c r="M54" i="5"/>
  <c r="D61" i="5"/>
  <c r="D60" i="5"/>
  <c r="C6" i="14"/>
  <c r="F60" i="5" l="1"/>
  <c r="I60" i="5" s="1"/>
  <c r="J60" i="5" s="1"/>
  <c r="K60" i="5" s="1"/>
  <c r="F61" i="5"/>
  <c r="I61" i="5" s="1"/>
  <c r="K59" i="5"/>
  <c r="D62" i="5"/>
  <c r="F62" i="5" s="1"/>
  <c r="I62" i="5" s="1"/>
  <c r="J62" i="5" s="1"/>
  <c r="K62" i="5" s="1"/>
  <c r="R109" i="5"/>
  <c r="C4" i="14"/>
  <c r="J61" i="5" l="1"/>
  <c r="K61" i="5" s="1"/>
  <c r="C3" i="14"/>
  <c r="F23" i="11" l="1"/>
  <c r="E23" i="11"/>
  <c r="F22" i="11"/>
  <c r="E22" i="11"/>
  <c r="F21" i="11"/>
  <c r="E21" i="11"/>
  <c r="F20" i="11"/>
  <c r="E20" i="11"/>
  <c r="F19" i="11"/>
  <c r="E19" i="11"/>
  <c r="F18" i="11"/>
  <c r="E18" i="11"/>
  <c r="F17" i="11"/>
  <c r="E17" i="11"/>
  <c r="F16" i="11"/>
  <c r="E16" i="11"/>
  <c r="F15" i="11"/>
  <c r="E15" i="11"/>
  <c r="D8" i="11"/>
  <c r="C8" i="11"/>
  <c r="D7" i="11"/>
  <c r="C7" i="11"/>
  <c r="D6" i="11"/>
  <c r="B2" i="11"/>
  <c r="E33" i="6" l="1"/>
  <c r="H7" i="6" l="1"/>
  <c r="J7" i="6"/>
  <c r="G24" i="6"/>
  <c r="I24" i="6" s="1"/>
  <c r="I33" i="6" l="1"/>
  <c r="G25" i="6"/>
  <c r="G26" i="6" s="1"/>
  <c r="E25" i="6"/>
  <c r="E26" i="6" s="1"/>
  <c r="E29" i="6" s="1"/>
  <c r="G33" i="6"/>
  <c r="E31" i="6" l="1"/>
  <c r="G29" i="6"/>
  <c r="G31" i="6" s="1"/>
  <c r="I25" i="6" l="1"/>
  <c r="I26" i="6" s="1"/>
  <c r="C29" i="6" l="1"/>
  <c r="C30" i="6" s="1"/>
  <c r="E8" i="14" s="1"/>
  <c r="L26" i="6"/>
  <c r="L27" i="6" s="1"/>
  <c r="I29" i="6"/>
  <c r="I31" i="6" s="1"/>
  <c r="A27" i="6"/>
  <c r="C8" i="14" l="1"/>
  <c r="C7" i="14" s="1"/>
  <c r="C11" i="14" s="1"/>
  <c r="C12" i="14" s="1"/>
  <c r="E14" i="11"/>
  <c r="D14" i="11" s="1"/>
  <c r="F8" i="14"/>
  <c r="F14" i="11" l="1"/>
  <c r="B5" i="11"/>
  <c r="B6" i="11"/>
  <c r="C6" i="11" s="1"/>
  <c r="B10" i="11" l="1"/>
  <c r="D5" i="11"/>
  <c r="B9" i="11"/>
  <c r="C5" i="11"/>
  <c r="B8" i="11"/>
  <c r="B11" i="11"/>
  <c r="B7" i="11"/>
</calcChain>
</file>

<file path=xl/sharedStrings.xml><?xml version="1.0" encoding="utf-8"?>
<sst xmlns="http://schemas.openxmlformats.org/spreadsheetml/2006/main" count="3855" uniqueCount="794">
  <si>
    <t>序号</t>
  </si>
  <si>
    <t>朝阳区</t>
  </si>
  <si>
    <t>东湾家园</t>
  </si>
  <si>
    <t>首开畅颐园</t>
  </si>
  <si>
    <t>恒大江湾</t>
  </si>
  <si>
    <t>首城东郡汇</t>
  </si>
  <si>
    <t>东泽园</t>
    <phoneticPr fontId="6" type="noConversion"/>
  </si>
  <si>
    <t>华纺星海家园</t>
    <phoneticPr fontId="6" type="noConversion"/>
  </si>
  <si>
    <t>项目名</t>
    <phoneticPr fontId="6"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</si>
  <si>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</si>
  <si>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</si>
  <si>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</si>
  <si>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</si>
  <si>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</si>
  <si>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</si>
  <si>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</si>
  <si>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</si>
  <si>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</si>
  <si>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</si>
  <si>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</si>
  <si>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</si>
  <si>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</si>
  <si>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</si>
  <si>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</si>
  <si>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</si>
  <si>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</si>
  <si>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</si>
  <si>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</si>
  <si>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</si>
  <si>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</si>
  <si>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</si>
  <si>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</si>
  <si>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</si>
  <si>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</si>
  <si>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6"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</si>
  <si>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</si>
  <si>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</si>
  <si>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</si>
  <si>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</si>
  <si>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</si>
  <si>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2" type="noConversion"/>
  </si>
  <si>
    <t>户型</t>
  </si>
  <si>
    <t>朝向</t>
    <phoneticPr fontId="12" type="noConversion"/>
  </si>
  <si>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</si>
  <si>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</si>
  <si>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</si>
  <si>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2"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</si>
  <si>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</si>
  <si>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</si>
  <si>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</si>
  <si>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</si>
  <si>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</si>
  <si>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</si>
  <si>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</si>
  <si>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</si>
  <si>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</si>
  <si>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</si>
  <si>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</si>
  <si>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</si>
  <si>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</si>
  <si>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</si>
  <si>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</si>
  <si>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</si>
  <si>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</si>
  <si>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</si>
  <si>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</si>
  <si>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</si>
  <si>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</si>
  <si>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</si>
  <si>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</si>
  <si>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</si>
  <si>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</si>
  <si>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6" type="noConversion"/>
  </si>
  <si>
    <t>租金单价（元/平方米·月）</t>
    <phoneticPr fontId="6" type="noConversion"/>
  </si>
  <si>
    <t>月份</t>
    <phoneticPr fontId="6" type="noConversion"/>
  </si>
  <si>
    <t>季度</t>
    <phoneticPr fontId="6" type="noConversion"/>
  </si>
  <si>
    <t>均价</t>
    <phoneticPr fontId="6" type="noConversion"/>
  </si>
  <si>
    <t>-</t>
    <phoneticPr fontId="6" type="noConversion"/>
  </si>
  <si>
    <t>行业主管部门监测数据</t>
    <phoneticPr fontId="6" type="noConversion"/>
  </si>
  <si>
    <t>估价机构市场调查数据</t>
    <phoneticPr fontId="6" type="noConversion"/>
  </si>
  <si>
    <t>案例汇总</t>
    <phoneticPr fontId="6" type="noConversion"/>
  </si>
  <si>
    <t>城研</t>
    <phoneticPr fontId="6" type="noConversion"/>
  </si>
  <si>
    <t>中指</t>
    <phoneticPr fontId="6" type="noConversion"/>
  </si>
  <si>
    <t>市场</t>
    <phoneticPr fontId="6" type="noConversion"/>
  </si>
  <si>
    <t>均价</t>
    <phoneticPr fontId="6" type="noConversion"/>
  </si>
  <si>
    <t>建筑类型</t>
    <phoneticPr fontId="6" type="noConversion"/>
  </si>
  <si>
    <t>物业费</t>
    <phoneticPr fontId="6" type="noConversion"/>
  </si>
  <si>
    <t>供暖费</t>
    <phoneticPr fontId="6" type="noConversion"/>
  </si>
  <si>
    <t>不含物业、供暖租金</t>
    <phoneticPr fontId="6" type="noConversion"/>
  </si>
  <si>
    <r>
      <t>绿化率约为3</t>
    </r>
    <r>
      <rPr>
        <sz val="10"/>
        <rFont val="Arial"/>
        <family val="2"/>
      </rPr>
      <t>0%</t>
    </r>
    <r>
      <rPr>
        <sz val="10"/>
        <rFont val="仿宋_GB2312"/>
        <family val="3"/>
        <charset val="134"/>
      </rPr>
      <t>，较好</t>
    </r>
    <phoneticPr fontId="6" type="noConversion"/>
  </si>
  <si>
    <r>
      <t>绿化率约为</t>
    </r>
    <r>
      <rPr>
        <sz val="10"/>
        <rFont val="Arial"/>
        <family val="2"/>
      </rPr>
      <t>30%</t>
    </r>
    <r>
      <rPr>
        <sz val="10"/>
        <rFont val="仿宋_GB2312"/>
        <family val="3"/>
        <charset val="134"/>
      </rPr>
      <t>，较好</t>
    </r>
    <phoneticPr fontId="6" type="noConversion"/>
  </si>
  <si>
    <t>电梯数量</t>
    <phoneticPr fontId="6"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</si>
  <si>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</si>
  <si>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</si>
  <si>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</si>
  <si>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</si>
  <si>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</si>
  <si>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</si>
  <si>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</si>
  <si>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</si>
  <si>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</si>
  <si>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</si>
  <si>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</si>
  <si>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</si>
  <si>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</si>
  <si>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</si>
  <si>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</si>
  <si>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</si>
  <si>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</si>
  <si>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</si>
  <si>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</si>
  <si>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</si>
  <si>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</si>
  <si>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</si>
  <si>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</si>
  <si>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</si>
  <si>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</si>
  <si>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</si>
  <si>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</si>
  <si>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</si>
  <si>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6" type="noConversion"/>
  </si>
  <si>
    <t>区域内银行、超市、中小学校、餐饮、医院等公共配套设施较齐全</t>
    <phoneticPr fontId="6" type="noConversion"/>
  </si>
  <si>
    <t>有专业物业公司，物业服务保障好</t>
    <phoneticPr fontId="6" type="noConversion"/>
  </si>
  <si>
    <t>不配备家具家电，差</t>
    <phoneticPr fontId="12" type="noConversion"/>
  </si>
  <si>
    <t>使用品牌家具、家电；虽然使用较长时间，但功能正常，一般</t>
    <phoneticPr fontId="6" type="noConversion"/>
  </si>
  <si>
    <t>建筑面积</t>
    <phoneticPr fontId="6" type="noConversion"/>
  </si>
  <si>
    <t>项目</t>
  </si>
  <si>
    <t>测算值</t>
  </si>
  <si>
    <t>说明</t>
  </si>
  <si>
    <t>序号</t>
    <phoneticPr fontId="16" type="noConversion"/>
  </si>
  <si>
    <t>项目名称</t>
    <phoneticPr fontId="16" type="noConversion"/>
  </si>
  <si>
    <t>建成年代</t>
    <phoneticPr fontId="1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</si>
  <si>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</si>
  <si>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t>折旧及摊销成本（万元）</t>
    <phoneticPr fontId="6" type="noConversion"/>
  </si>
  <si>
    <t>运营费用（万元）</t>
    <phoneticPr fontId="6" type="noConversion"/>
  </si>
  <si>
    <t>维修费（万元）</t>
    <phoneticPr fontId="6" type="noConversion"/>
  </si>
  <si>
    <t>保险费（万元）</t>
    <phoneticPr fontId="6" type="noConversion"/>
  </si>
  <si>
    <t>物业费（万元）</t>
    <phoneticPr fontId="6" type="noConversion"/>
  </si>
  <si>
    <t>管理成本（万元）</t>
    <phoneticPr fontId="6" type="noConversion"/>
  </si>
  <si>
    <t>管理费（万元）</t>
    <phoneticPr fontId="6" type="noConversion"/>
  </si>
  <si>
    <t>利息（万元）</t>
    <phoneticPr fontId="6" type="noConversion"/>
  </si>
  <si>
    <t>利润（万元）</t>
    <phoneticPr fontId="6" type="noConversion"/>
  </si>
  <si>
    <t>年成本收益（万元）</t>
    <phoneticPr fontId="6" type="noConversion"/>
  </si>
  <si>
    <t>项目信息表</t>
    <phoneticPr fontId="16" type="noConversion"/>
  </si>
  <si>
    <t>项目信息表</t>
    <phoneticPr fontId="6" type="noConversion"/>
  </si>
  <si>
    <t>基数为折旧摊销成本、没有其他费用和利息</t>
    <phoneticPr fontId="6" type="noConversion"/>
  </si>
  <si>
    <t>确认实际是否存在贷款，无贷不计息</t>
    <phoneticPr fontId="6" type="noConversion"/>
  </si>
  <si>
    <t>估价时点</t>
    <phoneticPr fontId="6" type="noConversion"/>
  </si>
  <si>
    <t>成新度</t>
    <phoneticPr fontId="6"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</si>
  <si>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</si>
  <si>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</si>
  <si>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</si>
  <si>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</si>
  <si>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</si>
  <si>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</si>
  <si>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</si>
  <si>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</si>
  <si>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</si>
  <si>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</si>
  <si>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</si>
  <si>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</si>
  <si>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</si>
  <si>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</si>
  <si>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</si>
  <si>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</si>
  <si>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</si>
  <si>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</si>
  <si>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</si>
  <si>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</si>
  <si>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</si>
  <si>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</si>
  <si>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</si>
  <si>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</si>
  <si>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</si>
  <si>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</si>
  <si>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</si>
  <si>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</si>
  <si>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</si>
  <si>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</si>
  <si>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</si>
  <si>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</si>
  <si>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</si>
  <si>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</si>
  <si>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</si>
  <si>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</si>
  <si>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</si>
  <si>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</si>
  <si>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</si>
  <si>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</si>
  <si>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</si>
  <si>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</si>
  <si>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</si>
  <si>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</si>
  <si>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</si>
  <si>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</si>
  <si>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</si>
  <si>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</si>
  <si>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</si>
  <si>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</si>
  <si>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</si>
  <si>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</si>
  <si>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</si>
  <si>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</si>
  <si>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</si>
  <si>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</si>
  <si>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</si>
  <si>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</si>
  <si>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</si>
  <si>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</si>
  <si>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</si>
  <si>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</si>
  <si>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</si>
  <si>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</si>
  <si>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</si>
  <si>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</si>
  <si>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</si>
  <si>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</si>
  <si>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</si>
  <si>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</si>
  <si>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</si>
  <si>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</si>
  <si>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</si>
  <si>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</si>
  <si>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</si>
  <si>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</si>
  <si>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</si>
  <si>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</si>
  <si>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</si>
  <si>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</si>
  <si>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</si>
  <si>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</si>
  <si>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</si>
  <si>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</si>
  <si>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</si>
  <si>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</si>
  <si>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</si>
  <si>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</si>
  <si>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</si>
  <si>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</si>
  <si>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</si>
  <si>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</si>
  <si>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</si>
  <si>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</si>
  <si>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</si>
  <si>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</si>
  <si>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</si>
  <si>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</si>
  <si>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</si>
  <si>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</si>
  <si>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</si>
  <si>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</si>
  <si>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</si>
  <si>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</si>
  <si>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</si>
  <si>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</si>
  <si>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</si>
  <si>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</si>
  <si>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</si>
  <si>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</si>
  <si>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</si>
  <si>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</si>
  <si>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</si>
  <si>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</si>
  <si>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</si>
  <si>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</si>
  <si>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</si>
  <si>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</si>
  <si>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</si>
  <si>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</si>
  <si>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</si>
  <si>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</si>
  <si>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</si>
  <si>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</si>
  <si>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</si>
  <si>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</si>
  <si>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</si>
  <si>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</si>
  <si>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</si>
  <si>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</si>
  <si>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</si>
  <si>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</si>
  <si>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</si>
  <si>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</si>
  <si>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</si>
  <si>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</si>
  <si>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</si>
  <si>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</si>
  <si>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</si>
  <si>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</si>
  <si>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</si>
  <si>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</si>
  <si>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</si>
  <si>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</si>
  <si>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</si>
  <si>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</si>
  <si>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</si>
  <si>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</si>
  <si>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</si>
  <si>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</si>
  <si>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</si>
  <si>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</si>
  <si>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</si>
  <si>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</si>
  <si>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</si>
  <si>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</si>
  <si>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</si>
  <si>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</si>
  <si>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</si>
  <si>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</si>
  <si>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</si>
  <si>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</si>
  <si>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</si>
  <si>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</si>
  <si>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</si>
  <si>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</si>
  <si>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</si>
  <si>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</si>
  <si>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</si>
  <si>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</si>
  <si>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</si>
  <si>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</si>
  <si>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</si>
  <si>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</si>
  <si>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</si>
  <si>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</si>
  <si>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</si>
  <si>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</si>
  <si>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</si>
  <si>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</si>
  <si>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</si>
  <si>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</si>
  <si>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</si>
  <si>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</si>
  <si>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</si>
  <si>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</si>
  <si>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</si>
  <si>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</si>
  <si>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</si>
  <si>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</si>
  <si>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</si>
  <si>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</si>
  <si>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</si>
  <si>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</si>
  <si>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</si>
  <si>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</si>
  <si>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</si>
  <si>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</si>
  <si>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</si>
  <si>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</si>
  <si>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</si>
  <si>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</si>
  <si>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</si>
  <si>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</si>
  <si>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</si>
  <si>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</si>
  <si>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</si>
  <si>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</si>
  <si>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</si>
  <si>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</si>
  <si>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</si>
  <si>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</si>
  <si>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</si>
  <si>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</si>
  <si>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</si>
  <si>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</si>
  <si>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</si>
  <si>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</si>
  <si>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</si>
  <si>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</si>
  <si>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</si>
  <si>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</si>
  <si>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</si>
  <si>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</si>
  <si>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</si>
  <si>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</si>
  <si>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</si>
  <si>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</si>
  <si>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</si>
  <si>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</si>
  <si>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</si>
  <si>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</si>
  <si>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</si>
  <si>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</si>
  <si>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</si>
  <si>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</si>
  <si>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</si>
  <si>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</si>
  <si>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</si>
  <si>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</si>
  <si>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</si>
  <si>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</si>
  <si>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</si>
  <si>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</si>
  <si>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</si>
  <si>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</si>
  <si>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</si>
  <si>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</si>
  <si>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</si>
  <si>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</si>
  <si>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</si>
  <si>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</si>
  <si>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</si>
  <si>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</si>
  <si>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</si>
  <si>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</si>
  <si>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</si>
  <si>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</si>
  <si>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</si>
  <si>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</si>
  <si>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</si>
  <si>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</si>
  <si>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</si>
  <si>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</si>
  <si>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</si>
  <si>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</si>
  <si>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</si>
  <si>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</si>
  <si>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</si>
  <si>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</si>
  <si>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</si>
  <si>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</si>
  <si>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</si>
  <si>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</si>
  <si>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</si>
  <si>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</si>
  <si>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</si>
  <si>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</si>
  <si>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</si>
  <si>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</si>
  <si>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</si>
  <si>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</si>
  <si>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</si>
  <si>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</si>
  <si>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</si>
  <si>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</si>
  <si>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</si>
  <si>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</si>
  <si>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</si>
  <si>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</si>
  <si>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</si>
  <si>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</si>
  <si>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</si>
  <si>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</si>
  <si>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</si>
  <si>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</si>
  <si>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</si>
  <si>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</si>
  <si>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</si>
  <si>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</si>
  <si>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</si>
  <si>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</si>
  <si>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</si>
  <si>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</si>
  <si>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</si>
  <si>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</si>
  <si>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</si>
  <si>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</si>
  <si>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</si>
  <si>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</si>
  <si>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</si>
  <si>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</si>
  <si>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</si>
  <si>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</si>
  <si>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</si>
  <si>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</si>
  <si>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</si>
  <si>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</si>
  <si>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</si>
  <si>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</si>
  <si>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</si>
  <si>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</si>
  <si>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</si>
  <si>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</si>
  <si>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</si>
  <si>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</si>
  <si>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</si>
  <si>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</si>
  <si>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</si>
  <si>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</si>
  <si>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</si>
  <si>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</si>
  <si>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</si>
  <si>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</si>
  <si>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6" type="noConversion"/>
  </si>
  <si>
    <r>
      <rPr>
        <sz val="12"/>
        <color theme="1"/>
        <rFont val="华文细黑"/>
        <family val="3"/>
        <charset val="134"/>
      </rPr>
      <t>建筑面积</t>
    </r>
    <phoneticPr fontId="16" type="noConversion"/>
  </si>
  <si>
    <r>
      <rPr>
        <sz val="12"/>
        <color theme="1"/>
        <rFont val="华文细黑"/>
        <family val="3"/>
        <charset val="134"/>
      </rPr>
      <t>建成年代</t>
    </r>
    <phoneticPr fontId="16" type="noConversion"/>
  </si>
  <si>
    <r>
      <rPr>
        <sz val="12"/>
        <color theme="1"/>
        <rFont val="华文细黑"/>
        <family val="3"/>
        <charset val="134"/>
      </rPr>
      <t>耐用年限</t>
    </r>
    <phoneticPr fontId="16" type="noConversion"/>
  </si>
  <si>
    <r>
      <rPr>
        <sz val="12"/>
        <color theme="1"/>
        <rFont val="华文细黑"/>
        <family val="3"/>
        <charset val="134"/>
      </rPr>
      <t>收购时间</t>
    </r>
    <phoneticPr fontId="16" type="noConversion"/>
  </si>
  <si>
    <r>
      <rPr>
        <sz val="12"/>
        <color theme="1"/>
        <rFont val="华文细黑"/>
        <family val="3"/>
        <charset val="134"/>
      </rPr>
      <t>折旧年限</t>
    </r>
    <phoneticPr fontId="16" type="noConversion"/>
  </si>
  <si>
    <r>
      <rPr>
        <sz val="12"/>
        <color theme="1"/>
        <rFont val="华文细黑"/>
        <family val="3"/>
        <charset val="134"/>
      </rPr>
      <t>折旧及摊销成本</t>
    </r>
    <phoneticPr fontId="16" type="noConversion"/>
  </si>
  <si>
    <r>
      <rPr>
        <sz val="12"/>
        <color theme="1"/>
        <rFont val="华文细黑"/>
        <family val="3"/>
        <charset val="134"/>
      </rPr>
      <t>物业费单价</t>
    </r>
    <phoneticPr fontId="16" type="noConversion"/>
  </si>
  <si>
    <t>使用年限</t>
    <phoneticPr fontId="6" type="noConversion"/>
  </si>
  <si>
    <t>楼号</t>
  </si>
  <si>
    <t>二居</t>
  </si>
  <si>
    <t>东北</t>
  </si>
  <si>
    <t>一居</t>
  </si>
  <si>
    <t>西</t>
  </si>
  <si>
    <t>物业费总价(万元）</t>
    <phoneticPr fontId="16" type="noConversion"/>
  </si>
  <si>
    <t>收购价（万元）</t>
    <phoneticPr fontId="16" type="noConversion"/>
  </si>
  <si>
    <r>
      <t>高/</t>
    </r>
    <r>
      <rPr>
        <sz val="11"/>
        <color rgb="FF000000"/>
        <rFont val="等线"/>
        <family val="3"/>
        <charset val="134"/>
      </rPr>
      <t>28</t>
    </r>
    <phoneticPr fontId="6" type="noConversion"/>
  </si>
  <si>
    <t>南</t>
    <phoneticPr fontId="6" type="noConversion"/>
  </si>
  <si>
    <t>低 /11</t>
    <phoneticPr fontId="6" type="noConversion"/>
  </si>
  <si>
    <t>中/28</t>
    <phoneticPr fontId="6" type="noConversion"/>
  </si>
  <si>
    <t>中/11</t>
    <phoneticPr fontId="6" type="noConversion"/>
  </si>
  <si>
    <t>东南</t>
    <phoneticPr fontId="6" type="noConversion"/>
  </si>
  <si>
    <t>中/18</t>
    <phoneticPr fontId="6" type="noConversion"/>
  </si>
  <si>
    <t>低/28</t>
    <phoneticPr fontId="6" type="noConversion"/>
  </si>
  <si>
    <t>西</t>
    <phoneticPr fontId="6" type="noConversion"/>
  </si>
  <si>
    <t>高/28</t>
    <phoneticPr fontId="6" type="noConversion"/>
  </si>
  <si>
    <t>东</t>
    <phoneticPr fontId="6" type="noConversion"/>
  </si>
  <si>
    <t>低/11</t>
    <phoneticPr fontId="6" type="noConversion"/>
  </si>
  <si>
    <t>南北</t>
    <phoneticPr fontId="6" type="noConversion"/>
  </si>
  <si>
    <t>高/6</t>
    <phoneticPr fontId="6" type="noConversion"/>
  </si>
  <si>
    <t>中/6</t>
    <phoneticPr fontId="6" type="noConversion"/>
  </si>
  <si>
    <t>东北</t>
    <phoneticPr fontId="6" type="noConversion"/>
  </si>
  <si>
    <t>低/6</t>
    <phoneticPr fontId="6" type="noConversion"/>
  </si>
  <si>
    <r>
      <t>中/</t>
    </r>
    <r>
      <rPr>
        <sz val="11"/>
        <color rgb="FF000000"/>
        <rFont val="等线"/>
        <family val="3"/>
        <charset val="134"/>
      </rPr>
      <t>9</t>
    </r>
    <phoneticPr fontId="6" type="noConversion"/>
  </si>
  <si>
    <t>中/9</t>
    <phoneticPr fontId="6" type="noConversion"/>
  </si>
  <si>
    <r>
      <t>低/</t>
    </r>
    <r>
      <rPr>
        <sz val="11"/>
        <color rgb="FF000000"/>
        <rFont val="等线"/>
        <family val="3"/>
        <charset val="134"/>
      </rPr>
      <t>9</t>
    </r>
    <phoneticPr fontId="6" type="noConversion"/>
  </si>
  <si>
    <t>低/9</t>
    <phoneticPr fontId="6" type="noConversion"/>
  </si>
  <si>
    <t>北</t>
    <phoneticPr fontId="6" type="noConversion"/>
  </si>
  <si>
    <t>金泰丽富嘉园</t>
    <phoneticPr fontId="6" type="noConversion"/>
  </si>
  <si>
    <r>
      <t>中/</t>
    </r>
    <r>
      <rPr>
        <sz val="11"/>
        <color rgb="FF000000"/>
        <rFont val="等线"/>
        <family val="3"/>
        <charset val="134"/>
      </rPr>
      <t>16</t>
    </r>
    <phoneticPr fontId="6" type="noConversion"/>
  </si>
  <si>
    <t>中/19</t>
    <phoneticPr fontId="6" type="noConversion"/>
  </si>
  <si>
    <t>高/16</t>
    <phoneticPr fontId="6" type="noConversion"/>
  </si>
  <si>
    <t>低/16</t>
    <phoneticPr fontId="6" type="noConversion"/>
  </si>
  <si>
    <t>西南</t>
    <phoneticPr fontId="6" type="noConversion"/>
  </si>
  <si>
    <t>中/13</t>
    <phoneticPr fontId="6" type="noConversion"/>
  </si>
  <si>
    <t>高/15</t>
    <phoneticPr fontId="6" type="noConversion"/>
  </si>
  <si>
    <t>高/18</t>
    <phoneticPr fontId="6" type="noConversion"/>
  </si>
  <si>
    <t>低/19</t>
    <phoneticPr fontId="6" type="noConversion"/>
  </si>
  <si>
    <t>中/16</t>
    <phoneticPr fontId="6" type="noConversion"/>
  </si>
  <si>
    <t>高/13</t>
    <phoneticPr fontId="6" type="noConversion"/>
  </si>
  <si>
    <t>高/19</t>
    <phoneticPr fontId="6" type="noConversion"/>
  </si>
  <si>
    <t>中/15</t>
    <phoneticPr fontId="6" type="noConversion"/>
  </si>
  <si>
    <t>中/17</t>
    <phoneticPr fontId="6" type="noConversion"/>
  </si>
  <si>
    <r>
      <t>高/</t>
    </r>
    <r>
      <rPr>
        <sz val="11"/>
        <color rgb="FF000000"/>
        <rFont val="等线"/>
        <family val="3"/>
        <charset val="134"/>
      </rPr>
      <t>12</t>
    </r>
    <phoneticPr fontId="6" type="noConversion"/>
  </si>
  <si>
    <t>高/9</t>
    <phoneticPr fontId="6" type="noConversion"/>
  </si>
  <si>
    <t>中/12</t>
    <phoneticPr fontId="6" type="noConversion"/>
  </si>
  <si>
    <r>
      <t>低/</t>
    </r>
    <r>
      <rPr>
        <sz val="11"/>
        <color rgb="FF000000"/>
        <rFont val="等线"/>
        <family val="3"/>
        <charset val="134"/>
      </rPr>
      <t>12</t>
    </r>
    <phoneticPr fontId="6" type="noConversion"/>
  </si>
  <si>
    <r>
      <t>中/</t>
    </r>
    <r>
      <rPr>
        <sz val="11"/>
        <color rgb="FF000000"/>
        <rFont val="等线"/>
        <family val="3"/>
        <charset val="134"/>
      </rPr>
      <t>7</t>
    </r>
    <phoneticPr fontId="6" type="noConversion"/>
  </si>
  <si>
    <t>中/14</t>
    <phoneticPr fontId="6" type="noConversion"/>
  </si>
  <si>
    <t>低/18</t>
    <phoneticPr fontId="6" type="noConversion"/>
  </si>
  <si>
    <t>高/12</t>
    <phoneticPr fontId="6" type="noConversion"/>
  </si>
  <si>
    <t>西北</t>
    <phoneticPr fontId="6" type="noConversion"/>
  </si>
  <si>
    <t>中/10</t>
    <phoneticPr fontId="6" type="noConversion"/>
  </si>
  <si>
    <t>低/12</t>
    <phoneticPr fontId="6" type="noConversion"/>
  </si>
  <si>
    <t>2023.6</t>
    <phoneticPr fontId="6" type="noConversion"/>
  </si>
  <si>
    <r>
      <t>2</t>
    </r>
    <r>
      <rPr>
        <sz val="11"/>
        <color rgb="FF000000"/>
        <rFont val="等线"/>
        <family val="3"/>
        <charset val="134"/>
      </rPr>
      <t>023.7</t>
    </r>
    <phoneticPr fontId="6" type="noConversion"/>
  </si>
  <si>
    <r>
      <t>2</t>
    </r>
    <r>
      <rPr>
        <sz val="11"/>
        <color rgb="FF000000"/>
        <rFont val="等线"/>
        <family val="3"/>
        <charset val="134"/>
      </rPr>
      <t>023.8</t>
    </r>
    <phoneticPr fontId="6" type="noConversion"/>
  </si>
  <si>
    <r>
      <t>2</t>
    </r>
    <r>
      <rPr>
        <sz val="11"/>
        <color rgb="FF000000"/>
        <rFont val="等线"/>
        <family val="3"/>
        <charset val="134"/>
      </rPr>
      <t>023.9</t>
    </r>
    <phoneticPr fontId="6" type="noConversion"/>
  </si>
  <si>
    <t>2023.10</t>
    <phoneticPr fontId="6" type="noConversion"/>
  </si>
  <si>
    <r>
      <t>2</t>
    </r>
    <r>
      <rPr>
        <sz val="11"/>
        <color rgb="FF000000"/>
        <rFont val="等线"/>
        <family val="3"/>
        <charset val="134"/>
      </rPr>
      <t>023.11</t>
    </r>
    <phoneticPr fontId="6" type="noConversion"/>
  </si>
  <si>
    <r>
      <t>2</t>
    </r>
    <r>
      <rPr>
        <sz val="11"/>
        <color rgb="FF000000"/>
        <rFont val="等线"/>
        <family val="3"/>
        <charset val="134"/>
      </rPr>
      <t>023.12</t>
    </r>
    <phoneticPr fontId="6" type="noConversion"/>
  </si>
  <si>
    <r>
      <t>2</t>
    </r>
    <r>
      <rPr>
        <sz val="11"/>
        <color rgb="FF000000"/>
        <rFont val="等线"/>
        <family val="3"/>
        <charset val="134"/>
      </rPr>
      <t>024.1</t>
    </r>
    <phoneticPr fontId="6" type="noConversion"/>
  </si>
  <si>
    <r>
      <t>2</t>
    </r>
    <r>
      <rPr>
        <sz val="11"/>
        <color rgb="FF000000"/>
        <rFont val="等线"/>
        <family val="3"/>
        <charset val="134"/>
      </rPr>
      <t>024.2</t>
    </r>
    <phoneticPr fontId="6" type="noConversion"/>
  </si>
  <si>
    <t>2024.3</t>
    <phoneticPr fontId="6" type="noConversion"/>
  </si>
  <si>
    <t>2024.4</t>
    <phoneticPr fontId="6" type="noConversion"/>
  </si>
  <si>
    <t>2024.5</t>
    <phoneticPr fontId="6" type="noConversion"/>
  </si>
  <si>
    <t>2023年四季度</t>
    <phoneticPr fontId="6" type="noConversion"/>
  </si>
  <si>
    <t>2024年一季度</t>
    <phoneticPr fontId="6" type="noConversion"/>
  </si>
  <si>
    <t>2024年二季度</t>
    <phoneticPr fontId="6" type="noConversion"/>
  </si>
  <si>
    <t>估价机构机构监测数据</t>
    <phoneticPr fontId="6"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</si>
  <si>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</si>
  <si>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</si>
  <si>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</si>
  <si>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</si>
  <si>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6" type="noConversion"/>
  </si>
  <si>
    <t>估价机构市场调查</t>
    <phoneticPr fontId="6" type="noConversion"/>
  </si>
  <si>
    <t>行业主管部门（北京市房地产市场管理事务中心）监测数据</t>
    <phoneticPr fontId="6"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</si>
  <si>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</si>
  <si>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</si>
  <si>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 type="noConversion"/>
  </si>
  <si>
    <t>税费</t>
    <phoneticPr fontId="6" type="noConversion"/>
  </si>
  <si>
    <t>不含物业、供暖、税费</t>
    <phoneticPr fontId="6" type="noConversion"/>
  </si>
  <si>
    <t>共997套，其中一居90套，二居626套，三居281套</t>
  </si>
  <si>
    <t>朝向好（南北），能保证较长时间的采光，通风较好，好</t>
    <phoneticPr fontId="6" type="noConversion"/>
  </si>
  <si>
    <t>众美光合原筑</t>
    <phoneticPr fontId="16" type="noConversion"/>
  </si>
  <si>
    <t>众美光合原筑</t>
    <phoneticPr fontId="6"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</si>
  <si>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2" type="noConversion"/>
  </si>
  <si>
    <t>周边有小龙河水系、念坛公园等自然人文景观，自然环境较好。</t>
    <phoneticPr fontId="12" type="noConversion"/>
  </si>
  <si>
    <t>位于林校街道，周边有七鲜超市、中贡华联超市等社区配套商业，评价商业设施一般。</t>
    <phoneticPr fontId="6" type="noConversion"/>
  </si>
  <si>
    <t>朝向一般（东西），能保证较长时间的采光，通风较好，较好</t>
    <phoneticPr fontId="6" type="noConversion"/>
  </si>
  <si>
    <t>多层板楼</t>
    <phoneticPr fontId="6" type="noConversion"/>
  </si>
  <si>
    <t>1梯4户</t>
    <phoneticPr fontId="6" type="noConversion"/>
  </si>
  <si>
    <t>大兴区众美光合原筑公租房项目-房间明细</t>
    <phoneticPr fontId="16" type="noConversion"/>
  </si>
  <si>
    <t>单元号</t>
  </si>
  <si>
    <t>房间号</t>
    <phoneticPr fontId="16" type="noConversion"/>
  </si>
  <si>
    <t>建筑面积
（㎡）</t>
  </si>
  <si>
    <t>房号</t>
    <phoneticPr fontId="16" type="noConversion"/>
  </si>
  <si>
    <t>户型</t>
    <phoneticPr fontId="16" type="noConversion"/>
  </si>
  <si>
    <t>朝向</t>
    <phoneticPr fontId="16" type="noConversion"/>
  </si>
  <si>
    <t>数量</t>
    <phoneticPr fontId="16" type="noConversion"/>
  </si>
  <si>
    <t>众美·光合原筑4号楼</t>
    <phoneticPr fontId="16" type="noConversion"/>
  </si>
  <si>
    <t>4-1-201</t>
  </si>
  <si>
    <t>二居</t>
    <phoneticPr fontId="16" type="noConversion"/>
  </si>
  <si>
    <t>东西</t>
    <phoneticPr fontId="16" type="noConversion"/>
  </si>
  <si>
    <t>众美·光合原筑4号楼</t>
  </si>
  <si>
    <t>4-1-202</t>
  </si>
  <si>
    <t>东北</t>
    <phoneticPr fontId="16" type="noConversion"/>
  </si>
  <si>
    <t>4-1-203</t>
  </si>
  <si>
    <t>东南</t>
    <phoneticPr fontId="16" type="noConversion"/>
  </si>
  <si>
    <t>4-1-204</t>
  </si>
  <si>
    <t>行标签</t>
  </si>
  <si>
    <t>求和项:数量</t>
  </si>
  <si>
    <t>4-1-301</t>
  </si>
  <si>
    <t>两居</t>
    <phoneticPr fontId="16" type="noConversion"/>
  </si>
  <si>
    <t>58.35-64.03</t>
    <phoneticPr fontId="16" type="noConversion"/>
  </si>
  <si>
    <t>4-1-302</t>
  </si>
  <si>
    <t>一居</t>
    <phoneticPr fontId="16" type="noConversion"/>
  </si>
  <si>
    <t>34.09-45.44</t>
    <phoneticPr fontId="16" type="noConversion"/>
  </si>
  <si>
    <t>4-1-303</t>
  </si>
  <si>
    <t>东南</t>
  </si>
  <si>
    <t>4-1-304</t>
  </si>
  <si>
    <t>东西</t>
  </si>
  <si>
    <t>南北</t>
  </si>
  <si>
    <t>4-1-402</t>
  </si>
  <si>
    <t>南北东</t>
  </si>
  <si>
    <t>4-1-403</t>
  </si>
  <si>
    <t>4-1-404</t>
  </si>
  <si>
    <t>3-1-308</t>
  </si>
  <si>
    <t>南北</t>
    <phoneticPr fontId="16" type="noConversion"/>
  </si>
  <si>
    <t>4-1-501</t>
  </si>
  <si>
    <t>3-1-408</t>
  </si>
  <si>
    <t>南北东</t>
    <phoneticPr fontId="16" type="noConversion"/>
  </si>
  <si>
    <t>4-1-502</t>
  </si>
  <si>
    <t>3-1-508</t>
  </si>
  <si>
    <t>南北西</t>
    <phoneticPr fontId="16" type="noConversion"/>
  </si>
  <si>
    <t>4-1-503</t>
  </si>
  <si>
    <t>3-1-601</t>
  </si>
  <si>
    <t>西</t>
    <phoneticPr fontId="16"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</si>
  <si>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</si>
  <si>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</si>
  <si>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</si>
  <si>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</si>
  <si>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</si>
  <si>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</si>
  <si>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</si>
  <si>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</si>
  <si>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</si>
  <si>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</si>
  <si>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</si>
  <si>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</si>
  <si>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</si>
  <si>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</si>
  <si>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</si>
  <si>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</si>
  <si>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</si>
  <si>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</si>
  <si>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</si>
  <si>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</si>
  <si>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</si>
  <si>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</si>
  <si>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</si>
  <si>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</si>
  <si>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</si>
  <si>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</si>
  <si>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</si>
  <si>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</si>
  <si>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</si>
  <si>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</si>
  <si>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</si>
  <si>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</si>
  <si>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6"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</si>
  <si>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</si>
  <si>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</si>
  <si>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</si>
  <si>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</si>
  <si>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</si>
  <si>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</si>
  <si>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</si>
  <si>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</si>
  <si>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</si>
  <si>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</si>
  <si>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</si>
  <si>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</si>
  <si>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</si>
  <si>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</si>
  <si>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6" type="noConversion"/>
  </si>
  <si>
    <t>义和庄东里</t>
    <phoneticPr fontId="16" type="noConversion"/>
  </si>
  <si>
    <t>面积</t>
    <phoneticPr fontId="6" type="noConversion"/>
  </si>
  <si>
    <t>租金</t>
    <phoneticPr fontId="6" type="noConversion"/>
  </si>
  <si>
    <t>日期</t>
    <phoneticPr fontId="6" type="noConversion"/>
  </si>
  <si>
    <r>
      <t>周边有义和庄东里、车站南里、义和庄北里、锦华园等居住小区，居住小区规模较大，入住率较高，综合评价居住社区成熟度较好</t>
    </r>
    <r>
      <rPr>
        <sz val="9"/>
        <rFont val="宋体"/>
        <family val="3"/>
        <charset val="134"/>
      </rPr>
      <t>。</t>
    </r>
    <phoneticPr fontId="6" type="noConversion"/>
  </si>
  <si>
    <r>
      <t>周边有义和庄东里、车站南里、锦华园等居住小区，居住小区规模较大，入住率较高，综合评价居住社区成熟度较好</t>
    </r>
    <r>
      <rPr>
        <sz val="9"/>
        <rFont val="宋体"/>
        <family val="3"/>
        <charset val="134"/>
      </rPr>
      <t>。</t>
    </r>
    <phoneticPr fontId="6" type="noConversion"/>
  </si>
  <si>
    <r>
      <t>周边有义和庄东里、车站南里、义和庄北里等居住小区，居住小区规模较大，入住率较高，综合评价居住社区成熟度较好</t>
    </r>
    <r>
      <rPr>
        <sz val="9"/>
        <rFont val="宋体"/>
        <family val="3"/>
        <charset val="134"/>
      </rPr>
      <t>。</t>
    </r>
    <phoneticPr fontId="6" type="noConversion"/>
  </si>
  <si>
    <r>
      <t>周边有车站南里、义和庄北里、锦华园等居住小区，居住小区规模较大，入住率较高，综合评价居住社区成熟度较好</t>
    </r>
    <r>
      <rPr>
        <sz val="9"/>
        <rFont val="宋体"/>
        <family val="3"/>
        <charset val="134"/>
      </rPr>
      <t>。</t>
    </r>
    <phoneticPr fontId="6"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</si>
  <si>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2"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</si>
  <si>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2" type="noConversion"/>
  </si>
  <si>
    <t>2024.10</t>
    <phoneticPr fontId="6" type="noConversion"/>
  </si>
  <si>
    <t>2024年四季度</t>
    <phoneticPr fontId="6" type="noConversion"/>
  </si>
  <si>
    <t>2024年三季度</t>
    <phoneticPr fontId="6" type="noConversion"/>
  </si>
  <si>
    <t>2024年二季度</t>
    <phoneticPr fontId="6" type="noConversion"/>
  </si>
  <si>
    <t>2024年一季度</t>
    <phoneticPr fontId="6" type="noConversion"/>
  </si>
  <si>
    <t>2023-11</t>
    <phoneticPr fontId="6" type="noConversion"/>
  </si>
  <si>
    <t>2023-12</t>
    <phoneticPr fontId="6" type="noConversion"/>
  </si>
  <si>
    <t>2024-1</t>
    <phoneticPr fontId="6" type="noConversion"/>
  </si>
  <si>
    <t>2024-2</t>
    <phoneticPr fontId="6" type="noConversion"/>
  </si>
  <si>
    <t>2024-3</t>
  </si>
  <si>
    <t>2024-4</t>
  </si>
  <si>
    <t>2024-5</t>
  </si>
  <si>
    <t>2024-6</t>
  </si>
  <si>
    <t>2024-7</t>
  </si>
  <si>
    <t>2024-8</t>
  </si>
  <si>
    <t>2024-9</t>
    <phoneticPr fontId="6" type="noConversion"/>
  </si>
  <si>
    <t>整理</t>
    <phoneticPr fontId="6" type="noConversion"/>
  </si>
  <si>
    <t>单价</t>
    <phoneticPr fontId="6" type="noConversion"/>
  </si>
  <si>
    <t>-</t>
    <phoneticPr fontId="6" type="noConversion"/>
  </si>
  <si>
    <t>案例数量</t>
    <phoneticPr fontId="6" type="noConversion"/>
  </si>
  <si>
    <t>义和庄北里</t>
    <phoneticPr fontId="6" type="noConversion"/>
  </si>
  <si>
    <t>锦华园</t>
    <phoneticPr fontId="6" type="noConversion"/>
  </si>
  <si>
    <t>85-95</t>
    <phoneticPr fontId="6" type="noConversion"/>
  </si>
  <si>
    <t>无电梯</t>
    <phoneticPr fontId="6" type="noConversion"/>
  </si>
  <si>
    <t>75-85</t>
    <phoneticPr fontId="6" type="noConversion"/>
  </si>
  <si>
    <t>55-65</t>
    <phoneticPr fontId="6" type="noConversion"/>
  </si>
  <si>
    <t>0-55</t>
    <phoneticPr fontId="6" type="noConversion"/>
  </si>
  <si>
    <t>65-75</t>
    <phoneticPr fontId="6" type="noConversion"/>
  </si>
  <si>
    <t>75-85</t>
    <phoneticPr fontId="6" type="noConversion"/>
  </si>
  <si>
    <t>95以上</t>
    <phoneticPr fontId="6" type="noConversion"/>
  </si>
  <si>
    <t>装修为普通装修，与居住功能相适应，较好</t>
    <phoneticPr fontId="6" type="noConversion"/>
  </si>
  <si>
    <t>物业费</t>
    <phoneticPr fontId="6"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</si>
  <si>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</si>
  <si>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</si>
  <si>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</si>
  <si>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</si>
  <si>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</si>
  <si>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</si>
  <si>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</si>
  <si>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</si>
  <si>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</si>
  <si>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</si>
  <si>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</si>
  <si>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</si>
  <si>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</si>
  <si>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</si>
  <si>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</si>
  <si>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</si>
  <si>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</si>
  <si>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</si>
  <si>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</si>
  <si>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</si>
  <si>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</si>
  <si>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</si>
  <si>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</si>
  <si>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</si>
  <si>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</si>
  <si>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</si>
  <si>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</si>
  <si>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</si>
  <si>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</si>
  <si>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</si>
  <si>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</si>
  <si>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</si>
  <si>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</si>
  <si>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</si>
  <si>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</si>
  <si>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6" type="noConversion"/>
  </si>
  <si>
    <t>项目住宅总建面</t>
    <phoneticPr fontId="6" type="noConversion"/>
  </si>
  <si>
    <t>公租房建面</t>
    <phoneticPr fontId="6" type="noConversion"/>
  </si>
  <si>
    <t>管理用房（207）建面</t>
    <phoneticPr fontId="6" type="noConversion"/>
  </si>
  <si>
    <t>成新度</t>
    <phoneticPr fontId="6" type="noConversion"/>
  </si>
  <si>
    <t>估价对象</t>
    <phoneticPr fontId="6" type="noConversion"/>
  </si>
  <si>
    <t>案例1</t>
    <phoneticPr fontId="6" type="noConversion"/>
  </si>
  <si>
    <t>案例2</t>
    <phoneticPr fontId="6" type="noConversion"/>
  </si>
  <si>
    <t>案例3</t>
    <phoneticPr fontId="6" type="noConversion"/>
  </si>
  <si>
    <t>直线</t>
    <phoneticPr fontId="6" type="noConversion"/>
  </si>
  <si>
    <t>观察</t>
    <phoneticPr fontId="6" type="noConversion"/>
  </si>
  <si>
    <t>面积修正</t>
    <phoneticPr fontId="6" type="noConversion"/>
  </si>
  <si>
    <t>成新度修正</t>
    <phoneticPr fontId="6" type="noConversion"/>
  </si>
  <si>
    <t>80%-90%</t>
    <phoneticPr fontId="6" type="noConversion"/>
  </si>
  <si>
    <t>70%-80%</t>
    <phoneticPr fontId="6" type="noConversion"/>
  </si>
  <si>
    <t>60%-70%</t>
    <phoneticPr fontId="6" type="noConversion"/>
  </si>
  <si>
    <t>60%以下</t>
    <phoneticPr fontId="6" type="noConversion"/>
  </si>
  <si>
    <t>90%-100%（含）</t>
    <phoneticPr fontId="6" type="noConversion"/>
  </si>
  <si>
    <t>估价结果</t>
    <phoneticPr fontId="6" type="noConversion"/>
  </si>
  <si>
    <t>2023/11至2024/10</t>
    <phoneticPr fontId="6" type="noConversion"/>
  </si>
  <si>
    <t>有普通物业公司，物业服务保障较好</t>
    <phoneticPr fontId="6" type="noConversion"/>
  </si>
  <si>
    <r>
      <t>2024</t>
    </r>
    <r>
      <rPr>
        <sz val="9"/>
        <color rgb="FF000000"/>
        <rFont val="华文细黑"/>
        <family val="3"/>
        <charset val="134"/>
      </rPr>
      <t>年</t>
    </r>
    <r>
      <rPr>
        <sz val="9"/>
        <color rgb="FF000000"/>
        <rFont val="Arial"/>
        <family val="2"/>
      </rPr>
      <t>3</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</si>
  <si>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</si>
  <si>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2023</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</si>
  <si>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</si>
  <si>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phoneticPr fontId="6" type="noConversion"/>
  </si>
  <si>
    <t>2=2.1+2.2+2.3</t>
    <phoneticPr fontId="6" type="noConversion"/>
  </si>
  <si>
    <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phoneticPr fontId="6" type="noConversion"/>
  </si>
  <si>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phoneticPr fontId="6" type="noConversion"/>
  </si>
  <si>
    <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phoneticPr fontId="6" type="noConversion"/>
  </si>
  <si>
    <t>3=3.1+3.2+3.3</t>
    <phoneticPr fontId="6" type="noConversion"/>
  </si>
  <si>
    <t>根据不动产权利人提供的《大兴区众美·光合原筑公租房项目情况说明》复印件（物业费、原值、保险费、利息、装修标准）及介绍，估价对象在价值时点无利息费用，本次利息不计取。</t>
    <phoneticPr fontId="6" type="noConversion"/>
  </si>
  <si>
    <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phoneticPr fontId="6" type="noConversion"/>
  </si>
  <si>
    <t>4=1+2+3</t>
    <phoneticPr fontId="6" type="noConversion"/>
  </si>
  <si>
    <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phoneticPr fontId="6" type="noConversion"/>
  </si>
  <si>
    <t>配备专业管理人员、小区保安、保洁人员，出租房屋住户均有备案，居住安全性好</t>
    <phoneticPr fontId="6" type="noConversion"/>
  </si>
  <si>
    <t>配备专业管理人员、小区保安、保洁人员，出租房屋住户备案较少，居住安全性一般</t>
    <phoneticPr fontId="6" type="noConversion"/>
  </si>
  <si>
    <t>配备专业管理人员、小区保安、保洁人员，出租房屋住户备案较少，居住安全性一般</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</si>
</sst>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00_ "/>
    <numFmt numFmtId="180" formatCode="0.0000"/>
  </numFmts>
  <fonts count="43" x14ac:knownFonts="1">
    <font>
      <sz val="11"/>
      <color rgb="FF000000"/>
      <name val="等线"/>
      <charset val="134"/>
    </font>
    <font>
      <sz val="11"/>
      <color theme="1"/>
      <name val="等线"/>
      <family val="2"/>
      <scheme val="minor"/>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7" fillId="0" borderId="0">
      <alignment vertical="center"/>
    </xf>
    <xf numFmtId="0" fontId="7" fillId="0" borderId="0">
      <alignment vertical="center"/>
    </xf>
    <xf numFmtId="0" fontId="7" fillId="0" borderId="0"/>
    <xf numFmtId="0" fontId="7" fillId="0" borderId="0">
      <alignment vertical="center"/>
    </xf>
    <xf numFmtId="9" fontId="24" fillId="0" borderId="0" applyFont="0" applyFill="0" applyBorder="0" applyAlignment="0" applyProtection="0">
      <alignment vertical="center"/>
    </xf>
    <xf numFmtId="0" fontId="3" fillId="0" borderId="0"/>
    <xf numFmtId="0" fontId="4" fillId="0" borderId="0"/>
    <xf numFmtId="9" fontId="3" fillId="0" borderId="0" applyFont="0" applyFill="0" applyBorder="0" applyAlignment="0" applyProtection="0">
      <alignment vertical="center"/>
    </xf>
  </cellStyleXfs>
  <cellXfs count="155">
    <xf numFmtId="0" fontId="0" fillId="0" borderId="0" xfId="0"/>
    <xf numFmtId="0" fontId="0" fillId="0" borderId="0" xfId="0" applyAlignment="1">
      <alignment horizontal="center" vertical="center"/>
    </xf>
    <xf numFmtId="0" fontId="7" fillId="0" borderId="0" xfId="1">
      <alignment vertical="center"/>
    </xf>
    <xf numFmtId="0" fontId="8" fillId="0" borderId="0" xfId="1" applyFont="1">
      <alignment vertical="center"/>
    </xf>
    <xf numFmtId="0" fontId="10" fillId="0" borderId="7" xfId="2" applyFont="1" applyBorder="1" applyAlignment="1">
      <alignment horizontal="center" vertical="center" wrapText="1"/>
    </xf>
    <xf numFmtId="0" fontId="10"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1" applyAlignment="1">
      <alignment horizontal="center" vertical="center"/>
    </xf>
    <xf numFmtId="0" fontId="9" fillId="2" borderId="2" xfId="2" applyFont="1" applyFill="1" applyBorder="1" applyAlignment="1">
      <alignment horizontal="center" vertical="center" wrapText="1"/>
    </xf>
    <xf numFmtId="0" fontId="10" fillId="0" borderId="4" xfId="2" applyFont="1" applyBorder="1" applyAlignment="1">
      <alignment horizontal="center" vertical="center" wrapText="1"/>
    </xf>
    <xf numFmtId="0" fontId="9" fillId="0" borderId="2" xfId="2" applyFont="1" applyBorder="1" applyAlignment="1">
      <alignment horizontal="center" vertical="center"/>
    </xf>
    <xf numFmtId="176" fontId="9" fillId="0" borderId="2" xfId="2" applyNumberFormat="1" applyFont="1" applyBorder="1" applyAlignment="1">
      <alignment horizontal="center" vertical="center" wrapText="1"/>
    </xf>
    <xf numFmtId="0" fontId="14" fillId="0" borderId="0" xfId="1" applyFont="1" applyAlignment="1">
      <alignment horizontal="center"/>
    </xf>
    <xf numFmtId="49" fontId="0" fillId="0" borderId="0" xfId="0" applyNumberFormat="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center" vertical="center"/>
    </xf>
    <xf numFmtId="177" fontId="7" fillId="0" borderId="0" xfId="1" applyNumberFormat="1">
      <alignment vertical="center"/>
    </xf>
    <xf numFmtId="0" fontId="17" fillId="4" borderId="2" xfId="3" applyFont="1" applyFill="1" applyBorder="1" applyAlignment="1">
      <alignment horizontal="center" vertical="center" wrapText="1"/>
    </xf>
    <xf numFmtId="0" fontId="18" fillId="0" borderId="0" xfId="1" applyFont="1">
      <alignment vertical="center"/>
    </xf>
    <xf numFmtId="0" fontId="17" fillId="0" borderId="0" xfId="3" applyFont="1" applyAlignment="1">
      <alignment horizontal="left" vertical="center" wrapText="1"/>
    </xf>
    <xf numFmtId="0" fontId="7" fillId="0" borderId="0" xfId="3"/>
    <xf numFmtId="14" fontId="17" fillId="4" borderId="2" xfId="3" applyNumberFormat="1" applyFont="1" applyFill="1" applyBorder="1" applyAlignment="1">
      <alignment horizontal="center" vertical="center" wrapText="1"/>
    </xf>
    <xf numFmtId="0" fontId="17" fillId="5" borderId="2" xfId="3" applyFont="1" applyFill="1" applyBorder="1" applyAlignment="1" applyProtection="1">
      <alignment horizontal="center" vertical="center" wrapText="1"/>
      <protection locked="0"/>
    </xf>
    <xf numFmtId="0" fontId="7" fillId="4" borderId="2" xfId="3" applyFill="1" applyBorder="1" applyAlignment="1">
      <alignment vertical="center"/>
    </xf>
    <xf numFmtId="0" fontId="17" fillId="4" borderId="3" xfId="3" applyFont="1" applyFill="1" applyBorder="1" applyAlignment="1">
      <alignment horizontal="center" vertical="center" wrapText="1"/>
    </xf>
    <xf numFmtId="0" fontId="7" fillId="3" borderId="2" xfId="3" applyFill="1" applyBorder="1" applyProtection="1">
      <protection locked="0"/>
    </xf>
    <xf numFmtId="0" fontId="7" fillId="4" borderId="2" xfId="3" applyFill="1" applyBorder="1"/>
    <xf numFmtId="0" fontId="7" fillId="0" borderId="2" xfId="3" applyBorder="1" applyProtection="1">
      <protection locked="0"/>
    </xf>
    <xf numFmtId="0" fontId="17"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2" fillId="0" borderId="2" xfId="1" applyFont="1" applyBorder="1" applyAlignment="1">
      <alignment horizontal="center" vertical="center" wrapText="1"/>
    </xf>
    <xf numFmtId="0" fontId="23" fillId="0" borderId="2" xfId="1" applyFont="1" applyBorder="1" applyAlignment="1">
      <alignment horizontal="center" vertical="center" wrapText="1"/>
    </xf>
    <xf numFmtId="0" fontId="26" fillId="0" borderId="0" xfId="1" applyFont="1">
      <alignment vertical="center"/>
    </xf>
    <xf numFmtId="0" fontId="26" fillId="0" borderId="2" xfId="1" applyFont="1" applyBorder="1" applyAlignment="1">
      <alignment horizontal="center" vertical="center"/>
    </xf>
    <xf numFmtId="0" fontId="26" fillId="0" borderId="2" xfId="1" applyFont="1" applyBorder="1" applyAlignment="1">
      <alignment horizontal="center" vertical="center" wrapText="1"/>
    </xf>
    <xf numFmtId="0" fontId="19" fillId="0" borderId="0" xfId="1" applyFont="1">
      <alignment vertical="center"/>
    </xf>
    <xf numFmtId="0" fontId="26" fillId="0" borderId="2" xfId="1" applyFont="1" applyBorder="1">
      <alignment vertical="center"/>
    </xf>
    <xf numFmtId="177" fontId="23" fillId="0" borderId="2" xfId="1" applyNumberFormat="1" applyFont="1" applyBorder="1" applyAlignment="1">
      <alignment horizontal="center" vertical="center" wrapText="1"/>
    </xf>
    <xf numFmtId="14" fontId="0" fillId="0" borderId="0" xfId="0" applyNumberFormat="1"/>
    <xf numFmtId="0" fontId="27" fillId="0" borderId="2" xfId="1" applyFont="1" applyBorder="1" applyAlignment="1">
      <alignment horizontal="center" vertical="center"/>
    </xf>
    <xf numFmtId="10" fontId="26" fillId="0" borderId="2" xfId="5" applyNumberFormat="1" applyFont="1" applyBorder="1" applyAlignment="1">
      <alignment horizontal="center" vertical="center"/>
    </xf>
    <xf numFmtId="0" fontId="28" fillId="0" borderId="0" xfId="1" applyFont="1">
      <alignment vertical="center"/>
    </xf>
    <xf numFmtId="0" fontId="20" fillId="0" borderId="0" xfId="1" applyFont="1">
      <alignment vertical="center"/>
    </xf>
    <xf numFmtId="0" fontId="29" fillId="0" borderId="2" xfId="1" applyFont="1" applyBorder="1" applyAlignment="1">
      <alignment horizontal="center" vertical="center"/>
    </xf>
    <xf numFmtId="0" fontId="5" fillId="0" borderId="0" xfId="0" applyFont="1"/>
    <xf numFmtId="14" fontId="7" fillId="0" borderId="0" xfId="1" applyNumberFormat="1">
      <alignment vertical="center"/>
    </xf>
    <xf numFmtId="0" fontId="0" fillId="0" borderId="0" xfId="0" applyAlignment="1">
      <alignment vertical="center"/>
    </xf>
    <xf numFmtId="178"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0" fillId="0" borderId="0" xfId="2" applyFont="1" applyAlignment="1">
      <alignment horizontal="center" vertical="center" wrapText="1"/>
    </xf>
    <xf numFmtId="0" fontId="7" fillId="3" borderId="2" xfId="1" applyFill="1" applyBorder="1" applyAlignment="1">
      <alignment horizontal="center" vertical="center"/>
    </xf>
    <xf numFmtId="0" fontId="31"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32" fillId="0" borderId="0" xfId="0" applyFont="1"/>
    <xf numFmtId="179" fontId="7" fillId="0" borderId="0" xfId="1" applyNumberFormat="1">
      <alignmen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10" fillId="2" borderId="2" xfId="2" applyFont="1" applyFill="1" applyBorder="1" applyAlignment="1">
      <alignment horizontal="center" vertical="center" wrapText="1"/>
    </xf>
    <xf numFmtId="0" fontId="3" fillId="0" borderId="0" xfId="6"/>
    <xf numFmtId="0" fontId="34" fillId="0" borderId="2" xfId="7" applyFont="1" applyBorder="1" applyAlignment="1">
      <alignment horizontal="center" vertical="center"/>
    </xf>
    <xf numFmtId="0" fontId="34" fillId="0" borderId="2" xfId="7" applyFont="1" applyBorder="1" applyAlignment="1">
      <alignment horizontal="center" vertical="center" wrapText="1"/>
    </xf>
    <xf numFmtId="0" fontId="34" fillId="0" borderId="10" xfId="7" applyFont="1" applyBorder="1" applyAlignment="1">
      <alignment horizontal="center" vertical="center" wrapText="1"/>
    </xf>
    <xf numFmtId="0" fontId="35" fillId="2" borderId="2" xfId="6" applyFont="1" applyFill="1" applyBorder="1" applyAlignment="1">
      <alignment horizontal="center" vertical="center"/>
    </xf>
    <xf numFmtId="0" fontId="35" fillId="2" borderId="2" xfId="6" applyFont="1" applyFill="1" applyBorder="1" applyAlignment="1">
      <alignment horizontal="center" vertical="center" wrapText="1"/>
    </xf>
    <xf numFmtId="0" fontId="34" fillId="2" borderId="2" xfId="7" applyFont="1" applyFill="1" applyBorder="1" applyAlignment="1">
      <alignment horizontal="center" vertical="center" wrapText="1"/>
    </xf>
    <xf numFmtId="0" fontId="15" fillId="2" borderId="2" xfId="7" applyFont="1" applyFill="1" applyBorder="1" applyAlignment="1">
      <alignment horizontal="center" vertical="center"/>
    </xf>
    <xf numFmtId="0" fontId="15" fillId="2" borderId="2" xfId="7" applyFont="1" applyFill="1" applyBorder="1" applyAlignment="1">
      <alignment horizontal="center" vertical="center" wrapText="1"/>
    </xf>
    <xf numFmtId="0" fontId="36" fillId="2" borderId="2" xfId="6" applyFont="1" applyFill="1" applyBorder="1" applyAlignment="1">
      <alignment horizontal="center" vertical="center"/>
    </xf>
    <xf numFmtId="0" fontId="3" fillId="0" borderId="2" xfId="6" applyBorder="1" applyAlignment="1">
      <alignment horizontal="center" vertical="center"/>
    </xf>
    <xf numFmtId="0" fontId="15" fillId="0" borderId="2" xfId="7" applyFont="1" applyBorder="1" applyAlignment="1">
      <alignment horizontal="center" vertical="center" wrapText="1"/>
    </xf>
    <xf numFmtId="0" fontId="15" fillId="0" borderId="2" xfId="7" applyFont="1" applyBorder="1" applyAlignment="1">
      <alignment horizontal="center" vertical="center"/>
    </xf>
    <xf numFmtId="0" fontId="36" fillId="0" borderId="2" xfId="6" applyFont="1" applyBorder="1" applyAlignment="1">
      <alignment horizontal="center" vertical="center"/>
    </xf>
    <xf numFmtId="10" fontId="0" fillId="0" borderId="0" xfId="8" applyNumberFormat="1" applyFont="1" applyAlignment="1"/>
    <xf numFmtId="2" fontId="37" fillId="2" borderId="2" xfId="6" applyNumberFormat="1" applyFont="1" applyFill="1" applyBorder="1" applyAlignment="1">
      <alignment horizontal="center" vertical="center"/>
    </xf>
    <xf numFmtId="0" fontId="36" fillId="2" borderId="3" xfId="6" applyFont="1" applyFill="1" applyBorder="1" applyAlignment="1">
      <alignment horizontal="center" vertical="center"/>
    </xf>
    <xf numFmtId="49" fontId="15" fillId="0" borderId="2" xfId="7" applyNumberFormat="1" applyFont="1" applyBorder="1" applyAlignment="1">
      <alignment horizontal="center" vertical="center"/>
    </xf>
    <xf numFmtId="0" fontId="36" fillId="2" borderId="4" xfId="6" applyFont="1" applyFill="1" applyBorder="1" applyAlignment="1">
      <alignment horizontal="center" vertical="center"/>
    </xf>
    <xf numFmtId="0" fontId="37" fillId="2" borderId="2" xfId="6" applyFont="1" applyFill="1" applyBorder="1" applyAlignment="1">
      <alignment horizontal="center" vertical="center"/>
    </xf>
    <xf numFmtId="0" fontId="20" fillId="0" borderId="0" xfId="6" applyFont="1"/>
    <xf numFmtId="0" fontId="20" fillId="0" borderId="2" xfId="6" applyFont="1" applyBorder="1" applyAlignment="1">
      <alignment horizontal="center" vertical="center"/>
    </xf>
    <xf numFmtId="0" fontId="37" fillId="2" borderId="3" xfId="6" applyFont="1" applyFill="1" applyBorder="1" applyAlignment="1">
      <alignment horizontal="center" vertical="center"/>
    </xf>
    <xf numFmtId="0" fontId="3" fillId="0" borderId="0" xfId="6" applyAlignment="1">
      <alignment horizont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2" fontId="23" fillId="0" borderId="2" xfId="1" applyNumberFormat="1" applyFont="1" applyBorder="1" applyAlignment="1">
      <alignment horizontal="center" vertical="center" wrapText="1"/>
    </xf>
    <xf numFmtId="2" fontId="7" fillId="0" borderId="0" xfId="1" applyNumberFormat="1">
      <alignment vertical="center"/>
    </xf>
    <xf numFmtId="10" fontId="19" fillId="0" borderId="0" xfId="1" applyNumberFormat="1" applyFont="1">
      <alignment vertical="center"/>
    </xf>
    <xf numFmtId="0" fontId="19" fillId="0" borderId="0" xfId="1" applyFont="1" applyAlignment="1">
      <alignment vertical="center" wrapText="1"/>
    </xf>
    <xf numFmtId="0" fontId="2" fillId="0" borderId="2" xfId="6" applyFont="1" applyBorder="1"/>
    <xf numFmtId="0" fontId="3" fillId="0" borderId="2" xfId="6" applyBorder="1"/>
    <xf numFmtId="9" fontId="7" fillId="0" borderId="0" xfId="1" applyNumberFormat="1">
      <alignment vertical="center"/>
    </xf>
    <xf numFmtId="9" fontId="7" fillId="0" borderId="0" xfId="5" applyFont="1">
      <alignment vertical="center"/>
    </xf>
    <xf numFmtId="9" fontId="10" fillId="2" borderId="2" xfId="2" applyNumberFormat="1" applyFont="1" applyFill="1" applyBorder="1" applyAlignment="1">
      <alignment horizontal="center" vertical="center" wrapText="1"/>
    </xf>
    <xf numFmtId="0" fontId="42" fillId="3" borderId="2" xfId="1" applyFont="1" applyFill="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1" fillId="0" borderId="0" xfId="6" applyFont="1"/>
    <xf numFmtId="0" fontId="31" fillId="0" borderId="0" xfId="0" applyFont="1" applyAlignment="1">
      <alignment horizontal="center" vertical="center" wrapText="1"/>
    </xf>
    <xf numFmtId="0" fontId="25" fillId="0" borderId="0" xfId="0" applyFont="1" applyAlignment="1">
      <alignment horizontal="center" vertical="center" wrapText="1"/>
    </xf>
    <xf numFmtId="2" fontId="0" fillId="3" borderId="2" xfId="0" applyNumberFormat="1" applyFill="1" applyBorder="1" applyAlignment="1">
      <alignment horizontal="center" vertical="center"/>
    </xf>
    <xf numFmtId="180" fontId="7" fillId="0" borderId="0" xfId="1" applyNumberFormat="1">
      <alignment vertical="center"/>
    </xf>
    <xf numFmtId="0" fontId="26" fillId="0" borderId="2" xfId="1" applyFont="1" applyBorder="1" applyAlignment="1">
      <alignment horizontal="center" vertical="center"/>
    </xf>
    <xf numFmtId="0" fontId="9" fillId="0" borderId="0" xfId="2" applyFont="1" applyAlignment="1">
      <alignment horizontal="left"/>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center"/>
    </xf>
    <xf numFmtId="177" fontId="9" fillId="0" borderId="2" xfId="2" applyNumberFormat="1" applyFont="1" applyBorder="1" applyAlignment="1">
      <alignment horizontal="center" vertical="center" wrapText="1"/>
    </xf>
    <xf numFmtId="0" fontId="9" fillId="0" borderId="2" xfId="2" applyFont="1" applyBorder="1" applyAlignment="1">
      <alignment vertical="center" wrapText="1"/>
    </xf>
    <xf numFmtId="0" fontId="9" fillId="0" borderId="2" xfId="2" applyFont="1" applyBorder="1" applyAlignment="1">
      <alignment horizontal="center" vertical="center" wrapText="1"/>
    </xf>
    <xf numFmtId="4" fontId="9" fillId="0" borderId="2"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177" fontId="9" fillId="0" borderId="6" xfId="2" applyNumberFormat="1" applyFont="1" applyBorder="1" applyAlignment="1">
      <alignment horizontal="center" vertical="center" wrapText="1"/>
    </xf>
    <xf numFmtId="177" fontId="9" fillId="0" borderId="10" xfId="2" applyNumberFormat="1" applyFont="1" applyBorder="1" applyAlignment="1">
      <alignment horizontal="center" vertical="center" wrapText="1"/>
    </xf>
    <xf numFmtId="0" fontId="10" fillId="0" borderId="6" xfId="2" applyFont="1" applyBorder="1" applyAlignment="1">
      <alignment horizontal="center" vertical="center" wrapText="1"/>
    </xf>
    <xf numFmtId="0" fontId="14" fillId="0" borderId="0" xfId="1"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1"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xf numFmtId="14" fontId="0" fillId="0" borderId="0" xfId="0" applyNumberFormat="1"/>
    <xf numFmtId="0" fontId="33" fillId="0" borderId="1" xfId="6" applyFont="1" applyBorder="1" applyAlignment="1">
      <alignment horizontal="center"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1-E873-46B5-8625-D979043EDEE5}"/>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2-E873-46B5-8625-D979043EDEE5}"/>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1-240D-45C0-954A-49B0ADF4C5E0}"/>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2-240D-45C0-954A-49B0ADF4C5E0}"/>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5="http://schemas.microsoft.com/office/drawing/2012/chart">
            <c:ext xmlns:c16="http://schemas.microsoft.com/office/drawing/2014/chart" uri="{C3380CC4-5D6E-409C-BE32-E72D297353CC}">
              <c16:uniqueId val="{00000003-3A61-48FB-B0C3-3B795E694366}"/>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0-3A61-48FB-B0C3-3B795E694366}"/>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1-3A61-48FB-B0C3-3B795E694366}"/>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2-3A61-48FB-B0C3-3B795E694366}"/>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 -月'!$E$108</c:f>
              <c:strCache>
                <c:ptCount val="1"/>
                <c:pt idx="0">
                  <c:v>估价机构监测数据</c:v>
                </c:pt>
              </c:strCache>
            </c:strRef>
          </c:tx>
          <c:spPr>
            <a:ln w="28575" cap="rnd">
              <a:solidFill>
                <a:schemeClr val="accent2"/>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0-3D9E-480A-93F1-E57210281404}"/>
            </c:ext>
          </c:extLst>
        </c:ser>
        <c:ser>
          <c:idx val="2"/>
          <c:order val="2"/>
          <c:tx>
            <c:strRef>
              <c:f>'案例汇总 -月'!$F$108</c:f>
              <c:strCache>
                <c:ptCount val="1"/>
                <c:pt idx="0">
                  <c:v>估价机构市场调查</c:v>
                </c:pt>
              </c:strCache>
            </c:strRef>
          </c:tx>
          <c:spPr>
            <a:ln w="28575" cap="rnd">
              <a:solidFill>
                <a:schemeClr val="accent3"/>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1-3D9E-480A-93F1-E57210281404}"/>
            </c:ext>
          </c:extLst>
        </c:ser>
        <c:ser>
          <c:idx val="3"/>
          <c:order val="3"/>
          <c:tx>
            <c:strRef>
              <c:f>'案例汇总 -月'!$G$108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2-3D9E-480A-93F1-E57210281404}"/>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 -月'!$D$108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 -月'!$D$109:$D$113</c15:sqref>
                        </c15:formulaRef>
                      </c:ext>
                    </c:extLst>
                    <c:numCache>
                      <c:formatCode>General</c:formatCode>
                      <c:ptCount val="5"/>
                    </c:numCache>
                  </c:numRef>
                </c:val>
                <c:smooth val="0"/>
                <c:extLst>
                  <c:ext xmlns:c16="http://schemas.microsoft.com/office/drawing/2014/chart" uri="{C3380CC4-5D6E-409C-BE32-E72D297353CC}">
                    <c16:uniqueId val="{00000003-3D9E-480A-93F1-E57210281404}"/>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-月'!$E$122</c:f>
              <c:strCache>
                <c:ptCount val="1"/>
                <c:pt idx="0">
                  <c:v>估价机构监测数据</c:v>
                </c:pt>
              </c:strCache>
            </c:strRef>
          </c:tx>
          <c:spPr>
            <a:ln w="28575" cap="rnd">
              <a:solidFill>
                <a:schemeClr val="accent2"/>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0-EB9D-4610-8FD1-0C00658683F8}"/>
            </c:ext>
          </c:extLst>
        </c:ser>
        <c:ser>
          <c:idx val="2"/>
          <c:order val="2"/>
          <c:tx>
            <c:strRef>
              <c:f>'案例汇总 -月'!$F$122</c:f>
              <c:strCache>
                <c:ptCount val="1"/>
                <c:pt idx="0">
                  <c:v>估价机构市场调查</c:v>
                </c:pt>
              </c:strCache>
            </c:strRef>
          </c:tx>
          <c:spPr>
            <a:ln w="28575" cap="rnd">
              <a:solidFill>
                <a:schemeClr val="accent3"/>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1-EB9D-4610-8FD1-0C00658683F8}"/>
            </c:ext>
          </c:extLst>
        </c:ser>
        <c:ser>
          <c:idx val="3"/>
          <c:order val="3"/>
          <c:tx>
            <c:strRef>
              <c:f>'案例汇总 -月'!$G$122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2-EB9D-4610-8FD1-0C00658683F8}"/>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 -月'!$D$122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 -月'!$D$123:$D$127</c15:sqref>
                        </c15:formulaRef>
                      </c:ext>
                    </c:extLst>
                    <c:numCache>
                      <c:formatCode>General</c:formatCode>
                      <c:ptCount val="5"/>
                    </c:numCache>
                  </c:numRef>
                </c:val>
                <c:smooth val="0"/>
                <c:extLst>
                  <c:ext xmlns:c16="http://schemas.microsoft.com/office/drawing/2014/chart" uri="{C3380CC4-5D6E-409C-BE32-E72D297353CC}">
                    <c16:uniqueId val="{00000003-EB9D-4610-8FD1-0C00658683F8}"/>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-月'!$Q$100</c:f>
              <c:strCache>
                <c:ptCount val="1"/>
                <c:pt idx="0">
                  <c:v>估价机构监测数据</c:v>
                </c:pt>
              </c:strCache>
            </c:strRef>
          </c:tx>
          <c:spPr>
            <a:ln w="28575" cap="rnd">
              <a:solidFill>
                <a:schemeClr val="accent2"/>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89EE-46CA-983D-9D1ED0F6FA72}"/>
            </c:ext>
          </c:extLst>
        </c:ser>
        <c:ser>
          <c:idx val="2"/>
          <c:order val="2"/>
          <c:tx>
            <c:strRef>
              <c:f>'案例汇总 -月'!$R$100</c:f>
              <c:strCache>
                <c:ptCount val="1"/>
                <c:pt idx="0">
                  <c:v>估价机构市场调查</c:v>
                </c:pt>
              </c:strCache>
            </c:strRef>
          </c:tx>
          <c:spPr>
            <a:ln w="28575" cap="rnd">
              <a:solidFill>
                <a:schemeClr val="accent3"/>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1-89EE-46CA-983D-9D1ED0F6FA72}"/>
            </c:ext>
          </c:extLst>
        </c:ser>
        <c:ser>
          <c:idx val="3"/>
          <c:order val="3"/>
          <c:tx>
            <c:strRef>
              <c:f>'案例汇总 -月'!$S$100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89EE-46CA-983D-9D1ED0F6FA72}"/>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-月'!$P$101:$P$108</c15:sqref>
                        </c15:formulaRef>
                      </c:ext>
                    </c:extLst>
                    <c:numCache>
                      <c:formatCode>General</c:formatCode>
                      <c:ptCount val="8"/>
                    </c:numCache>
                  </c:numRef>
                </c:val>
                <c:smooth val="0"/>
                <c:extLst>
                  <c:ext xmlns:c16="http://schemas.microsoft.com/office/drawing/2014/chart" uri="{C3380CC4-5D6E-409C-BE32-E72D297353CC}">
                    <c16:uniqueId val="{00000003-89EE-46CA-983D-9D1ED0F6FA72}"/>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 -月'!$D$94</c:f>
              <c:strCache>
                <c:ptCount val="1"/>
              </c:strCache>
            </c:strRef>
          </c:tx>
          <c:spPr>
            <a:ln w="28575" cap="rnd">
              <a:solidFill>
                <a:schemeClr val="accent1"/>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-月'!$D$95:$D$100</c:f>
              <c:numCache>
                <c:formatCode>General</c:formatCode>
                <c:ptCount val="6"/>
              </c:numCache>
            </c:numRef>
          </c:val>
          <c:smooth val="0"/>
          <c:extLst xmlns:c15="http://schemas.microsoft.com/office/drawing/2012/chart">
            <c:ext xmlns:c16="http://schemas.microsoft.com/office/drawing/2014/chart" uri="{C3380CC4-5D6E-409C-BE32-E72D297353CC}">
              <c16:uniqueId val="{00000000-BBB3-4965-8647-4764B4B4FB3B}"/>
            </c:ext>
          </c:extLst>
        </c:ser>
        <c:ser>
          <c:idx val="1"/>
          <c:order val="1"/>
          <c:tx>
            <c:strRef>
              <c:f>'案例汇总 -月'!$E$94</c:f>
              <c:strCache>
                <c:ptCount val="1"/>
                <c:pt idx="0">
                  <c:v>估价机构监测数据</c:v>
                </c:pt>
              </c:strCache>
            </c:strRef>
          </c:tx>
          <c:spPr>
            <a:ln w="28575" cap="rnd">
              <a:solidFill>
                <a:schemeClr val="accent2"/>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1-BBB3-4965-8647-4764B4B4FB3B}"/>
            </c:ext>
          </c:extLst>
        </c:ser>
        <c:ser>
          <c:idx val="2"/>
          <c:order val="2"/>
          <c:tx>
            <c:strRef>
              <c:f>'案例汇总 -月'!$F$94</c:f>
              <c:strCache>
                <c:ptCount val="1"/>
                <c:pt idx="0">
                  <c:v>估价机构市场调查</c:v>
                </c:pt>
              </c:strCache>
            </c:strRef>
          </c:tx>
          <c:spPr>
            <a:ln w="28575" cap="rnd">
              <a:solidFill>
                <a:schemeClr val="accent3"/>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2-BBB3-4965-8647-4764B4B4FB3B}"/>
            </c:ext>
          </c:extLst>
        </c:ser>
        <c:ser>
          <c:idx val="3"/>
          <c:order val="3"/>
          <c:tx>
            <c:strRef>
              <c:f>'案例汇总 -月'!$G$94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3-BBB3-4965-8647-4764B4B4FB3B}"/>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8.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214789</xdr:colOff>
      <xdr:row>8</xdr:row>
      <xdr:rowOff>171450</xdr:rowOff>
    </xdr:from>
    <xdr:to>
      <xdr:col>11</xdr:col>
      <xdr:colOff>704850</xdr:colOff>
      <xdr:row>37</xdr:row>
      <xdr:rowOff>102750</xdr:rowOff>
    </xdr:to>
    <xdr:pic>
      <xdr:nvPicPr>
        <xdr:cNvPr id="2" name="图片 1">
          <a:extLst>
            <a:ext uri="{FF2B5EF4-FFF2-40B4-BE49-F238E27FC236}">
              <a16:creationId xmlns:a16="http://schemas.microsoft.com/office/drawing/2014/main" id="{774AA451-C4DA-9D5B-B708-C2AE42E28A42}"/>
            </a:ext>
          </a:extLst>
        </xdr:cNvPr>
        <xdr:cNvPicPr>
          <a:picLocks noChangeAspect="1"/>
        </xdr:cNvPicPr>
      </xdr:nvPicPr>
      <xdr:blipFill>
        <a:blip xmlns:r="http://schemas.openxmlformats.org/officeDocument/2006/relationships" r:embed="rId1"/>
        <a:stretch>
          <a:fillRect/>
        </a:stretch>
      </xdr:blipFill>
      <xdr:spPr>
        <a:xfrm>
          <a:off x="214789" y="1962150"/>
          <a:ext cx="10415111" cy="65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0235046" y="181842"/>
          <a:ext cx="4390160" cy="2659866"/>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0235045" y="2892136"/>
          <a:ext cx="4387881" cy="71870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0269681" y="3688773"/>
          <a:ext cx="4342857" cy="8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4"/>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5"/>
        <a:stretch>
          <a:fillRect/>
        </a:stretch>
      </xdr:blipFill>
      <xdr:spPr>
        <a:xfrm>
          <a:off x="7972425" y="1162414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6FA6244E-B044-4969-A656-78C8A56AD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2" name="图表 1">
          <a:extLst>
            <a:ext uri="{FF2B5EF4-FFF2-40B4-BE49-F238E27FC236}">
              <a16:creationId xmlns:a16="http://schemas.microsoft.com/office/drawing/2014/main" id="{0F716CB6-5CBF-402B-9D8C-8F6395640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3" name="图表 2">
          <a:extLst>
            <a:ext uri="{FF2B5EF4-FFF2-40B4-BE49-F238E27FC236}">
              <a16:creationId xmlns:a16="http://schemas.microsoft.com/office/drawing/2014/main" id="{2FCCB83C-6162-46F1-8F34-7353EEADF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4" name="图表 3">
          <a:extLst>
            <a:ext uri="{FF2B5EF4-FFF2-40B4-BE49-F238E27FC236}">
              <a16:creationId xmlns:a16="http://schemas.microsoft.com/office/drawing/2014/main" id="{5DBBB46D-9A2D-47F9-BF9B-E37C4E290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5" name="图片 4">
          <a:extLst>
            <a:ext uri="{FF2B5EF4-FFF2-40B4-BE49-F238E27FC236}">
              <a16:creationId xmlns:a16="http://schemas.microsoft.com/office/drawing/2014/main" id="{777D46C2-1567-487E-BA51-B017B1148C2E}"/>
            </a:ext>
          </a:extLst>
        </xdr:cNvPr>
        <xdr:cNvPicPr>
          <a:picLocks noChangeAspect="1"/>
        </xdr:cNvPicPr>
      </xdr:nvPicPr>
      <xdr:blipFill>
        <a:blip xmlns:r="http://schemas.openxmlformats.org/officeDocument/2006/relationships" r:embed="rId4"/>
        <a:stretch>
          <a:fillRect/>
        </a:stretch>
      </xdr:blipFill>
      <xdr:spPr>
        <a:xfrm>
          <a:off x="66674" y="1137284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6" name="图片 5">
          <a:extLst>
            <a:ext uri="{FF2B5EF4-FFF2-40B4-BE49-F238E27FC236}">
              <a16:creationId xmlns:a16="http://schemas.microsoft.com/office/drawing/2014/main" id="{0E0B69D6-F267-453C-A04F-F7D80937527E}"/>
            </a:ext>
          </a:extLst>
        </xdr:cNvPr>
        <xdr:cNvPicPr>
          <a:picLocks noChangeAspect="1"/>
        </xdr:cNvPicPr>
      </xdr:nvPicPr>
      <xdr:blipFill>
        <a:blip xmlns:r="http://schemas.openxmlformats.org/officeDocument/2006/relationships" r:embed="rId5"/>
        <a:stretch>
          <a:fillRect/>
        </a:stretch>
      </xdr:blipFill>
      <xdr:spPr>
        <a:xfrm>
          <a:off x="8134350" y="1126219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7" name="图片 6">
          <a:extLst>
            <a:ext uri="{FF2B5EF4-FFF2-40B4-BE49-F238E27FC236}">
              <a16:creationId xmlns:a16="http://schemas.microsoft.com/office/drawing/2014/main" id="{FF1B74FA-1B46-4F67-ACDF-64CDAB809272}"/>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8" name="图表 7">
          <a:extLst>
            <a:ext uri="{FF2B5EF4-FFF2-40B4-BE49-F238E27FC236}">
              <a16:creationId xmlns:a16="http://schemas.microsoft.com/office/drawing/2014/main" id="{17BBA5AF-ABD9-4366-87A6-07F10829F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D15" sqref="D15"/>
    </sheetView>
  </sheetViews>
  <sheetFormatPr defaultColWidth="14.625" defaultRowHeight="14.25" x14ac:dyDescent="0.2"/>
  <cols>
    <col min="1" max="1" width="24.375" style="2" customWidth="1"/>
    <col min="2" max="16384" width="14.625" style="2"/>
  </cols>
  <sheetData>
    <row r="1" spans="1:9" ht="16.5" x14ac:dyDescent="0.2">
      <c r="A1" s="19" t="s">
        <v>92</v>
      </c>
      <c r="B1" s="20">
        <f>成本分析!I13</f>
        <v>5341.27</v>
      </c>
      <c r="C1" s="21"/>
      <c r="D1" s="21"/>
      <c r="E1" s="21"/>
      <c r="F1" s="21"/>
      <c r="G1" s="22"/>
    </row>
    <row r="2" spans="1:9" ht="16.5" x14ac:dyDescent="0.2">
      <c r="A2" s="19" t="s">
        <v>93</v>
      </c>
      <c r="B2" s="19">
        <f>SUM(C14:C23)</f>
        <v>0</v>
      </c>
      <c r="C2" s="21"/>
      <c r="D2" s="21"/>
      <c r="E2" s="21"/>
      <c r="F2" s="21"/>
      <c r="G2" s="22"/>
    </row>
    <row r="3" spans="1:9" ht="33" x14ac:dyDescent="0.2">
      <c r="A3" s="19" t="s">
        <v>94</v>
      </c>
      <c r="B3" s="23" t="s">
        <v>775</v>
      </c>
      <c r="C3" s="21"/>
      <c r="D3" s="21"/>
      <c r="E3" s="21"/>
      <c r="F3" s="21"/>
      <c r="G3" s="22"/>
    </row>
    <row r="4" spans="1:9" ht="33" x14ac:dyDescent="0.2">
      <c r="A4" s="19" t="s">
        <v>95</v>
      </c>
      <c r="B4" s="19" t="s">
        <v>96</v>
      </c>
      <c r="C4" s="19" t="s">
        <v>97</v>
      </c>
      <c r="D4" s="19" t="s">
        <v>98</v>
      </c>
      <c r="E4" s="21"/>
      <c r="F4" s="22"/>
      <c r="G4" s="22"/>
    </row>
    <row r="5" spans="1:9" ht="16.5" x14ac:dyDescent="0.2">
      <c r="A5" s="19" t="s">
        <v>120</v>
      </c>
      <c r="B5" s="19">
        <f>SUM(D14:D23)</f>
        <v>304.77286620000001</v>
      </c>
      <c r="C5" s="19">
        <f>ROUND(B5*10000/$B$1,0)</f>
        <v>571</v>
      </c>
      <c r="D5" s="19" t="e">
        <f>ROUND(B5*10000/$B$2,0)</f>
        <v>#DIV/0!</v>
      </c>
      <c r="E5" s="21"/>
      <c r="F5" s="22"/>
      <c r="G5" s="22"/>
    </row>
    <row r="6" spans="1:9" ht="16.5" x14ac:dyDescent="0.2">
      <c r="A6" s="19" t="s">
        <v>99</v>
      </c>
      <c r="B6" s="19">
        <f>SUM(D14:D23)</f>
        <v>304.77286620000001</v>
      </c>
      <c r="C6" s="19">
        <f>ROUND(B6*10000/$B$1,0)</f>
        <v>571</v>
      </c>
      <c r="D6" s="19" t="e">
        <f>#N/A</f>
        <v>#N/A</v>
      </c>
      <c r="E6" s="21"/>
      <c r="F6" s="22"/>
      <c r="G6" s="22"/>
    </row>
    <row r="7" spans="1:9" ht="16.5" x14ac:dyDescent="0.2">
      <c r="A7" s="19" t="s">
        <v>100</v>
      </c>
      <c r="B7" s="19">
        <f>B5</f>
        <v>304.77286620000001</v>
      </c>
      <c r="C7" s="19" t="e">
        <f>#N/A</f>
        <v>#N/A</v>
      </c>
      <c r="D7" s="19" t="e">
        <f>#N/A</f>
        <v>#N/A</v>
      </c>
      <c r="E7" s="21"/>
      <c r="F7" s="22"/>
      <c r="G7" s="22"/>
    </row>
    <row r="8" spans="1:9" ht="16.5" x14ac:dyDescent="0.2">
      <c r="A8" s="19" t="s">
        <v>101</v>
      </c>
      <c r="B8" s="19">
        <f>B5</f>
        <v>304.77286620000001</v>
      </c>
      <c r="C8" s="19" t="e">
        <f>#N/A</f>
        <v>#N/A</v>
      </c>
      <c r="D8" s="19" t="e">
        <f>#N/A</f>
        <v>#N/A</v>
      </c>
      <c r="E8" s="21"/>
      <c r="F8" s="22"/>
      <c r="G8" s="22"/>
    </row>
    <row r="9" spans="1:9" ht="16.5" x14ac:dyDescent="0.2">
      <c r="A9" s="19" t="s">
        <v>102</v>
      </c>
      <c r="B9" s="24">
        <f>B5</f>
        <v>304.77286620000001</v>
      </c>
      <c r="C9" s="21"/>
      <c r="D9" s="21"/>
      <c r="E9" s="21"/>
      <c r="F9" s="22"/>
      <c r="G9" s="22"/>
    </row>
    <row r="10" spans="1:9" ht="16.5" x14ac:dyDescent="0.2">
      <c r="A10" s="19" t="s">
        <v>103</v>
      </c>
      <c r="B10" s="24">
        <f>B5</f>
        <v>304.77286620000001</v>
      </c>
      <c r="C10" s="21"/>
      <c r="D10" s="21"/>
      <c r="E10" s="21"/>
      <c r="F10" s="22"/>
      <c r="G10" s="22"/>
    </row>
    <row r="11" spans="1:9" ht="16.5" x14ac:dyDescent="0.2">
      <c r="A11" s="19" t="s">
        <v>104</v>
      </c>
      <c r="B11" s="24">
        <f>B5</f>
        <v>304.77286620000001</v>
      </c>
      <c r="C11" s="21"/>
      <c r="D11" s="21"/>
      <c r="E11" s="21"/>
      <c r="F11" s="22"/>
      <c r="G11" s="22"/>
    </row>
    <row r="12" spans="1:9" ht="16.5" x14ac:dyDescent="0.2">
      <c r="A12" s="21"/>
      <c r="B12" s="21"/>
      <c r="C12" s="21"/>
      <c r="D12" s="21"/>
      <c r="E12" s="21"/>
      <c r="F12" s="22"/>
      <c r="G12" s="22"/>
    </row>
    <row r="13" spans="1:9" ht="33" x14ac:dyDescent="0.2">
      <c r="A13" s="25" t="s">
        <v>105</v>
      </c>
      <c r="B13" s="26" t="s">
        <v>92</v>
      </c>
      <c r="C13" s="26" t="s">
        <v>93</v>
      </c>
      <c r="D13" s="26" t="s">
        <v>106</v>
      </c>
      <c r="E13" s="19" t="s">
        <v>97</v>
      </c>
      <c r="F13" s="19" t="s">
        <v>98</v>
      </c>
      <c r="G13" s="26" t="s">
        <v>107</v>
      </c>
      <c r="H13" s="26" t="s">
        <v>108</v>
      </c>
      <c r="I13" s="26" t="s">
        <v>109</v>
      </c>
    </row>
    <row r="14" spans="1:9" ht="16.5" x14ac:dyDescent="0.2">
      <c r="A14" s="27" t="s">
        <v>110</v>
      </c>
      <c r="B14" s="26">
        <f>B1</f>
        <v>5341.27</v>
      </c>
      <c r="C14" s="26">
        <v>0</v>
      </c>
      <c r="D14" s="26">
        <f>B14*E14*12/10000</f>
        <v>304.77286620000001</v>
      </c>
      <c r="E14" s="26">
        <f>测算表!C30</f>
        <v>47.55</v>
      </c>
      <c r="F14" s="26" t="e">
        <f>ROUND(D14*10000/C14,0)</f>
        <v>#DIV/0!</v>
      </c>
      <c r="G14" s="26">
        <v>0</v>
      </c>
      <c r="H14" s="26">
        <v>0</v>
      </c>
      <c r="I14" s="26">
        <v>0</v>
      </c>
    </row>
    <row r="15" spans="1:9" ht="16.5" x14ac:dyDescent="0.2">
      <c r="A15" s="28" t="s">
        <v>111</v>
      </c>
      <c r="B15" s="29"/>
      <c r="C15" s="29"/>
      <c r="D15" s="29"/>
      <c r="E15" s="26" t="e">
        <f t="shared" ref="E15:E23" si="0">ROUND(D15*10000/B15,0)</f>
        <v>#DIV/0!</v>
      </c>
      <c r="F15" s="26" t="e">
        <f t="shared" ref="F15:F23" si="1">ROUND(D15*10000/C15,0)</f>
        <v>#DIV/0!</v>
      </c>
      <c r="G15" s="30"/>
      <c r="H15" s="30"/>
      <c r="I15" s="29"/>
    </row>
    <row r="16" spans="1:9" ht="16.5" x14ac:dyDescent="0.2">
      <c r="A16" s="28" t="s">
        <v>112</v>
      </c>
      <c r="B16" s="29"/>
      <c r="C16" s="29"/>
      <c r="D16" s="29"/>
      <c r="E16" s="26" t="e">
        <f t="shared" si="0"/>
        <v>#DIV/0!</v>
      </c>
      <c r="F16" s="26" t="e">
        <f t="shared" si="1"/>
        <v>#DIV/0!</v>
      </c>
      <c r="G16" s="30"/>
      <c r="H16" s="30"/>
      <c r="I16" s="29"/>
    </row>
    <row r="17" spans="1:9" ht="16.5" x14ac:dyDescent="0.2">
      <c r="A17" s="28" t="s">
        <v>113</v>
      </c>
      <c r="B17" s="29"/>
      <c r="C17" s="29"/>
      <c r="D17" s="29"/>
      <c r="E17" s="26" t="e">
        <f t="shared" si="0"/>
        <v>#DIV/0!</v>
      </c>
      <c r="F17" s="26" t="e">
        <f t="shared" si="1"/>
        <v>#DIV/0!</v>
      </c>
      <c r="G17" s="30"/>
      <c r="H17" s="30"/>
      <c r="I17" s="29"/>
    </row>
    <row r="18" spans="1:9" ht="16.5" x14ac:dyDescent="0.2">
      <c r="A18" s="28" t="s">
        <v>114</v>
      </c>
      <c r="B18" s="29"/>
      <c r="C18" s="29"/>
      <c r="D18" s="29"/>
      <c r="E18" s="26" t="e">
        <f t="shared" si="0"/>
        <v>#DIV/0!</v>
      </c>
      <c r="F18" s="26" t="e">
        <f t="shared" si="1"/>
        <v>#DIV/0!</v>
      </c>
      <c r="G18" s="29"/>
      <c r="H18" s="29"/>
      <c r="I18" s="29"/>
    </row>
    <row r="19" spans="1:9" ht="16.5" x14ac:dyDescent="0.2">
      <c r="A19" s="28" t="s">
        <v>115</v>
      </c>
      <c r="B19" s="29"/>
      <c r="C19" s="29"/>
      <c r="D19" s="29"/>
      <c r="E19" s="26" t="e">
        <f t="shared" si="0"/>
        <v>#DIV/0!</v>
      </c>
      <c r="F19" s="26" t="e">
        <f t="shared" si="1"/>
        <v>#DIV/0!</v>
      </c>
      <c r="G19" s="29"/>
      <c r="H19" s="29"/>
      <c r="I19" s="29"/>
    </row>
    <row r="20" spans="1:9" ht="16.5" x14ac:dyDescent="0.2">
      <c r="A20" s="28" t="s">
        <v>116</v>
      </c>
      <c r="B20" s="29"/>
      <c r="C20" s="29"/>
      <c r="D20" s="29"/>
      <c r="E20" s="26" t="e">
        <f t="shared" si="0"/>
        <v>#DIV/0!</v>
      </c>
      <c r="F20" s="26" t="e">
        <f t="shared" si="1"/>
        <v>#DIV/0!</v>
      </c>
      <c r="G20" s="29"/>
      <c r="H20" s="29"/>
      <c r="I20" s="29"/>
    </row>
    <row r="21" spans="1:9" ht="16.5" x14ac:dyDescent="0.2">
      <c r="A21" s="28" t="s">
        <v>117</v>
      </c>
      <c r="B21" s="29"/>
      <c r="C21" s="29"/>
      <c r="D21" s="29"/>
      <c r="E21" s="26" t="e">
        <f t="shared" si="0"/>
        <v>#DIV/0!</v>
      </c>
      <c r="F21" s="26" t="e">
        <f t="shared" si="1"/>
        <v>#DIV/0!</v>
      </c>
      <c r="G21" s="29"/>
      <c r="H21" s="29"/>
      <c r="I21" s="29"/>
    </row>
    <row r="22" spans="1:9" ht="16.5" x14ac:dyDescent="0.2">
      <c r="A22" s="28" t="s">
        <v>118</v>
      </c>
      <c r="B22" s="29"/>
      <c r="C22" s="29"/>
      <c r="D22" s="29"/>
      <c r="E22" s="26" t="e">
        <f t="shared" si="0"/>
        <v>#DIV/0!</v>
      </c>
      <c r="F22" s="26" t="e">
        <f t="shared" si="1"/>
        <v>#DIV/0!</v>
      </c>
      <c r="G22" s="29"/>
      <c r="H22" s="29"/>
      <c r="I22" s="29"/>
    </row>
    <row r="23" spans="1:9" ht="16.5" x14ac:dyDescent="0.2">
      <c r="A23" s="28" t="s">
        <v>119</v>
      </c>
      <c r="B23" s="29"/>
      <c r="C23" s="29"/>
      <c r="D23" s="29"/>
      <c r="E23" s="19" t="e">
        <f t="shared" si="0"/>
        <v>#DIV/0!</v>
      </c>
      <c r="F23" s="19" t="e">
        <f t="shared" si="1"/>
        <v>#DIV/0!</v>
      </c>
      <c r="G23" s="29"/>
      <c r="H23" s="29"/>
      <c r="I23" s="29"/>
    </row>
  </sheetData>
  <phoneticPr fontId="6"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476</v>
      </c>
      <c r="B1" s="2" t="s">
        <v>477</v>
      </c>
      <c r="C1" s="2" t="s">
        <v>478</v>
      </c>
      <c r="D1" s="2" t="s">
        <v>479</v>
      </c>
      <c r="E1" s="2" t="s">
        <v>9</v>
      </c>
      <c r="F1" s="2" t="s">
        <v>10</v>
      </c>
      <c r="G1" s="2" t="s">
        <v>11</v>
      </c>
    </row>
    <row r="2" spans="1:7" x14ac:dyDescent="0.2">
      <c r="A2" s="2" t="s">
        <v>476</v>
      </c>
      <c r="B2" s="2" t="s">
        <v>1</v>
      </c>
      <c r="C2" s="2" t="s">
        <v>32</v>
      </c>
      <c r="D2" s="2" t="s">
        <v>32</v>
      </c>
      <c r="E2" s="2">
        <v>2023</v>
      </c>
      <c r="F2" s="2" t="s">
        <v>13</v>
      </c>
      <c r="G2" s="2">
        <v>71.328344247000004</v>
      </c>
    </row>
    <row r="3" spans="1:7" x14ac:dyDescent="0.2">
      <c r="A3" s="2" t="s">
        <v>476</v>
      </c>
      <c r="B3" s="2" t="s">
        <v>1</v>
      </c>
      <c r="C3" s="2" t="s">
        <v>32</v>
      </c>
      <c r="D3" s="2" t="s">
        <v>32</v>
      </c>
      <c r="E3" s="2">
        <v>2023</v>
      </c>
      <c r="F3" s="2" t="s">
        <v>14</v>
      </c>
      <c r="G3" s="2">
        <v>63.702900515000003</v>
      </c>
    </row>
    <row r="4" spans="1:7" x14ac:dyDescent="0.2">
      <c r="A4" s="2" t="s">
        <v>476</v>
      </c>
      <c r="B4" s="2" t="s">
        <v>1</v>
      </c>
      <c r="C4" s="2" t="s">
        <v>32</v>
      </c>
      <c r="D4" s="2" t="s">
        <v>32</v>
      </c>
      <c r="E4" s="2">
        <v>2023</v>
      </c>
      <c r="F4" s="2" t="s">
        <v>15</v>
      </c>
      <c r="G4" s="2">
        <v>69.085224268000005</v>
      </c>
    </row>
    <row r="5" spans="1:7" x14ac:dyDescent="0.2">
      <c r="A5" s="2" t="s">
        <v>476</v>
      </c>
      <c r="B5" s="2" t="s">
        <v>1</v>
      </c>
      <c r="C5" s="2" t="s">
        <v>32</v>
      </c>
      <c r="D5" s="2" t="s">
        <v>32</v>
      </c>
      <c r="E5" s="2">
        <v>2023</v>
      </c>
      <c r="F5" s="2" t="s">
        <v>27</v>
      </c>
      <c r="G5" s="2">
        <v>73.295655491999995</v>
      </c>
    </row>
    <row r="6" spans="1:7" x14ac:dyDescent="0.2">
      <c r="A6" s="2" t="s">
        <v>476</v>
      </c>
      <c r="B6" s="2" t="s">
        <v>1</v>
      </c>
      <c r="C6" s="2" t="s">
        <v>32</v>
      </c>
      <c r="D6" s="2" t="s">
        <v>32</v>
      </c>
      <c r="E6" s="2">
        <v>2023</v>
      </c>
      <c r="F6" s="2" t="s">
        <v>16</v>
      </c>
      <c r="G6" s="2">
        <v>74.091912117000007</v>
      </c>
    </row>
    <row r="7" spans="1:7" x14ac:dyDescent="0.2">
      <c r="A7" s="2" t="s">
        <v>476</v>
      </c>
      <c r="B7" s="2" t="s">
        <v>1</v>
      </c>
      <c r="C7" s="2" t="s">
        <v>32</v>
      </c>
      <c r="D7" s="2" t="s">
        <v>32</v>
      </c>
      <c r="E7" s="2">
        <v>2023</v>
      </c>
      <c r="F7" s="2" t="s">
        <v>17</v>
      </c>
      <c r="G7" s="2">
        <v>70.783229031000005</v>
      </c>
    </row>
    <row r="8" spans="1:7" x14ac:dyDescent="0.2">
      <c r="A8" s="2" t="s">
        <v>476</v>
      </c>
      <c r="B8" s="2" t="s">
        <v>1</v>
      </c>
      <c r="C8" s="2" t="s">
        <v>32</v>
      </c>
      <c r="D8" s="2" t="s">
        <v>32</v>
      </c>
      <c r="E8" s="2">
        <v>2023</v>
      </c>
      <c r="F8" s="2" t="s">
        <v>18</v>
      </c>
      <c r="G8" s="2">
        <v>72.121788773000006</v>
      </c>
    </row>
    <row r="9" spans="1:7" x14ac:dyDescent="0.2">
      <c r="A9" s="2" t="s">
        <v>476</v>
      </c>
      <c r="B9" s="2" t="s">
        <v>1</v>
      </c>
      <c r="C9" s="2" t="s">
        <v>32</v>
      </c>
      <c r="D9" s="2" t="s">
        <v>32</v>
      </c>
      <c r="E9" s="2">
        <v>2024</v>
      </c>
      <c r="F9" s="2" t="s">
        <v>28</v>
      </c>
      <c r="G9" s="2">
        <v>51.104846776000002</v>
      </c>
    </row>
    <row r="10" spans="1:7" x14ac:dyDescent="0.2">
      <c r="A10" s="2" t="s">
        <v>476</v>
      </c>
      <c r="B10" s="2" t="s">
        <v>1</v>
      </c>
      <c r="C10" s="2" t="s">
        <v>32</v>
      </c>
      <c r="D10" s="2" t="s">
        <v>32</v>
      </c>
      <c r="E10" s="2">
        <v>2024</v>
      </c>
      <c r="F10" s="2" t="s">
        <v>19</v>
      </c>
      <c r="G10" s="2">
        <v>65.553041764</v>
      </c>
    </row>
    <row r="11" spans="1:7" x14ac:dyDescent="0.2">
      <c r="A11" s="2" t="s">
        <v>476</v>
      </c>
      <c r="B11" s="2" t="s">
        <v>1</v>
      </c>
      <c r="C11" s="2" t="s">
        <v>32</v>
      </c>
      <c r="D11" s="2" t="s">
        <v>32</v>
      </c>
      <c r="E11" s="2">
        <v>2024</v>
      </c>
      <c r="F11" s="2" t="s">
        <v>20</v>
      </c>
      <c r="G11" s="2">
        <v>58.989676807000002</v>
      </c>
    </row>
    <row r="12" spans="1:7" x14ac:dyDescent="0.2">
      <c r="A12" s="2" t="s">
        <v>476</v>
      </c>
      <c r="B12" s="2" t="s">
        <v>1</v>
      </c>
      <c r="C12" s="2" t="s">
        <v>32</v>
      </c>
      <c r="D12" s="2" t="s">
        <v>32</v>
      </c>
      <c r="E12" s="2">
        <v>2024</v>
      </c>
      <c r="F12" s="2" t="s">
        <v>21</v>
      </c>
      <c r="G12" s="2">
        <v>62.872975277000002</v>
      </c>
    </row>
    <row r="13" spans="1:7" x14ac:dyDescent="0.2">
      <c r="A13" s="2" t="s">
        <v>476</v>
      </c>
      <c r="B13" s="2" t="s">
        <v>1</v>
      </c>
      <c r="C13" s="2" t="s">
        <v>32</v>
      </c>
      <c r="D13" s="2" t="s">
        <v>32</v>
      </c>
      <c r="E13" s="2">
        <v>2024</v>
      </c>
      <c r="F13" s="2" t="s">
        <v>29</v>
      </c>
      <c r="G13" s="2">
        <v>63.025210084000001</v>
      </c>
    </row>
    <row r="14" spans="1:7" x14ac:dyDescent="0.2">
      <c r="A14" s="2" t="s">
        <v>476</v>
      </c>
      <c r="B14" s="2" t="s">
        <v>1</v>
      </c>
      <c r="C14" s="2" t="s">
        <v>30</v>
      </c>
      <c r="D14" s="2" t="s">
        <v>30</v>
      </c>
      <c r="E14" s="2">
        <v>2023</v>
      </c>
      <c r="F14" s="2" t="s">
        <v>14</v>
      </c>
      <c r="G14" s="2">
        <v>75.765408696999998</v>
      </c>
    </row>
    <row r="15" spans="1:7" x14ac:dyDescent="0.2">
      <c r="A15" s="2" t="s">
        <v>476</v>
      </c>
      <c r="B15" s="2" t="s">
        <v>1</v>
      </c>
      <c r="C15" s="2" t="s">
        <v>30</v>
      </c>
      <c r="D15" s="2" t="s">
        <v>30</v>
      </c>
      <c r="E15" s="2">
        <v>2023</v>
      </c>
      <c r="F15" s="2" t="s">
        <v>15</v>
      </c>
      <c r="G15" s="2">
        <v>66.801715920000007</v>
      </c>
    </row>
    <row r="16" spans="1:7" x14ac:dyDescent="0.2">
      <c r="A16" s="2" t="s">
        <v>476</v>
      </c>
      <c r="B16" s="2" t="s">
        <v>1</v>
      </c>
      <c r="C16" s="2" t="s">
        <v>30</v>
      </c>
      <c r="D16" s="2" t="s">
        <v>30</v>
      </c>
      <c r="E16" s="2">
        <v>2023</v>
      </c>
      <c r="F16" s="2" t="s">
        <v>27</v>
      </c>
      <c r="G16" s="2">
        <v>73.195458685000006</v>
      </c>
    </row>
    <row r="17" spans="1:7" x14ac:dyDescent="0.2">
      <c r="A17" s="2" t="s">
        <v>476</v>
      </c>
      <c r="B17" s="2" t="s">
        <v>1</v>
      </c>
      <c r="C17" s="2" t="s">
        <v>30</v>
      </c>
      <c r="D17" s="2" t="s">
        <v>30</v>
      </c>
      <c r="E17" s="2">
        <v>2023</v>
      </c>
      <c r="F17" s="2" t="s">
        <v>16</v>
      </c>
      <c r="G17" s="2">
        <v>85.807043546000003</v>
      </c>
    </row>
    <row r="18" spans="1:7" x14ac:dyDescent="0.2">
      <c r="A18" s="2" t="s">
        <v>476</v>
      </c>
      <c r="B18" s="2" t="s">
        <v>1</v>
      </c>
      <c r="C18" s="2" t="s">
        <v>30</v>
      </c>
      <c r="D18" s="2" t="s">
        <v>30</v>
      </c>
      <c r="E18" s="2">
        <v>2023</v>
      </c>
      <c r="F18" s="2" t="s">
        <v>17</v>
      </c>
      <c r="G18" s="2">
        <v>68.273820313000002</v>
      </c>
    </row>
    <row r="19" spans="1:7" x14ac:dyDescent="0.2">
      <c r="A19" s="2" t="s">
        <v>476</v>
      </c>
      <c r="B19" s="2" t="s">
        <v>1</v>
      </c>
      <c r="C19" s="2" t="s">
        <v>30</v>
      </c>
      <c r="D19" s="2" t="s">
        <v>30</v>
      </c>
      <c r="E19" s="2">
        <v>2023</v>
      </c>
      <c r="F19" s="2" t="s">
        <v>18</v>
      </c>
      <c r="G19" s="2">
        <v>79.900124844000004</v>
      </c>
    </row>
    <row r="20" spans="1:7" x14ac:dyDescent="0.2">
      <c r="A20" s="2" t="s">
        <v>476</v>
      </c>
      <c r="B20" s="2" t="s">
        <v>1</v>
      </c>
      <c r="C20" s="2" t="s">
        <v>30</v>
      </c>
      <c r="D20" s="2" t="s">
        <v>30</v>
      </c>
      <c r="E20" s="2">
        <v>2024</v>
      </c>
      <c r="F20" s="2" t="s">
        <v>28</v>
      </c>
      <c r="G20" s="2">
        <v>64.362336114000001</v>
      </c>
    </row>
    <row r="21" spans="1:7" x14ac:dyDescent="0.2">
      <c r="A21" s="2" t="s">
        <v>476</v>
      </c>
      <c r="B21" s="2" t="s">
        <v>1</v>
      </c>
      <c r="C21" s="2" t="s">
        <v>30</v>
      </c>
      <c r="D21" s="2" t="s">
        <v>30</v>
      </c>
      <c r="E21" s="2">
        <v>2024</v>
      </c>
      <c r="F21" s="2" t="s">
        <v>19</v>
      </c>
      <c r="G21" s="2">
        <v>64.379841061999997</v>
      </c>
    </row>
    <row r="22" spans="1:7" x14ac:dyDescent="0.2">
      <c r="A22" s="2" t="s">
        <v>476</v>
      </c>
      <c r="B22" s="2" t="s">
        <v>1</v>
      </c>
      <c r="C22" s="2" t="s">
        <v>30</v>
      </c>
      <c r="D22" s="2" t="s">
        <v>30</v>
      </c>
      <c r="E22" s="2">
        <v>2024</v>
      </c>
      <c r="F22" s="2" t="s">
        <v>20</v>
      </c>
      <c r="G22" s="2">
        <v>68.241469816000006</v>
      </c>
    </row>
    <row r="23" spans="1:7" x14ac:dyDescent="0.2">
      <c r="A23" s="2" t="s">
        <v>476</v>
      </c>
      <c r="B23" s="2" t="s">
        <v>1</v>
      </c>
      <c r="C23" s="2" t="s">
        <v>30</v>
      </c>
      <c r="D23" s="2" t="s">
        <v>30</v>
      </c>
      <c r="E23" s="2">
        <v>2024</v>
      </c>
      <c r="F23" s="2" t="s">
        <v>21</v>
      </c>
      <c r="G23" s="2">
        <v>64.774149226000006</v>
      </c>
    </row>
    <row r="24" spans="1:7" x14ac:dyDescent="0.2">
      <c r="A24" s="2" t="s">
        <v>476</v>
      </c>
      <c r="B24" s="2" t="s">
        <v>1</v>
      </c>
      <c r="C24" s="2" t="s">
        <v>282</v>
      </c>
      <c r="D24" s="2" t="s">
        <v>282</v>
      </c>
      <c r="E24" s="2">
        <v>2023</v>
      </c>
      <c r="F24" s="2" t="s">
        <v>15</v>
      </c>
      <c r="G24" s="2">
        <v>70.365358592999996</v>
      </c>
    </row>
    <row r="25" spans="1:7" x14ac:dyDescent="0.2">
      <c r="A25" s="2" t="s">
        <v>476</v>
      </c>
      <c r="B25" s="2" t="s">
        <v>1</v>
      </c>
      <c r="C25" s="2" t="s">
        <v>282</v>
      </c>
      <c r="D25" s="2" t="s">
        <v>282</v>
      </c>
      <c r="E25" s="2">
        <v>2023</v>
      </c>
      <c r="F25" s="2" t="s">
        <v>27</v>
      </c>
      <c r="G25" s="2">
        <v>68.287889953000004</v>
      </c>
    </row>
    <row r="26" spans="1:7" x14ac:dyDescent="0.2">
      <c r="A26" s="2" t="s">
        <v>476</v>
      </c>
      <c r="B26" s="2" t="s">
        <v>1</v>
      </c>
      <c r="C26" s="2" t="s">
        <v>282</v>
      </c>
      <c r="D26" s="2" t="s">
        <v>282</v>
      </c>
      <c r="E26" s="2">
        <v>2023</v>
      </c>
      <c r="F26" s="2" t="s">
        <v>16</v>
      </c>
      <c r="G26" s="2">
        <v>78.216308549999994</v>
      </c>
    </row>
    <row r="27" spans="1:7" x14ac:dyDescent="0.2">
      <c r="A27" s="2" t="s">
        <v>476</v>
      </c>
      <c r="B27" s="2" t="s">
        <v>1</v>
      </c>
      <c r="C27" s="2" t="s">
        <v>282</v>
      </c>
      <c r="D27" s="2" t="s">
        <v>282</v>
      </c>
      <c r="E27" s="2">
        <v>2023</v>
      </c>
      <c r="F27" s="2" t="s">
        <v>17</v>
      </c>
      <c r="G27" s="2">
        <v>71.916684074000003</v>
      </c>
    </row>
    <row r="28" spans="1:7" x14ac:dyDescent="0.2">
      <c r="A28" s="2" t="s">
        <v>476</v>
      </c>
      <c r="B28" s="2" t="s">
        <v>1</v>
      </c>
      <c r="C28" s="2" t="s">
        <v>282</v>
      </c>
      <c r="D28" s="2" t="s">
        <v>282</v>
      </c>
      <c r="E28" s="2">
        <v>2023</v>
      </c>
      <c r="F28" s="2" t="s">
        <v>18</v>
      </c>
      <c r="G28" s="2">
        <v>77.103833162000001</v>
      </c>
    </row>
    <row r="29" spans="1:7" x14ac:dyDescent="0.2">
      <c r="A29" s="2" t="s">
        <v>476</v>
      </c>
      <c r="B29" s="2" t="s">
        <v>1</v>
      </c>
      <c r="C29" s="2" t="s">
        <v>282</v>
      </c>
      <c r="D29" s="2" t="s">
        <v>282</v>
      </c>
      <c r="E29" s="2">
        <v>2024</v>
      </c>
      <c r="F29" s="2" t="s">
        <v>28</v>
      </c>
      <c r="G29" s="2">
        <v>61.325805510000002</v>
      </c>
    </row>
    <row r="30" spans="1:7" x14ac:dyDescent="0.2">
      <c r="A30" s="2" t="s">
        <v>476</v>
      </c>
      <c r="B30" s="2" t="s">
        <v>1</v>
      </c>
      <c r="C30" s="2" t="s">
        <v>282</v>
      </c>
      <c r="D30" s="2" t="s">
        <v>282</v>
      </c>
      <c r="E30" s="2">
        <v>2024</v>
      </c>
      <c r="F30" s="2" t="s">
        <v>19</v>
      </c>
      <c r="G30" s="2">
        <v>60.583807600999997</v>
      </c>
    </row>
    <row r="31" spans="1:7" x14ac:dyDescent="0.2">
      <c r="A31" s="2" t="s">
        <v>476</v>
      </c>
      <c r="B31" s="2" t="s">
        <v>1</v>
      </c>
      <c r="C31" s="2" t="s">
        <v>282</v>
      </c>
      <c r="D31" s="2" t="s">
        <v>282</v>
      </c>
      <c r="E31" s="2">
        <v>2024</v>
      </c>
      <c r="F31" s="2" t="s">
        <v>20</v>
      </c>
      <c r="G31" s="2">
        <v>85.784313725000004</v>
      </c>
    </row>
    <row r="32" spans="1:7" x14ac:dyDescent="0.2">
      <c r="A32" s="2" t="s">
        <v>476</v>
      </c>
      <c r="B32" s="2" t="s">
        <v>1</v>
      </c>
      <c r="C32" s="2" t="s">
        <v>282</v>
      </c>
      <c r="D32" s="2" t="s">
        <v>282</v>
      </c>
      <c r="E32" s="2">
        <v>2024</v>
      </c>
      <c r="F32" s="2" t="s">
        <v>21</v>
      </c>
      <c r="G32" s="2">
        <v>63.763891418999997</v>
      </c>
    </row>
    <row r="33" spans="1:7" x14ac:dyDescent="0.2">
      <c r="A33" s="2" t="s">
        <v>476</v>
      </c>
      <c r="B33" s="2" t="s">
        <v>1</v>
      </c>
      <c r="C33" s="2" t="s">
        <v>282</v>
      </c>
      <c r="D33" s="2" t="s">
        <v>282</v>
      </c>
      <c r="E33" s="2">
        <v>2024</v>
      </c>
      <c r="F33" s="2" t="s">
        <v>29</v>
      </c>
      <c r="G33" s="2">
        <v>59.977722559999997</v>
      </c>
    </row>
    <row r="34" spans="1:7" x14ac:dyDescent="0.2">
      <c r="A34" s="2" t="s">
        <v>476</v>
      </c>
      <c r="B34" s="2" t="s">
        <v>1</v>
      </c>
      <c r="C34" s="2" t="s">
        <v>480</v>
      </c>
      <c r="D34" s="2" t="s">
        <v>481</v>
      </c>
      <c r="E34" s="2">
        <v>2024</v>
      </c>
      <c r="F34" s="2" t="s">
        <v>28</v>
      </c>
      <c r="G34" s="2">
        <v>54.057480980999998</v>
      </c>
    </row>
    <row r="35" spans="1:7" x14ac:dyDescent="0.2">
      <c r="A35" s="2" t="s">
        <v>476</v>
      </c>
      <c r="B35" s="2" t="s">
        <v>1</v>
      </c>
      <c r="C35" s="2" t="s">
        <v>480</v>
      </c>
      <c r="D35" s="2" t="s">
        <v>481</v>
      </c>
      <c r="E35" s="2">
        <v>2024</v>
      </c>
      <c r="F35" s="2" t="s">
        <v>19</v>
      </c>
      <c r="G35" s="2">
        <v>53.697787611000003</v>
      </c>
    </row>
    <row r="36" spans="1:7" x14ac:dyDescent="0.2">
      <c r="A36" s="2" t="s">
        <v>476</v>
      </c>
      <c r="B36" s="2" t="s">
        <v>1</v>
      </c>
      <c r="C36" s="2" t="s">
        <v>482</v>
      </c>
      <c r="D36" s="2" t="s">
        <v>481</v>
      </c>
      <c r="E36" s="2">
        <v>2024</v>
      </c>
      <c r="F36" s="2" t="s">
        <v>19</v>
      </c>
      <c r="G36" s="2">
        <v>76.501338773000001</v>
      </c>
    </row>
    <row r="37" spans="1:7" x14ac:dyDescent="0.2">
      <c r="A37" s="2" t="s">
        <v>476</v>
      </c>
      <c r="B37" s="2" t="s">
        <v>1</v>
      </c>
      <c r="C37" s="2" t="s">
        <v>466</v>
      </c>
      <c r="D37" s="2" t="s">
        <v>481</v>
      </c>
      <c r="E37" s="2">
        <v>2023</v>
      </c>
      <c r="F37" s="2" t="s">
        <v>13</v>
      </c>
      <c r="G37" s="2">
        <v>59.744873243999997</v>
      </c>
    </row>
    <row r="38" spans="1:7" x14ac:dyDescent="0.2">
      <c r="A38" s="2" t="s">
        <v>476</v>
      </c>
      <c r="B38" s="2" t="s">
        <v>1</v>
      </c>
      <c r="C38" s="2" t="s">
        <v>466</v>
      </c>
      <c r="D38" s="2" t="s">
        <v>481</v>
      </c>
      <c r="E38" s="2">
        <v>2024</v>
      </c>
      <c r="F38" s="2" t="s">
        <v>19</v>
      </c>
      <c r="G38" s="2">
        <v>62.366357805</v>
      </c>
    </row>
    <row r="39" spans="1:7" x14ac:dyDescent="0.2">
      <c r="A39" s="2" t="s">
        <v>476</v>
      </c>
      <c r="B39" s="2" t="s">
        <v>1</v>
      </c>
      <c r="C39" s="2" t="s">
        <v>466</v>
      </c>
      <c r="D39" s="2" t="s">
        <v>481</v>
      </c>
      <c r="E39" s="2">
        <v>2024</v>
      </c>
      <c r="F39" s="2" t="s">
        <v>20</v>
      </c>
      <c r="G39" s="2">
        <v>52.631578947000001</v>
      </c>
    </row>
    <row r="40" spans="1:7" x14ac:dyDescent="0.2">
      <c r="A40" s="2" t="s">
        <v>476</v>
      </c>
      <c r="B40" s="2" t="s">
        <v>1</v>
      </c>
      <c r="C40" s="2" t="s">
        <v>33</v>
      </c>
      <c r="D40" s="2" t="s">
        <v>33</v>
      </c>
      <c r="E40" s="2">
        <v>2023</v>
      </c>
      <c r="F40" s="2" t="s">
        <v>13</v>
      </c>
      <c r="G40" s="2">
        <v>58.024961681999997</v>
      </c>
    </row>
    <row r="41" spans="1:7" x14ac:dyDescent="0.2">
      <c r="A41" s="2" t="s">
        <v>476</v>
      </c>
      <c r="B41" s="2" t="s">
        <v>1</v>
      </c>
      <c r="C41" s="2" t="s">
        <v>33</v>
      </c>
      <c r="D41" s="2" t="s">
        <v>33</v>
      </c>
      <c r="E41" s="2">
        <v>2023</v>
      </c>
      <c r="F41" s="2" t="s">
        <v>14</v>
      </c>
      <c r="G41" s="2">
        <v>68.212824010999995</v>
      </c>
    </row>
    <row r="42" spans="1:7" x14ac:dyDescent="0.2">
      <c r="A42" s="2" t="s">
        <v>476</v>
      </c>
      <c r="B42" s="2" t="s">
        <v>1</v>
      </c>
      <c r="C42" s="2" t="s">
        <v>33</v>
      </c>
      <c r="D42" s="2" t="s">
        <v>33</v>
      </c>
      <c r="E42" s="2">
        <v>2023</v>
      </c>
      <c r="F42" s="2" t="s">
        <v>15</v>
      </c>
      <c r="G42" s="2">
        <v>69.294775610000002</v>
      </c>
    </row>
    <row r="43" spans="1:7" x14ac:dyDescent="0.2">
      <c r="A43" s="2" t="s">
        <v>476</v>
      </c>
      <c r="B43" s="2" t="s">
        <v>1</v>
      </c>
      <c r="C43" s="2" t="s">
        <v>33</v>
      </c>
      <c r="D43" s="2" t="s">
        <v>33</v>
      </c>
      <c r="E43" s="2">
        <v>2023</v>
      </c>
      <c r="F43" s="2" t="s">
        <v>27</v>
      </c>
      <c r="G43" s="2">
        <v>66.807636790000004</v>
      </c>
    </row>
    <row r="44" spans="1:7" x14ac:dyDescent="0.2">
      <c r="A44" s="2" t="s">
        <v>476</v>
      </c>
      <c r="B44" s="2" t="s">
        <v>1</v>
      </c>
      <c r="C44" s="2" t="s">
        <v>33</v>
      </c>
      <c r="D44" s="2" t="s">
        <v>33</v>
      </c>
      <c r="E44" s="2">
        <v>2023</v>
      </c>
      <c r="F44" s="2" t="s">
        <v>16</v>
      </c>
      <c r="G44" s="2">
        <v>66.451501354000001</v>
      </c>
    </row>
    <row r="45" spans="1:7" x14ac:dyDescent="0.2">
      <c r="A45" s="2" t="s">
        <v>476</v>
      </c>
      <c r="B45" s="2" t="s">
        <v>1</v>
      </c>
      <c r="C45" s="2" t="s">
        <v>33</v>
      </c>
      <c r="D45" s="2" t="s">
        <v>33</v>
      </c>
      <c r="E45" s="2">
        <v>2023</v>
      </c>
      <c r="F45" s="2" t="s">
        <v>17</v>
      </c>
      <c r="G45" s="2">
        <v>74.919564883999996</v>
      </c>
    </row>
    <row r="46" spans="1:7" x14ac:dyDescent="0.2">
      <c r="A46" s="2" t="s">
        <v>476</v>
      </c>
      <c r="B46" s="2" t="s">
        <v>1</v>
      </c>
      <c r="C46" s="2" t="s">
        <v>33</v>
      </c>
      <c r="D46" s="2" t="s">
        <v>33</v>
      </c>
      <c r="E46" s="2">
        <v>2023</v>
      </c>
      <c r="F46" s="2" t="s">
        <v>18</v>
      </c>
      <c r="G46" s="2">
        <v>50.660199407</v>
      </c>
    </row>
    <row r="47" spans="1:7" x14ac:dyDescent="0.2">
      <c r="A47" s="2" t="s">
        <v>476</v>
      </c>
      <c r="B47" s="2" t="s">
        <v>1</v>
      </c>
      <c r="C47" s="2" t="s">
        <v>33</v>
      </c>
      <c r="D47" s="2" t="s">
        <v>33</v>
      </c>
      <c r="E47" s="2">
        <v>2024</v>
      </c>
      <c r="F47" s="2" t="s">
        <v>28</v>
      </c>
      <c r="G47" s="2">
        <v>61.217672114000003</v>
      </c>
    </row>
    <row r="48" spans="1:7" x14ac:dyDescent="0.2">
      <c r="A48" s="2" t="s">
        <v>476</v>
      </c>
      <c r="B48" s="2" t="s">
        <v>1</v>
      </c>
      <c r="C48" s="2" t="s">
        <v>33</v>
      </c>
      <c r="D48" s="2" t="s">
        <v>33</v>
      </c>
      <c r="E48" s="2">
        <v>2024</v>
      </c>
      <c r="F48" s="2" t="s">
        <v>19</v>
      </c>
      <c r="G48" s="2">
        <v>61.534898370999997</v>
      </c>
    </row>
    <row r="49" spans="1:7" x14ac:dyDescent="0.2">
      <c r="A49" s="2" t="s">
        <v>476</v>
      </c>
      <c r="B49" s="2" t="s">
        <v>1</v>
      </c>
      <c r="C49" s="2" t="s">
        <v>33</v>
      </c>
      <c r="D49" s="2" t="s">
        <v>33</v>
      </c>
      <c r="E49" s="2">
        <v>2024</v>
      </c>
      <c r="F49" s="2" t="s">
        <v>20</v>
      </c>
      <c r="G49" s="2">
        <v>59.320168422000002</v>
      </c>
    </row>
    <row r="50" spans="1:7" x14ac:dyDescent="0.2">
      <c r="A50" s="2" t="s">
        <v>476</v>
      </c>
      <c r="B50" s="2" t="s">
        <v>1</v>
      </c>
      <c r="C50" s="2" t="s">
        <v>33</v>
      </c>
      <c r="D50" s="2" t="s">
        <v>33</v>
      </c>
      <c r="E50" s="2">
        <v>2024</v>
      </c>
      <c r="F50" s="2" t="s">
        <v>21</v>
      </c>
      <c r="G50" s="2">
        <v>64.744957964999998</v>
      </c>
    </row>
    <row r="51" spans="1:7" x14ac:dyDescent="0.2">
      <c r="A51" s="2" t="s">
        <v>476</v>
      </c>
      <c r="B51" s="2" t="s">
        <v>1</v>
      </c>
      <c r="C51" s="2" t="s">
        <v>33</v>
      </c>
      <c r="D51" s="2" t="s">
        <v>33</v>
      </c>
      <c r="E51" s="2">
        <v>2024</v>
      </c>
      <c r="F51" s="2" t="s">
        <v>29</v>
      </c>
      <c r="G51" s="2">
        <v>71.772745881999995</v>
      </c>
    </row>
    <row r="52" spans="1:7" x14ac:dyDescent="0.2">
      <c r="A52" s="2" t="s">
        <v>476</v>
      </c>
      <c r="B52" s="2" t="s">
        <v>1</v>
      </c>
      <c r="C52" s="2" t="s">
        <v>409</v>
      </c>
      <c r="D52" s="2" t="s">
        <v>409</v>
      </c>
      <c r="E52" s="2">
        <v>2023</v>
      </c>
      <c r="F52" s="2" t="s">
        <v>13</v>
      </c>
      <c r="G52" s="2">
        <v>72.039247188000004</v>
      </c>
    </row>
    <row r="53" spans="1:7" x14ac:dyDescent="0.2">
      <c r="A53" s="2" t="s">
        <v>476</v>
      </c>
      <c r="B53" s="2" t="s">
        <v>1</v>
      </c>
      <c r="C53" s="2" t="s">
        <v>409</v>
      </c>
      <c r="D53" s="2" t="s">
        <v>409</v>
      </c>
      <c r="E53" s="2">
        <v>2023</v>
      </c>
      <c r="F53" s="2" t="s">
        <v>14</v>
      </c>
      <c r="G53" s="2">
        <v>75.695244364000004</v>
      </c>
    </row>
    <row r="54" spans="1:7" x14ac:dyDescent="0.2">
      <c r="A54" s="2" t="s">
        <v>476</v>
      </c>
      <c r="B54" s="2" t="s">
        <v>1</v>
      </c>
      <c r="C54" s="2" t="s">
        <v>409</v>
      </c>
      <c r="D54" s="2" t="s">
        <v>409</v>
      </c>
      <c r="E54" s="2">
        <v>2023</v>
      </c>
      <c r="F54" s="2" t="s">
        <v>15</v>
      </c>
      <c r="G54" s="2">
        <v>74.813011297000003</v>
      </c>
    </row>
    <row r="55" spans="1:7" x14ac:dyDescent="0.2">
      <c r="A55" s="2" t="s">
        <v>476</v>
      </c>
      <c r="B55" s="2" t="s">
        <v>1</v>
      </c>
      <c r="C55" s="2" t="s">
        <v>409</v>
      </c>
      <c r="D55" s="2" t="s">
        <v>409</v>
      </c>
      <c r="E55" s="2">
        <v>2023</v>
      </c>
      <c r="F55" s="2" t="s">
        <v>27</v>
      </c>
      <c r="G55" s="2">
        <v>69.566190736999999</v>
      </c>
    </row>
    <row r="56" spans="1:7" x14ac:dyDescent="0.2">
      <c r="A56" s="2" t="s">
        <v>476</v>
      </c>
      <c r="B56" s="2" t="s">
        <v>1</v>
      </c>
      <c r="C56" s="2" t="s">
        <v>409</v>
      </c>
      <c r="D56" s="2" t="s">
        <v>409</v>
      </c>
      <c r="E56" s="2">
        <v>2023</v>
      </c>
      <c r="F56" s="2" t="s">
        <v>16</v>
      </c>
      <c r="G56" s="2">
        <v>70.162503762</v>
      </c>
    </row>
    <row r="57" spans="1:7" x14ac:dyDescent="0.2">
      <c r="A57" s="2" t="s">
        <v>476</v>
      </c>
      <c r="B57" s="2" t="s">
        <v>1</v>
      </c>
      <c r="C57" s="2" t="s">
        <v>409</v>
      </c>
      <c r="D57" s="2" t="s">
        <v>409</v>
      </c>
      <c r="E57" s="2">
        <v>2023</v>
      </c>
      <c r="F57" s="2" t="s">
        <v>17</v>
      </c>
      <c r="G57" s="2">
        <v>66.795946600999997</v>
      </c>
    </row>
    <row r="58" spans="1:7" x14ac:dyDescent="0.2">
      <c r="A58" s="2" t="s">
        <v>476</v>
      </c>
      <c r="B58" s="2" t="s">
        <v>1</v>
      </c>
      <c r="C58" s="2" t="s">
        <v>409</v>
      </c>
      <c r="D58" s="2" t="s">
        <v>409</v>
      </c>
      <c r="E58" s="2">
        <v>2023</v>
      </c>
      <c r="F58" s="2" t="s">
        <v>18</v>
      </c>
      <c r="G58" s="2">
        <v>73.143542861</v>
      </c>
    </row>
    <row r="59" spans="1:7" x14ac:dyDescent="0.2">
      <c r="A59" s="2" t="s">
        <v>476</v>
      </c>
      <c r="B59" s="2" t="s">
        <v>1</v>
      </c>
      <c r="C59" s="2" t="s">
        <v>409</v>
      </c>
      <c r="D59" s="2" t="s">
        <v>409</v>
      </c>
      <c r="E59" s="2">
        <v>2024</v>
      </c>
      <c r="F59" s="2" t="s">
        <v>28</v>
      </c>
      <c r="G59" s="2">
        <v>59.991982638000003</v>
      </c>
    </row>
    <row r="60" spans="1:7" x14ac:dyDescent="0.2">
      <c r="A60" s="2" t="s">
        <v>476</v>
      </c>
      <c r="B60" s="2" t="s">
        <v>1</v>
      </c>
      <c r="C60" s="2" t="s">
        <v>409</v>
      </c>
      <c r="D60" s="2" t="s">
        <v>409</v>
      </c>
      <c r="E60" s="2">
        <v>2024</v>
      </c>
      <c r="F60" s="2" t="s">
        <v>19</v>
      </c>
      <c r="G60" s="2">
        <v>65.294771968999996</v>
      </c>
    </row>
    <row r="61" spans="1:7" x14ac:dyDescent="0.2">
      <c r="A61" s="2" t="s">
        <v>476</v>
      </c>
      <c r="B61" s="2" t="s">
        <v>1</v>
      </c>
      <c r="C61" s="2" t="s">
        <v>409</v>
      </c>
      <c r="D61" s="2" t="s">
        <v>409</v>
      </c>
      <c r="E61" s="2">
        <v>2024</v>
      </c>
      <c r="F61" s="2" t="s">
        <v>20</v>
      </c>
      <c r="G61" s="2">
        <v>61.729937769999999</v>
      </c>
    </row>
    <row r="62" spans="1:7" x14ac:dyDescent="0.2">
      <c r="A62" s="2" t="s">
        <v>476</v>
      </c>
      <c r="B62" s="2" t="s">
        <v>1</v>
      </c>
      <c r="C62" s="2" t="s">
        <v>409</v>
      </c>
      <c r="D62" s="2" t="s">
        <v>409</v>
      </c>
      <c r="E62" s="2">
        <v>2024</v>
      </c>
      <c r="F62" s="2" t="s">
        <v>21</v>
      </c>
      <c r="G62" s="2">
        <v>69.907163830000002</v>
      </c>
    </row>
    <row r="63" spans="1:7" x14ac:dyDescent="0.2">
      <c r="A63" s="2" t="s">
        <v>476</v>
      </c>
      <c r="B63" s="2" t="s">
        <v>1</v>
      </c>
      <c r="C63" s="2" t="s">
        <v>409</v>
      </c>
      <c r="D63" s="2" t="s">
        <v>409</v>
      </c>
      <c r="E63" s="2">
        <v>2024</v>
      </c>
      <c r="F63" s="2" t="s">
        <v>29</v>
      </c>
      <c r="G63" s="2">
        <v>67.408105560999999</v>
      </c>
    </row>
  </sheetData>
  <phoneticPr fontId="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52" t="s">
        <v>149</v>
      </c>
      <c r="B1" s="153">
        <v>45413.333831018521</v>
      </c>
      <c r="C1" s="152"/>
      <c r="D1" s="152"/>
      <c r="E1" s="152"/>
      <c r="F1" s="153">
        <v>45383.333831018521</v>
      </c>
      <c r="G1" s="152"/>
      <c r="H1" s="152"/>
      <c r="I1" s="152"/>
      <c r="J1" s="153">
        <v>45352.333831018521</v>
      </c>
      <c r="K1" s="152"/>
      <c r="L1" s="152"/>
      <c r="M1" s="152"/>
      <c r="N1" s="153">
        <v>45323.333831018521</v>
      </c>
      <c r="O1" s="152"/>
      <c r="P1" s="152"/>
      <c r="Q1" s="152"/>
      <c r="R1" s="153">
        <v>45292.333831018521</v>
      </c>
      <c r="S1" s="152"/>
      <c r="T1" s="152"/>
      <c r="U1" s="152"/>
      <c r="V1" s="153">
        <v>45261.333831018521</v>
      </c>
      <c r="W1" s="152"/>
      <c r="X1" s="152"/>
      <c r="Y1" s="152"/>
      <c r="Z1" s="153">
        <v>45231.333831018521</v>
      </c>
      <c r="AA1" s="152"/>
      <c r="AB1" s="152"/>
      <c r="AC1" s="152"/>
      <c r="AD1" s="153">
        <v>45200.333831018521</v>
      </c>
      <c r="AE1" s="152"/>
      <c r="AF1" s="152"/>
      <c r="AG1" s="152"/>
      <c r="AH1" s="153">
        <v>45170.333831018521</v>
      </c>
      <c r="AI1" s="152"/>
      <c r="AJ1" s="152"/>
      <c r="AK1" s="152"/>
      <c r="AL1" s="153">
        <v>45139.333831018521</v>
      </c>
      <c r="AM1" s="152"/>
      <c r="AN1" s="152"/>
      <c r="AO1" s="152"/>
      <c r="AP1" s="153">
        <v>45108.333831018521</v>
      </c>
      <c r="AQ1" s="152"/>
      <c r="AR1" s="152"/>
      <c r="AS1" s="152"/>
      <c r="AT1" s="153">
        <v>45078.333831018521</v>
      </c>
      <c r="AU1" s="152"/>
      <c r="AV1" s="152"/>
      <c r="AW1" s="152"/>
    </row>
    <row r="2" spans="1:49" x14ac:dyDescent="0.2">
      <c r="A2" s="152"/>
      <c r="B2" t="s">
        <v>150</v>
      </c>
      <c r="C2" t="s">
        <v>151</v>
      </c>
      <c r="D2" t="s">
        <v>152</v>
      </c>
      <c r="E2" t="s">
        <v>153</v>
      </c>
      <c r="F2" t="s">
        <v>150</v>
      </c>
      <c r="G2" t="s">
        <v>151</v>
      </c>
      <c r="H2" t="s">
        <v>152</v>
      </c>
      <c r="I2" t="s">
        <v>153</v>
      </c>
      <c r="J2" t="s">
        <v>150</v>
      </c>
      <c r="K2" t="s">
        <v>151</v>
      </c>
      <c r="L2" t="s">
        <v>152</v>
      </c>
      <c r="M2" t="s">
        <v>153</v>
      </c>
      <c r="N2" t="s">
        <v>150</v>
      </c>
      <c r="O2" t="s">
        <v>151</v>
      </c>
      <c r="P2" t="s">
        <v>152</v>
      </c>
      <c r="Q2" t="s">
        <v>153</v>
      </c>
      <c r="R2" t="s">
        <v>150</v>
      </c>
      <c r="S2" t="s">
        <v>151</v>
      </c>
      <c r="T2" t="s">
        <v>152</v>
      </c>
      <c r="U2" t="s">
        <v>153</v>
      </c>
      <c r="V2" t="s">
        <v>150</v>
      </c>
      <c r="W2" t="s">
        <v>151</v>
      </c>
      <c r="X2" t="s">
        <v>152</v>
      </c>
      <c r="Y2" t="s">
        <v>153</v>
      </c>
      <c r="Z2" t="s">
        <v>150</v>
      </c>
      <c r="AA2" t="s">
        <v>151</v>
      </c>
      <c r="AB2" t="s">
        <v>152</v>
      </c>
      <c r="AC2" t="s">
        <v>153</v>
      </c>
      <c r="AD2" t="s">
        <v>150</v>
      </c>
      <c r="AE2" t="s">
        <v>151</v>
      </c>
      <c r="AF2" t="s">
        <v>152</v>
      </c>
      <c r="AG2" t="s">
        <v>153</v>
      </c>
      <c r="AH2" t="s">
        <v>150</v>
      </c>
      <c r="AI2" t="s">
        <v>151</v>
      </c>
      <c r="AJ2" t="s">
        <v>152</v>
      </c>
      <c r="AK2" t="s">
        <v>153</v>
      </c>
      <c r="AL2" t="s">
        <v>150</v>
      </c>
      <c r="AM2" t="s">
        <v>151</v>
      </c>
      <c r="AN2" t="s">
        <v>152</v>
      </c>
      <c r="AO2" t="s">
        <v>153</v>
      </c>
      <c r="AP2" t="s">
        <v>150</v>
      </c>
      <c r="AQ2" t="s">
        <v>151</v>
      </c>
      <c r="AR2" t="s">
        <v>152</v>
      </c>
      <c r="AS2" t="s">
        <v>153</v>
      </c>
      <c r="AT2" t="s">
        <v>150</v>
      </c>
      <c r="AU2" t="s">
        <v>151</v>
      </c>
      <c r="AV2" t="s">
        <v>152</v>
      </c>
      <c r="AW2" t="s">
        <v>153</v>
      </c>
    </row>
    <row r="3" spans="1:49" x14ac:dyDescent="0.2">
      <c r="A3" t="s">
        <v>154</v>
      </c>
      <c r="B3">
        <v>74.23</v>
      </c>
      <c r="C3">
        <v>3848</v>
      </c>
      <c r="D3">
        <v>49810</v>
      </c>
      <c r="E3" t="s">
        <v>155</v>
      </c>
      <c r="F3">
        <v>77.58</v>
      </c>
      <c r="G3">
        <v>3951</v>
      </c>
      <c r="H3">
        <v>50849</v>
      </c>
      <c r="I3" t="s">
        <v>156</v>
      </c>
      <c r="J3">
        <v>81.84</v>
      </c>
      <c r="K3">
        <v>3934</v>
      </c>
      <c r="L3">
        <v>50955</v>
      </c>
      <c r="M3" t="s">
        <v>157</v>
      </c>
      <c r="N3">
        <v>78.14</v>
      </c>
      <c r="O3">
        <v>3875</v>
      </c>
      <c r="P3">
        <v>51157</v>
      </c>
      <c r="Q3" t="s">
        <v>156</v>
      </c>
      <c r="R3">
        <v>79.67</v>
      </c>
      <c r="S3">
        <v>3881</v>
      </c>
      <c r="T3">
        <v>52267</v>
      </c>
      <c r="U3" t="s">
        <v>158</v>
      </c>
      <c r="V3">
        <v>82.25</v>
      </c>
      <c r="W3">
        <v>3789</v>
      </c>
      <c r="X3">
        <v>52882</v>
      </c>
      <c r="Y3" t="s">
        <v>159</v>
      </c>
      <c r="Z3">
        <v>85.45</v>
      </c>
      <c r="AA3">
        <v>3904</v>
      </c>
      <c r="AB3">
        <v>50772</v>
      </c>
      <c r="AC3" t="s">
        <v>160</v>
      </c>
      <c r="AD3">
        <v>81.8</v>
      </c>
      <c r="AE3">
        <v>4099</v>
      </c>
      <c r="AF3">
        <v>53023</v>
      </c>
      <c r="AG3" t="s">
        <v>161</v>
      </c>
      <c r="AH3">
        <v>83.57</v>
      </c>
      <c r="AI3">
        <v>4410</v>
      </c>
      <c r="AJ3">
        <v>52202</v>
      </c>
      <c r="AK3" t="s">
        <v>162</v>
      </c>
      <c r="AL3">
        <v>83.26</v>
      </c>
      <c r="AM3">
        <v>4917</v>
      </c>
      <c r="AN3">
        <v>53250</v>
      </c>
      <c r="AO3" t="s">
        <v>163</v>
      </c>
      <c r="AP3">
        <v>87.22</v>
      </c>
      <c r="AQ3">
        <v>4800</v>
      </c>
      <c r="AR3">
        <v>52613</v>
      </c>
      <c r="AS3" t="s">
        <v>164</v>
      </c>
      <c r="AT3">
        <v>88.93</v>
      </c>
      <c r="AU3">
        <v>4907</v>
      </c>
      <c r="AV3">
        <v>55380</v>
      </c>
      <c r="AW3" t="s">
        <v>157</v>
      </c>
    </row>
    <row r="4" spans="1:49" x14ac:dyDescent="0.2">
      <c r="A4" t="s">
        <v>3</v>
      </c>
      <c r="B4">
        <v>76.959999999999994</v>
      </c>
      <c r="C4">
        <v>5065</v>
      </c>
      <c r="D4">
        <v>56488</v>
      </c>
      <c r="E4" t="s">
        <v>165</v>
      </c>
      <c r="F4">
        <v>77.31</v>
      </c>
      <c r="G4">
        <v>4909</v>
      </c>
      <c r="H4">
        <v>58585</v>
      </c>
      <c r="I4" t="s">
        <v>166</v>
      </c>
      <c r="J4">
        <v>78.680000000000007</v>
      </c>
      <c r="K4">
        <v>5055</v>
      </c>
      <c r="L4">
        <v>59733</v>
      </c>
      <c r="M4" t="s">
        <v>167</v>
      </c>
      <c r="N4">
        <v>77.63</v>
      </c>
      <c r="O4">
        <v>5331</v>
      </c>
      <c r="P4">
        <v>61525</v>
      </c>
      <c r="Q4" t="s">
        <v>168</v>
      </c>
      <c r="R4">
        <v>77.7</v>
      </c>
      <c r="S4">
        <v>5490</v>
      </c>
      <c r="T4">
        <v>66906</v>
      </c>
      <c r="U4" t="s">
        <v>169</v>
      </c>
      <c r="V4">
        <v>79.680000000000007</v>
      </c>
      <c r="W4">
        <v>5547</v>
      </c>
      <c r="X4">
        <v>66906</v>
      </c>
      <c r="Y4" t="s">
        <v>170</v>
      </c>
      <c r="Z4">
        <v>80.67</v>
      </c>
      <c r="AA4">
        <v>5512</v>
      </c>
      <c r="AB4">
        <v>66906</v>
      </c>
      <c r="AC4" t="s">
        <v>171</v>
      </c>
      <c r="AD4">
        <v>79.010000000000005</v>
      </c>
      <c r="AE4">
        <v>5574</v>
      </c>
      <c r="AF4">
        <v>66906</v>
      </c>
      <c r="AG4" t="s">
        <v>172</v>
      </c>
      <c r="AH4">
        <v>83.68</v>
      </c>
      <c r="AI4">
        <v>5635</v>
      </c>
      <c r="AJ4" t="s">
        <v>173</v>
      </c>
      <c r="AK4" t="s">
        <v>173</v>
      </c>
      <c r="AL4">
        <v>88.13</v>
      </c>
      <c r="AM4">
        <v>5199</v>
      </c>
      <c r="AN4" t="s">
        <v>173</v>
      </c>
      <c r="AO4" t="s">
        <v>173</v>
      </c>
      <c r="AP4">
        <v>90.68</v>
      </c>
      <c r="AQ4">
        <v>5237</v>
      </c>
      <c r="AR4" t="s">
        <v>173</v>
      </c>
      <c r="AS4" t="s">
        <v>173</v>
      </c>
      <c r="AT4">
        <v>91.98</v>
      </c>
      <c r="AU4">
        <v>5406</v>
      </c>
      <c r="AV4" t="s">
        <v>173</v>
      </c>
      <c r="AW4" t="s">
        <v>173</v>
      </c>
    </row>
    <row r="5" spans="1:49" x14ac:dyDescent="0.2">
      <c r="A5" t="s">
        <v>30</v>
      </c>
      <c r="B5">
        <v>67.989999999999995</v>
      </c>
      <c r="C5">
        <v>5042</v>
      </c>
      <c r="D5">
        <v>51481</v>
      </c>
      <c r="E5" t="s">
        <v>174</v>
      </c>
      <c r="F5">
        <v>71.400000000000006</v>
      </c>
      <c r="G5">
        <v>5162</v>
      </c>
      <c r="H5">
        <v>53004</v>
      </c>
      <c r="I5" t="s">
        <v>175</v>
      </c>
      <c r="J5">
        <v>74.540000000000006</v>
      </c>
      <c r="K5">
        <v>5225</v>
      </c>
      <c r="L5">
        <v>53676</v>
      </c>
      <c r="M5" t="s">
        <v>176</v>
      </c>
      <c r="N5">
        <v>76.42</v>
      </c>
      <c r="O5">
        <v>5092</v>
      </c>
      <c r="P5">
        <v>54222</v>
      </c>
      <c r="Q5" t="s">
        <v>177</v>
      </c>
      <c r="R5">
        <v>76.98</v>
      </c>
      <c r="S5">
        <v>4944</v>
      </c>
      <c r="T5">
        <v>53973</v>
      </c>
      <c r="U5" t="s">
        <v>178</v>
      </c>
      <c r="V5">
        <v>79.260000000000005</v>
      </c>
      <c r="W5">
        <v>4933</v>
      </c>
      <c r="X5">
        <v>54083</v>
      </c>
      <c r="Y5" t="s">
        <v>179</v>
      </c>
      <c r="Z5">
        <v>79.09</v>
      </c>
      <c r="AA5">
        <v>5228</v>
      </c>
      <c r="AB5">
        <v>55092</v>
      </c>
      <c r="AC5" t="s">
        <v>180</v>
      </c>
      <c r="AD5">
        <v>73.64</v>
      </c>
      <c r="AE5">
        <v>5992</v>
      </c>
      <c r="AF5">
        <v>57391</v>
      </c>
      <c r="AG5" t="s">
        <v>181</v>
      </c>
      <c r="AH5">
        <v>73.5</v>
      </c>
      <c r="AI5">
        <v>6095</v>
      </c>
      <c r="AJ5">
        <v>58012</v>
      </c>
      <c r="AK5" t="s">
        <v>182</v>
      </c>
      <c r="AL5">
        <v>71.650000000000006</v>
      </c>
      <c r="AM5">
        <v>5978</v>
      </c>
      <c r="AN5">
        <v>58687</v>
      </c>
      <c r="AO5" t="s">
        <v>183</v>
      </c>
      <c r="AP5">
        <v>71.760000000000005</v>
      </c>
      <c r="AQ5">
        <v>6069</v>
      </c>
      <c r="AR5">
        <v>59591</v>
      </c>
      <c r="AS5" t="s">
        <v>184</v>
      </c>
      <c r="AT5">
        <v>71.53</v>
      </c>
      <c r="AU5">
        <v>6085</v>
      </c>
      <c r="AV5">
        <v>59931</v>
      </c>
      <c r="AW5" t="s">
        <v>185</v>
      </c>
    </row>
    <row r="6" spans="1:49" x14ac:dyDescent="0.2">
      <c r="A6" t="s">
        <v>186</v>
      </c>
      <c r="B6">
        <v>43.57</v>
      </c>
      <c r="C6">
        <v>3860</v>
      </c>
      <c r="D6" t="s">
        <v>173</v>
      </c>
      <c r="E6" t="s">
        <v>173</v>
      </c>
      <c r="F6">
        <v>43.57</v>
      </c>
      <c r="G6">
        <v>3860</v>
      </c>
      <c r="H6" t="s">
        <v>173</v>
      </c>
      <c r="I6" t="s">
        <v>173</v>
      </c>
      <c r="J6">
        <v>43.57</v>
      </c>
      <c r="K6">
        <v>3860</v>
      </c>
      <c r="L6" t="s">
        <v>173</v>
      </c>
      <c r="M6" t="s">
        <v>173</v>
      </c>
      <c r="N6">
        <v>43.57</v>
      </c>
      <c r="O6">
        <v>3860</v>
      </c>
      <c r="P6" t="s">
        <v>173</v>
      </c>
      <c r="Q6" t="s">
        <v>173</v>
      </c>
      <c r="R6">
        <v>43.57</v>
      </c>
      <c r="S6">
        <v>3860</v>
      </c>
      <c r="T6" t="s">
        <v>173</v>
      </c>
      <c r="U6" t="s">
        <v>173</v>
      </c>
      <c r="V6">
        <v>43.57</v>
      </c>
      <c r="W6">
        <v>3860</v>
      </c>
      <c r="X6" t="s">
        <v>173</v>
      </c>
      <c r="Y6" t="s">
        <v>173</v>
      </c>
      <c r="Z6">
        <v>43.57</v>
      </c>
      <c r="AA6">
        <v>3860</v>
      </c>
      <c r="AB6" t="s">
        <v>173</v>
      </c>
      <c r="AC6" t="s">
        <v>173</v>
      </c>
      <c r="AD6">
        <v>43.57</v>
      </c>
      <c r="AE6">
        <v>3860</v>
      </c>
      <c r="AF6" t="s">
        <v>173</v>
      </c>
      <c r="AG6" t="s">
        <v>173</v>
      </c>
      <c r="AH6">
        <v>43.56</v>
      </c>
      <c r="AI6">
        <v>3833</v>
      </c>
      <c r="AJ6" t="s">
        <v>173</v>
      </c>
      <c r="AK6" t="s">
        <v>173</v>
      </c>
      <c r="AL6" t="s">
        <v>173</v>
      </c>
      <c r="AM6" t="s">
        <v>173</v>
      </c>
      <c r="AN6" t="s">
        <v>173</v>
      </c>
      <c r="AO6" t="s">
        <v>173</v>
      </c>
      <c r="AP6" t="s">
        <v>173</v>
      </c>
      <c r="AQ6" t="s">
        <v>173</v>
      </c>
      <c r="AR6" t="s">
        <v>173</v>
      </c>
      <c r="AS6" t="s">
        <v>173</v>
      </c>
      <c r="AT6" t="s">
        <v>173</v>
      </c>
      <c r="AU6" t="s">
        <v>173</v>
      </c>
      <c r="AV6" t="s">
        <v>173</v>
      </c>
      <c r="AW6" t="s">
        <v>173</v>
      </c>
    </row>
    <row r="7" spans="1:49" x14ac:dyDescent="0.2">
      <c r="A7" t="s">
        <v>187</v>
      </c>
      <c r="B7">
        <v>69.02</v>
      </c>
      <c r="C7">
        <v>5309</v>
      </c>
      <c r="D7" t="s">
        <v>173</v>
      </c>
      <c r="E7" t="s">
        <v>173</v>
      </c>
      <c r="F7">
        <v>72.989999999999995</v>
      </c>
      <c r="G7">
        <v>5531</v>
      </c>
      <c r="H7" t="s">
        <v>173</v>
      </c>
      <c r="I7" t="s">
        <v>173</v>
      </c>
      <c r="J7">
        <v>75.06</v>
      </c>
      <c r="K7">
        <v>5664</v>
      </c>
      <c r="L7" t="s">
        <v>173</v>
      </c>
      <c r="M7" t="s">
        <v>173</v>
      </c>
      <c r="N7">
        <v>70.22</v>
      </c>
      <c r="O7">
        <v>5920</v>
      </c>
      <c r="P7" t="s">
        <v>173</v>
      </c>
      <c r="Q7" t="s">
        <v>173</v>
      </c>
      <c r="R7">
        <v>66.95</v>
      </c>
      <c r="S7">
        <v>5614</v>
      </c>
      <c r="T7" t="s">
        <v>173</v>
      </c>
      <c r="U7" t="s">
        <v>173</v>
      </c>
      <c r="V7">
        <v>67.06</v>
      </c>
      <c r="W7">
        <v>5714</v>
      </c>
      <c r="X7" t="s">
        <v>173</v>
      </c>
      <c r="Y7" t="s">
        <v>173</v>
      </c>
      <c r="Z7">
        <v>71.040000000000006</v>
      </c>
      <c r="AA7">
        <v>6101</v>
      </c>
      <c r="AB7" t="s">
        <v>173</v>
      </c>
      <c r="AC7" t="s">
        <v>173</v>
      </c>
      <c r="AD7">
        <v>73.680000000000007</v>
      </c>
      <c r="AE7">
        <v>6255</v>
      </c>
      <c r="AF7" t="s">
        <v>173</v>
      </c>
      <c r="AG7" t="s">
        <v>173</v>
      </c>
      <c r="AH7">
        <v>80.12</v>
      </c>
      <c r="AI7">
        <v>6232</v>
      </c>
      <c r="AJ7" t="s">
        <v>173</v>
      </c>
      <c r="AK7" t="s">
        <v>173</v>
      </c>
      <c r="AL7">
        <v>73.73</v>
      </c>
      <c r="AM7">
        <v>6353</v>
      </c>
      <c r="AN7" t="s">
        <v>173</v>
      </c>
      <c r="AO7" t="s">
        <v>173</v>
      </c>
      <c r="AP7">
        <v>73.2</v>
      </c>
      <c r="AQ7">
        <v>6346</v>
      </c>
      <c r="AR7" t="s">
        <v>173</v>
      </c>
      <c r="AS7" t="s">
        <v>173</v>
      </c>
      <c r="AT7">
        <v>73.08</v>
      </c>
      <c r="AU7">
        <v>6410</v>
      </c>
      <c r="AV7" t="s">
        <v>173</v>
      </c>
      <c r="AW7" t="s">
        <v>173</v>
      </c>
    </row>
    <row r="8" spans="1:49" x14ac:dyDescent="0.2">
      <c r="A8" t="s">
        <v>2</v>
      </c>
      <c r="B8" t="s">
        <v>173</v>
      </c>
      <c r="C8" t="s">
        <v>173</v>
      </c>
      <c r="D8" t="s">
        <v>173</v>
      </c>
      <c r="E8" t="s">
        <v>173</v>
      </c>
      <c r="F8" t="s">
        <v>173</v>
      </c>
      <c r="G8" t="s">
        <v>173</v>
      </c>
      <c r="H8" t="s">
        <v>173</v>
      </c>
      <c r="I8" t="s">
        <v>173</v>
      </c>
      <c r="J8" t="s">
        <v>173</v>
      </c>
      <c r="K8" t="s">
        <v>173</v>
      </c>
      <c r="L8" t="s">
        <v>173</v>
      </c>
      <c r="M8" t="s">
        <v>173</v>
      </c>
      <c r="N8" t="s">
        <v>173</v>
      </c>
      <c r="O8" t="s">
        <v>173</v>
      </c>
      <c r="P8" t="s">
        <v>173</v>
      </c>
      <c r="Q8" t="s">
        <v>173</v>
      </c>
      <c r="R8" t="s">
        <v>173</v>
      </c>
      <c r="S8" t="s">
        <v>173</v>
      </c>
      <c r="T8" t="s">
        <v>173</v>
      </c>
      <c r="U8" t="s">
        <v>173</v>
      </c>
      <c r="V8" t="s">
        <v>173</v>
      </c>
      <c r="W8" t="s">
        <v>173</v>
      </c>
      <c r="X8" t="s">
        <v>173</v>
      </c>
      <c r="Y8" t="s">
        <v>173</v>
      </c>
      <c r="Z8" t="s">
        <v>173</v>
      </c>
      <c r="AA8" t="s">
        <v>173</v>
      </c>
      <c r="AB8" t="s">
        <v>173</v>
      </c>
      <c r="AC8" t="s">
        <v>173</v>
      </c>
      <c r="AD8" t="s">
        <v>173</v>
      </c>
      <c r="AE8" t="s">
        <v>173</v>
      </c>
      <c r="AF8" t="s">
        <v>173</v>
      </c>
      <c r="AG8" t="s">
        <v>173</v>
      </c>
      <c r="AH8" t="s">
        <v>173</v>
      </c>
      <c r="AI8" t="s">
        <v>173</v>
      </c>
      <c r="AJ8" t="s">
        <v>173</v>
      </c>
      <c r="AK8" t="s">
        <v>173</v>
      </c>
      <c r="AL8" t="s">
        <v>173</v>
      </c>
      <c r="AM8" t="s">
        <v>173</v>
      </c>
      <c r="AN8" t="s">
        <v>173</v>
      </c>
      <c r="AO8" t="s">
        <v>173</v>
      </c>
      <c r="AP8" t="s">
        <v>173</v>
      </c>
      <c r="AQ8" t="s">
        <v>173</v>
      </c>
      <c r="AR8" t="s">
        <v>173</v>
      </c>
      <c r="AS8" t="s">
        <v>173</v>
      </c>
      <c r="AT8" t="s">
        <v>173</v>
      </c>
      <c r="AU8" t="s">
        <v>173</v>
      </c>
      <c r="AV8" t="s">
        <v>173</v>
      </c>
      <c r="AW8" t="s">
        <v>173</v>
      </c>
    </row>
    <row r="9" spans="1:49" x14ac:dyDescent="0.2">
      <c r="A9" t="s">
        <v>32</v>
      </c>
      <c r="B9">
        <v>65.209999999999994</v>
      </c>
      <c r="C9">
        <v>4612</v>
      </c>
      <c r="D9">
        <v>53125</v>
      </c>
      <c r="E9" t="s">
        <v>188</v>
      </c>
      <c r="F9">
        <v>65.34</v>
      </c>
      <c r="G9">
        <v>4745</v>
      </c>
      <c r="H9">
        <v>54447</v>
      </c>
      <c r="I9" t="s">
        <v>189</v>
      </c>
      <c r="J9">
        <v>66.44</v>
      </c>
      <c r="K9">
        <v>4783</v>
      </c>
      <c r="L9">
        <v>54823</v>
      </c>
      <c r="M9" t="s">
        <v>190</v>
      </c>
      <c r="N9">
        <v>68.760000000000005</v>
      </c>
      <c r="O9">
        <v>4851</v>
      </c>
      <c r="P9">
        <v>54812</v>
      </c>
      <c r="Q9" t="s">
        <v>191</v>
      </c>
      <c r="R9">
        <v>69.8</v>
      </c>
      <c r="S9">
        <v>4805</v>
      </c>
      <c r="T9">
        <v>55097</v>
      </c>
      <c r="U9" t="s">
        <v>182</v>
      </c>
      <c r="V9">
        <v>70.709999999999994</v>
      </c>
      <c r="W9">
        <v>4905</v>
      </c>
      <c r="X9">
        <v>55478</v>
      </c>
      <c r="Y9" t="s">
        <v>192</v>
      </c>
      <c r="Z9">
        <v>71.12</v>
      </c>
      <c r="AA9">
        <v>4977</v>
      </c>
      <c r="AB9">
        <v>56074</v>
      </c>
      <c r="AC9" t="s">
        <v>193</v>
      </c>
      <c r="AD9">
        <v>73.34</v>
      </c>
      <c r="AE9">
        <v>4940</v>
      </c>
      <c r="AF9">
        <v>55636</v>
      </c>
      <c r="AG9" t="s">
        <v>167</v>
      </c>
      <c r="AH9">
        <v>72.040000000000006</v>
      </c>
      <c r="AI9">
        <v>5000</v>
      </c>
      <c r="AJ9">
        <v>56028</v>
      </c>
      <c r="AK9" t="s">
        <v>194</v>
      </c>
      <c r="AL9">
        <v>68.489999999999995</v>
      </c>
      <c r="AM9">
        <v>5051</v>
      </c>
      <c r="AN9">
        <v>56250</v>
      </c>
      <c r="AO9" t="s">
        <v>195</v>
      </c>
      <c r="AP9">
        <v>69.010000000000005</v>
      </c>
      <c r="AQ9">
        <v>4999</v>
      </c>
      <c r="AR9">
        <v>55389</v>
      </c>
      <c r="AS9" t="s">
        <v>196</v>
      </c>
      <c r="AT9">
        <v>67.95</v>
      </c>
      <c r="AU9">
        <v>5152</v>
      </c>
      <c r="AV9">
        <v>54267</v>
      </c>
      <c r="AW9" t="s">
        <v>197</v>
      </c>
    </row>
    <row r="10" spans="1:49" x14ac:dyDescent="0.2">
      <c r="A10" t="s">
        <v>198</v>
      </c>
      <c r="B10">
        <v>93.33</v>
      </c>
      <c r="C10">
        <v>5600</v>
      </c>
      <c r="D10">
        <v>101262</v>
      </c>
      <c r="E10" t="s">
        <v>199</v>
      </c>
      <c r="F10">
        <v>93.33</v>
      </c>
      <c r="G10">
        <v>5600</v>
      </c>
      <c r="H10">
        <v>100461</v>
      </c>
      <c r="I10" t="s">
        <v>200</v>
      </c>
      <c r="J10">
        <v>84.97</v>
      </c>
      <c r="K10">
        <v>5025</v>
      </c>
      <c r="L10">
        <v>101341</v>
      </c>
      <c r="M10" t="s">
        <v>201</v>
      </c>
      <c r="N10">
        <v>80.2</v>
      </c>
      <c r="O10">
        <v>5383</v>
      </c>
      <c r="P10">
        <v>101497</v>
      </c>
      <c r="Q10" t="s">
        <v>202</v>
      </c>
      <c r="R10">
        <v>70.55</v>
      </c>
      <c r="S10">
        <v>6133</v>
      </c>
      <c r="T10">
        <v>103229</v>
      </c>
      <c r="U10" t="s">
        <v>203</v>
      </c>
      <c r="V10">
        <v>73.16</v>
      </c>
      <c r="W10">
        <v>6200</v>
      </c>
      <c r="X10">
        <v>104641</v>
      </c>
      <c r="Y10" t="s">
        <v>204</v>
      </c>
      <c r="Z10">
        <v>91.07</v>
      </c>
      <c r="AA10">
        <v>9953</v>
      </c>
      <c r="AB10">
        <v>104903</v>
      </c>
      <c r="AC10" t="s">
        <v>205</v>
      </c>
      <c r="AD10">
        <v>106.09</v>
      </c>
      <c r="AE10">
        <v>10333</v>
      </c>
      <c r="AF10">
        <v>103974</v>
      </c>
      <c r="AG10" t="s">
        <v>206</v>
      </c>
      <c r="AH10">
        <v>99.1</v>
      </c>
      <c r="AI10">
        <v>8811</v>
      </c>
      <c r="AJ10">
        <v>105566</v>
      </c>
      <c r="AK10" t="s">
        <v>207</v>
      </c>
      <c r="AL10">
        <v>77.52</v>
      </c>
      <c r="AM10" t="s">
        <v>173</v>
      </c>
      <c r="AN10">
        <v>105782</v>
      </c>
      <c r="AO10" t="s">
        <v>208</v>
      </c>
      <c r="AP10">
        <v>77.290000000000006</v>
      </c>
      <c r="AQ10" t="s">
        <v>173</v>
      </c>
      <c r="AR10">
        <v>103361</v>
      </c>
      <c r="AS10" t="s">
        <v>209</v>
      </c>
      <c r="AT10">
        <v>76.959999999999994</v>
      </c>
      <c r="AU10" t="s">
        <v>173</v>
      </c>
      <c r="AV10">
        <v>107508</v>
      </c>
      <c r="AW10" t="s">
        <v>210</v>
      </c>
    </row>
    <row r="11" spans="1:49" x14ac:dyDescent="0.2">
      <c r="A11" t="s">
        <v>31</v>
      </c>
      <c r="B11">
        <v>66.33</v>
      </c>
      <c r="C11">
        <v>3989</v>
      </c>
      <c r="D11">
        <v>48765</v>
      </c>
      <c r="E11" t="s">
        <v>211</v>
      </c>
      <c r="F11">
        <v>67.45</v>
      </c>
      <c r="G11">
        <v>4077</v>
      </c>
      <c r="H11">
        <v>50411</v>
      </c>
      <c r="I11" t="s">
        <v>212</v>
      </c>
      <c r="J11">
        <v>70.34</v>
      </c>
      <c r="K11">
        <v>4305</v>
      </c>
      <c r="L11">
        <v>50254</v>
      </c>
      <c r="M11" t="s">
        <v>213</v>
      </c>
      <c r="N11">
        <v>73.19</v>
      </c>
      <c r="O11">
        <v>4459</v>
      </c>
      <c r="P11">
        <v>49339</v>
      </c>
      <c r="Q11" t="s">
        <v>214</v>
      </c>
      <c r="R11">
        <v>73.22</v>
      </c>
      <c r="S11">
        <v>4390</v>
      </c>
      <c r="T11">
        <v>49931</v>
      </c>
      <c r="U11" t="s">
        <v>179</v>
      </c>
      <c r="V11">
        <v>73.61</v>
      </c>
      <c r="W11">
        <v>4484</v>
      </c>
      <c r="X11">
        <v>50074</v>
      </c>
      <c r="Y11" t="s">
        <v>215</v>
      </c>
      <c r="Z11">
        <v>75.3</v>
      </c>
      <c r="AA11">
        <v>4642</v>
      </c>
      <c r="AB11">
        <v>50541</v>
      </c>
      <c r="AC11" t="s">
        <v>155</v>
      </c>
      <c r="AD11">
        <v>77.17</v>
      </c>
      <c r="AE11">
        <v>4692</v>
      </c>
      <c r="AF11">
        <v>53801</v>
      </c>
      <c r="AG11" t="s">
        <v>180</v>
      </c>
      <c r="AH11">
        <v>75.72</v>
      </c>
      <c r="AI11">
        <v>4611</v>
      </c>
      <c r="AJ11">
        <v>53728</v>
      </c>
      <c r="AK11" t="s">
        <v>216</v>
      </c>
      <c r="AL11">
        <v>73.569999999999993</v>
      </c>
      <c r="AM11">
        <v>4462</v>
      </c>
      <c r="AN11">
        <v>52652</v>
      </c>
      <c r="AO11" t="s">
        <v>217</v>
      </c>
      <c r="AP11">
        <v>74.31</v>
      </c>
      <c r="AQ11">
        <v>4449</v>
      </c>
      <c r="AR11">
        <v>53089</v>
      </c>
      <c r="AS11" t="s">
        <v>213</v>
      </c>
      <c r="AT11">
        <v>73.55</v>
      </c>
      <c r="AU11">
        <v>4453</v>
      </c>
      <c r="AV11">
        <v>54097</v>
      </c>
      <c r="AW11" t="s">
        <v>211</v>
      </c>
    </row>
    <row r="12" spans="1:49" x14ac:dyDescent="0.2">
      <c r="A12" t="s">
        <v>218</v>
      </c>
      <c r="B12">
        <v>82.31</v>
      </c>
      <c r="C12">
        <v>2295</v>
      </c>
      <c r="D12" t="s">
        <v>173</v>
      </c>
      <c r="E12" t="s">
        <v>173</v>
      </c>
      <c r="F12">
        <v>82.31</v>
      </c>
      <c r="G12">
        <v>2295</v>
      </c>
      <c r="H12" t="s">
        <v>173</v>
      </c>
      <c r="I12" t="s">
        <v>173</v>
      </c>
      <c r="J12">
        <v>82.31</v>
      </c>
      <c r="K12">
        <v>2295</v>
      </c>
      <c r="L12" t="s">
        <v>173</v>
      </c>
      <c r="M12" t="s">
        <v>173</v>
      </c>
      <c r="N12">
        <v>82.31</v>
      </c>
      <c r="O12">
        <v>2295</v>
      </c>
      <c r="P12" t="s">
        <v>173</v>
      </c>
      <c r="Q12" t="s">
        <v>173</v>
      </c>
      <c r="R12">
        <v>82.31</v>
      </c>
      <c r="S12">
        <v>2295</v>
      </c>
      <c r="T12" t="s">
        <v>173</v>
      </c>
      <c r="U12" t="s">
        <v>173</v>
      </c>
      <c r="V12">
        <v>82.31</v>
      </c>
      <c r="W12">
        <v>2295</v>
      </c>
      <c r="X12" t="s">
        <v>173</v>
      </c>
      <c r="Y12" t="s">
        <v>173</v>
      </c>
      <c r="Z12">
        <v>82.31</v>
      </c>
      <c r="AA12">
        <v>2295</v>
      </c>
      <c r="AB12" t="s">
        <v>173</v>
      </c>
      <c r="AC12" t="s">
        <v>173</v>
      </c>
      <c r="AD12">
        <v>82.31</v>
      </c>
      <c r="AE12">
        <v>2295</v>
      </c>
      <c r="AF12" t="s">
        <v>173</v>
      </c>
      <c r="AG12" t="s">
        <v>173</v>
      </c>
      <c r="AH12">
        <v>82.31</v>
      </c>
      <c r="AI12">
        <v>2295</v>
      </c>
      <c r="AJ12" t="s">
        <v>173</v>
      </c>
      <c r="AK12" t="s">
        <v>173</v>
      </c>
      <c r="AL12" t="s">
        <v>173</v>
      </c>
      <c r="AM12" t="s">
        <v>173</v>
      </c>
      <c r="AN12" t="s">
        <v>173</v>
      </c>
      <c r="AO12" t="s">
        <v>173</v>
      </c>
      <c r="AP12" t="s">
        <v>173</v>
      </c>
      <c r="AQ12" t="s">
        <v>173</v>
      </c>
      <c r="AR12" t="s">
        <v>173</v>
      </c>
      <c r="AS12" t="s">
        <v>173</v>
      </c>
      <c r="AT12" t="s">
        <v>173</v>
      </c>
      <c r="AU12" t="s">
        <v>173</v>
      </c>
      <c r="AV12" t="s">
        <v>173</v>
      </c>
      <c r="AW12" t="s">
        <v>173</v>
      </c>
    </row>
    <row r="13" spans="1:49" x14ac:dyDescent="0.2">
      <c r="A13" t="s">
        <v>219</v>
      </c>
      <c r="B13">
        <v>86.53</v>
      </c>
      <c r="C13">
        <v>8942</v>
      </c>
      <c r="D13">
        <v>73015</v>
      </c>
      <c r="E13" t="s">
        <v>220</v>
      </c>
      <c r="F13">
        <v>88.3</v>
      </c>
      <c r="G13">
        <v>9208</v>
      </c>
      <c r="H13">
        <v>73108</v>
      </c>
      <c r="I13" t="s">
        <v>221</v>
      </c>
      <c r="J13">
        <v>90.26</v>
      </c>
      <c r="K13">
        <v>9419</v>
      </c>
      <c r="L13">
        <v>73692</v>
      </c>
      <c r="M13" t="s">
        <v>222</v>
      </c>
      <c r="N13">
        <v>90.08</v>
      </c>
      <c r="O13">
        <v>9270</v>
      </c>
      <c r="P13">
        <v>74141</v>
      </c>
      <c r="Q13" t="s">
        <v>223</v>
      </c>
      <c r="R13">
        <v>90.44</v>
      </c>
      <c r="S13">
        <v>9084</v>
      </c>
      <c r="T13">
        <v>75201</v>
      </c>
      <c r="U13" t="s">
        <v>224</v>
      </c>
      <c r="V13">
        <v>90.98</v>
      </c>
      <c r="W13">
        <v>9101</v>
      </c>
      <c r="X13">
        <v>75890</v>
      </c>
      <c r="Y13" t="s">
        <v>225</v>
      </c>
      <c r="Z13">
        <v>91.98</v>
      </c>
      <c r="AA13">
        <v>9104</v>
      </c>
      <c r="AB13">
        <v>75989</v>
      </c>
      <c r="AC13" t="s">
        <v>226</v>
      </c>
      <c r="AD13">
        <v>93.34</v>
      </c>
      <c r="AE13">
        <v>9083</v>
      </c>
      <c r="AF13">
        <v>76415</v>
      </c>
      <c r="AG13" t="s">
        <v>183</v>
      </c>
      <c r="AH13">
        <v>93.32</v>
      </c>
      <c r="AI13">
        <v>9132</v>
      </c>
      <c r="AJ13">
        <v>76084</v>
      </c>
      <c r="AK13" t="s">
        <v>188</v>
      </c>
      <c r="AL13">
        <v>91.98</v>
      </c>
      <c r="AM13">
        <v>8687</v>
      </c>
      <c r="AN13">
        <v>76498</v>
      </c>
      <c r="AO13" t="s">
        <v>224</v>
      </c>
      <c r="AP13">
        <v>90.33</v>
      </c>
      <c r="AQ13">
        <v>8545</v>
      </c>
      <c r="AR13">
        <v>77319</v>
      </c>
      <c r="AS13" t="s">
        <v>227</v>
      </c>
      <c r="AT13">
        <v>88.43</v>
      </c>
      <c r="AU13">
        <v>8489</v>
      </c>
      <c r="AV13">
        <v>77184</v>
      </c>
      <c r="AW13" t="s">
        <v>228</v>
      </c>
    </row>
    <row r="14" spans="1:49" x14ac:dyDescent="0.2">
      <c r="A14" t="s">
        <v>229</v>
      </c>
      <c r="B14">
        <v>81.44</v>
      </c>
      <c r="C14">
        <v>7457</v>
      </c>
      <c r="D14">
        <v>96925</v>
      </c>
      <c r="E14" t="s">
        <v>230</v>
      </c>
      <c r="F14">
        <v>82.78</v>
      </c>
      <c r="G14">
        <v>7639</v>
      </c>
      <c r="H14">
        <v>90574</v>
      </c>
      <c r="I14" t="s">
        <v>231</v>
      </c>
      <c r="J14">
        <v>86.6</v>
      </c>
      <c r="K14">
        <v>8115</v>
      </c>
      <c r="L14">
        <v>87999</v>
      </c>
      <c r="M14" t="s">
        <v>232</v>
      </c>
      <c r="N14">
        <v>89.67</v>
      </c>
      <c r="O14">
        <v>8635</v>
      </c>
      <c r="P14">
        <v>99145</v>
      </c>
      <c r="Q14" t="s">
        <v>233</v>
      </c>
      <c r="R14">
        <v>86.95</v>
      </c>
      <c r="S14">
        <v>8059</v>
      </c>
      <c r="T14">
        <v>92007</v>
      </c>
      <c r="U14" t="s">
        <v>234</v>
      </c>
      <c r="V14">
        <v>83.37</v>
      </c>
      <c r="W14">
        <v>6908</v>
      </c>
      <c r="X14">
        <v>87773</v>
      </c>
      <c r="Y14" t="s">
        <v>235</v>
      </c>
      <c r="Z14">
        <v>80.599999999999994</v>
      </c>
      <c r="AA14">
        <v>5950</v>
      </c>
      <c r="AB14">
        <v>87068</v>
      </c>
      <c r="AC14" t="s">
        <v>236</v>
      </c>
      <c r="AD14">
        <v>81.900000000000006</v>
      </c>
      <c r="AE14">
        <v>6054</v>
      </c>
      <c r="AF14">
        <v>87121</v>
      </c>
      <c r="AG14" t="s">
        <v>237</v>
      </c>
      <c r="AH14">
        <v>81.7</v>
      </c>
      <c r="AI14">
        <v>6156</v>
      </c>
      <c r="AJ14">
        <v>54158</v>
      </c>
      <c r="AK14" t="s">
        <v>238</v>
      </c>
      <c r="AL14">
        <v>81.22</v>
      </c>
      <c r="AM14">
        <v>5892</v>
      </c>
      <c r="AN14">
        <v>54828</v>
      </c>
      <c r="AO14" t="s">
        <v>239</v>
      </c>
      <c r="AP14">
        <v>84.91</v>
      </c>
      <c r="AQ14">
        <v>6110</v>
      </c>
      <c r="AR14">
        <v>54814</v>
      </c>
      <c r="AS14" t="s">
        <v>240</v>
      </c>
      <c r="AT14">
        <v>84.26</v>
      </c>
      <c r="AU14">
        <v>6169</v>
      </c>
      <c r="AV14">
        <v>62989</v>
      </c>
      <c r="AW14" t="s">
        <v>241</v>
      </c>
    </row>
    <row r="15" spans="1:49" x14ac:dyDescent="0.2">
      <c r="A15" t="s">
        <v>242</v>
      </c>
      <c r="B15" t="s">
        <v>173</v>
      </c>
      <c r="C15" t="s">
        <v>173</v>
      </c>
      <c r="D15" t="s">
        <v>173</v>
      </c>
      <c r="E15" t="s">
        <v>173</v>
      </c>
      <c r="F15" t="s">
        <v>173</v>
      </c>
      <c r="G15" t="s">
        <v>173</v>
      </c>
      <c r="H15" t="s">
        <v>173</v>
      </c>
      <c r="I15" t="s">
        <v>173</v>
      </c>
      <c r="J15" t="s">
        <v>173</v>
      </c>
      <c r="K15" t="s">
        <v>173</v>
      </c>
      <c r="L15" t="s">
        <v>173</v>
      </c>
      <c r="M15" t="s">
        <v>173</v>
      </c>
      <c r="N15" t="s">
        <v>173</v>
      </c>
      <c r="O15" t="s">
        <v>173</v>
      </c>
      <c r="P15" t="s">
        <v>173</v>
      </c>
      <c r="Q15" t="s">
        <v>173</v>
      </c>
      <c r="R15" t="s">
        <v>173</v>
      </c>
      <c r="S15" t="s">
        <v>173</v>
      </c>
      <c r="T15" t="s">
        <v>173</v>
      </c>
      <c r="U15" t="s">
        <v>173</v>
      </c>
      <c r="V15" t="s">
        <v>173</v>
      </c>
      <c r="W15" t="s">
        <v>173</v>
      </c>
      <c r="X15" t="s">
        <v>173</v>
      </c>
      <c r="Y15" t="s">
        <v>173</v>
      </c>
      <c r="Z15" t="s">
        <v>173</v>
      </c>
      <c r="AA15" t="s">
        <v>173</v>
      </c>
      <c r="AB15" t="s">
        <v>173</v>
      </c>
      <c r="AC15" t="s">
        <v>173</v>
      </c>
      <c r="AD15" t="s">
        <v>173</v>
      </c>
      <c r="AE15" t="s">
        <v>173</v>
      </c>
      <c r="AF15" t="s">
        <v>173</v>
      </c>
      <c r="AG15" t="s">
        <v>173</v>
      </c>
      <c r="AH15" t="s">
        <v>173</v>
      </c>
      <c r="AI15" t="s">
        <v>173</v>
      </c>
      <c r="AJ15" t="s">
        <v>173</v>
      </c>
      <c r="AK15" t="s">
        <v>173</v>
      </c>
      <c r="AL15">
        <v>68.150000000000006</v>
      </c>
      <c r="AM15">
        <v>5658</v>
      </c>
      <c r="AN15" t="s">
        <v>173</v>
      </c>
      <c r="AO15" t="s">
        <v>173</v>
      </c>
      <c r="AP15">
        <v>69.27</v>
      </c>
      <c r="AQ15">
        <v>5880</v>
      </c>
      <c r="AR15" t="s">
        <v>173</v>
      </c>
      <c r="AS15" t="s">
        <v>173</v>
      </c>
      <c r="AT15">
        <v>67.98</v>
      </c>
      <c r="AU15">
        <v>5736</v>
      </c>
      <c r="AV15" t="s">
        <v>173</v>
      </c>
      <c r="AW15" t="s">
        <v>173</v>
      </c>
    </row>
    <row r="16" spans="1:49" x14ac:dyDescent="0.2">
      <c r="A16" t="s">
        <v>243</v>
      </c>
      <c r="B16">
        <v>59.2</v>
      </c>
      <c r="C16">
        <v>4182</v>
      </c>
      <c r="D16" t="s">
        <v>173</v>
      </c>
      <c r="E16" t="s">
        <v>173</v>
      </c>
      <c r="F16">
        <v>60.06</v>
      </c>
      <c r="G16">
        <v>4019</v>
      </c>
      <c r="H16" t="s">
        <v>173</v>
      </c>
      <c r="I16" t="s">
        <v>173</v>
      </c>
      <c r="J16">
        <v>58.92</v>
      </c>
      <c r="K16">
        <v>3910</v>
      </c>
      <c r="L16" t="s">
        <v>173</v>
      </c>
      <c r="M16" t="s">
        <v>173</v>
      </c>
      <c r="N16">
        <v>66.02</v>
      </c>
      <c r="O16">
        <v>3567</v>
      </c>
      <c r="P16" t="s">
        <v>173</v>
      </c>
      <c r="Q16" t="s">
        <v>173</v>
      </c>
      <c r="R16">
        <v>66.02</v>
      </c>
      <c r="S16">
        <v>4138</v>
      </c>
      <c r="T16" t="s">
        <v>173</v>
      </c>
      <c r="U16" t="s">
        <v>173</v>
      </c>
      <c r="V16">
        <v>67.41</v>
      </c>
      <c r="W16">
        <v>4267</v>
      </c>
      <c r="X16" t="s">
        <v>173</v>
      </c>
      <c r="Y16" t="s">
        <v>173</v>
      </c>
      <c r="Z16">
        <v>73.19</v>
      </c>
      <c r="AA16">
        <v>4492</v>
      </c>
      <c r="AB16" t="s">
        <v>173</v>
      </c>
      <c r="AC16" t="s">
        <v>173</v>
      </c>
      <c r="AD16">
        <v>73.86</v>
      </c>
      <c r="AE16">
        <v>4500</v>
      </c>
      <c r="AF16" t="s">
        <v>173</v>
      </c>
      <c r="AG16" t="s">
        <v>173</v>
      </c>
      <c r="AH16">
        <v>71.52</v>
      </c>
      <c r="AI16">
        <v>4622</v>
      </c>
      <c r="AJ16" t="s">
        <v>173</v>
      </c>
      <c r="AK16" t="s">
        <v>173</v>
      </c>
      <c r="AL16">
        <v>69.89</v>
      </c>
      <c r="AM16">
        <v>4285</v>
      </c>
      <c r="AN16" t="s">
        <v>173</v>
      </c>
      <c r="AO16" t="s">
        <v>173</v>
      </c>
      <c r="AP16">
        <v>69.430000000000007</v>
      </c>
      <c r="AQ16">
        <v>4340</v>
      </c>
      <c r="AR16" t="s">
        <v>173</v>
      </c>
      <c r="AS16" t="s">
        <v>173</v>
      </c>
      <c r="AT16">
        <v>70.78</v>
      </c>
      <c r="AU16">
        <v>4233</v>
      </c>
      <c r="AV16" t="s">
        <v>173</v>
      </c>
      <c r="AW16" t="s">
        <v>173</v>
      </c>
    </row>
    <row r="17" spans="1:49" x14ac:dyDescent="0.2">
      <c r="A17" t="s">
        <v>244</v>
      </c>
      <c r="B17" t="s">
        <v>173</v>
      </c>
      <c r="C17" t="s">
        <v>173</v>
      </c>
      <c r="D17" t="s">
        <v>173</v>
      </c>
      <c r="E17" t="s">
        <v>173</v>
      </c>
      <c r="F17" t="s">
        <v>173</v>
      </c>
      <c r="G17" t="s">
        <v>173</v>
      </c>
      <c r="H17" t="s">
        <v>173</v>
      </c>
      <c r="I17" t="s">
        <v>173</v>
      </c>
      <c r="J17" t="s">
        <v>173</v>
      </c>
      <c r="K17" t="s">
        <v>173</v>
      </c>
      <c r="L17" t="s">
        <v>173</v>
      </c>
      <c r="M17" t="s">
        <v>173</v>
      </c>
      <c r="N17" t="s">
        <v>173</v>
      </c>
      <c r="O17" t="s">
        <v>173</v>
      </c>
      <c r="P17" t="s">
        <v>173</v>
      </c>
      <c r="Q17" t="s">
        <v>173</v>
      </c>
      <c r="R17" t="s">
        <v>173</v>
      </c>
      <c r="S17" t="s">
        <v>173</v>
      </c>
      <c r="T17" t="s">
        <v>173</v>
      </c>
      <c r="U17" t="s">
        <v>173</v>
      </c>
      <c r="V17" t="s">
        <v>173</v>
      </c>
      <c r="W17" t="s">
        <v>173</v>
      </c>
      <c r="X17" t="s">
        <v>173</v>
      </c>
      <c r="Y17" t="s">
        <v>173</v>
      </c>
      <c r="Z17" t="s">
        <v>173</v>
      </c>
      <c r="AA17" t="s">
        <v>173</v>
      </c>
      <c r="AB17" t="s">
        <v>173</v>
      </c>
      <c r="AC17" t="s">
        <v>173</v>
      </c>
      <c r="AD17">
        <v>66.23</v>
      </c>
      <c r="AE17">
        <v>5000</v>
      </c>
      <c r="AF17" t="s">
        <v>173</v>
      </c>
      <c r="AG17" t="s">
        <v>173</v>
      </c>
      <c r="AH17">
        <v>69.3</v>
      </c>
      <c r="AI17">
        <v>5198</v>
      </c>
      <c r="AJ17" t="s">
        <v>173</v>
      </c>
      <c r="AK17" t="s">
        <v>173</v>
      </c>
      <c r="AL17" t="s">
        <v>173</v>
      </c>
      <c r="AM17" t="s">
        <v>173</v>
      </c>
      <c r="AN17" t="s">
        <v>173</v>
      </c>
      <c r="AO17" t="s">
        <v>173</v>
      </c>
      <c r="AP17" t="s">
        <v>173</v>
      </c>
      <c r="AQ17" t="s">
        <v>173</v>
      </c>
      <c r="AR17" t="s">
        <v>173</v>
      </c>
      <c r="AS17" t="s">
        <v>173</v>
      </c>
      <c r="AT17" t="s">
        <v>173</v>
      </c>
      <c r="AU17" t="s">
        <v>173</v>
      </c>
      <c r="AV17" t="s">
        <v>173</v>
      </c>
      <c r="AW17" t="s">
        <v>173</v>
      </c>
    </row>
    <row r="18" spans="1:49" x14ac:dyDescent="0.2">
      <c r="A18" t="s">
        <v>245</v>
      </c>
      <c r="B18">
        <v>173.07</v>
      </c>
      <c r="C18">
        <v>7971</v>
      </c>
      <c r="D18" t="s">
        <v>173</v>
      </c>
      <c r="E18" t="s">
        <v>173</v>
      </c>
      <c r="F18">
        <v>173.07</v>
      </c>
      <c r="G18">
        <v>7971</v>
      </c>
      <c r="H18" t="s">
        <v>173</v>
      </c>
      <c r="I18" t="s">
        <v>173</v>
      </c>
      <c r="J18">
        <v>173.07</v>
      </c>
      <c r="K18">
        <v>7971</v>
      </c>
      <c r="L18" t="s">
        <v>173</v>
      </c>
      <c r="M18" t="s">
        <v>173</v>
      </c>
      <c r="N18">
        <v>173.07</v>
      </c>
      <c r="O18">
        <v>7971</v>
      </c>
      <c r="P18" t="s">
        <v>173</v>
      </c>
      <c r="Q18" t="s">
        <v>173</v>
      </c>
      <c r="R18">
        <v>173.07</v>
      </c>
      <c r="S18">
        <v>7971</v>
      </c>
      <c r="T18" t="s">
        <v>173</v>
      </c>
      <c r="U18" t="s">
        <v>173</v>
      </c>
      <c r="V18">
        <v>168.94</v>
      </c>
      <c r="W18">
        <v>7588</v>
      </c>
      <c r="X18" t="s">
        <v>173</v>
      </c>
      <c r="Y18" t="s">
        <v>173</v>
      </c>
      <c r="Z18">
        <v>168.94</v>
      </c>
      <c r="AA18">
        <v>7588</v>
      </c>
      <c r="AB18" t="s">
        <v>173</v>
      </c>
      <c r="AC18" t="s">
        <v>173</v>
      </c>
      <c r="AD18">
        <v>168.94</v>
      </c>
      <c r="AE18">
        <v>7588</v>
      </c>
      <c r="AF18" t="s">
        <v>173</v>
      </c>
      <c r="AG18" t="s">
        <v>173</v>
      </c>
      <c r="AH18">
        <v>168.94</v>
      </c>
      <c r="AI18">
        <v>7588</v>
      </c>
      <c r="AJ18" t="s">
        <v>173</v>
      </c>
      <c r="AK18" t="s">
        <v>173</v>
      </c>
      <c r="AL18" t="s">
        <v>173</v>
      </c>
      <c r="AM18" t="s">
        <v>173</v>
      </c>
      <c r="AN18" t="s">
        <v>173</v>
      </c>
      <c r="AO18" t="s">
        <v>173</v>
      </c>
      <c r="AP18" t="s">
        <v>173</v>
      </c>
      <c r="AQ18" t="s">
        <v>173</v>
      </c>
      <c r="AR18" t="s">
        <v>173</v>
      </c>
      <c r="AS18" t="s">
        <v>173</v>
      </c>
      <c r="AT18" t="s">
        <v>173</v>
      </c>
      <c r="AU18" t="s">
        <v>173</v>
      </c>
      <c r="AV18" t="s">
        <v>173</v>
      </c>
      <c r="AW18" t="s">
        <v>173</v>
      </c>
    </row>
    <row r="19" spans="1:49" x14ac:dyDescent="0.2">
      <c r="A19" t="s">
        <v>26</v>
      </c>
      <c r="B19">
        <v>78.25</v>
      </c>
      <c r="C19">
        <v>9469</v>
      </c>
      <c r="D19">
        <v>65889</v>
      </c>
      <c r="E19" t="s">
        <v>246</v>
      </c>
      <c r="F19">
        <v>79.05</v>
      </c>
      <c r="G19">
        <v>9624</v>
      </c>
      <c r="H19">
        <v>66885</v>
      </c>
      <c r="I19" t="s">
        <v>247</v>
      </c>
      <c r="J19">
        <v>80.56</v>
      </c>
      <c r="K19">
        <v>9787</v>
      </c>
      <c r="L19">
        <v>67210</v>
      </c>
      <c r="M19" t="s">
        <v>225</v>
      </c>
      <c r="N19">
        <v>82.68</v>
      </c>
      <c r="O19">
        <v>10045</v>
      </c>
      <c r="P19">
        <v>68119</v>
      </c>
      <c r="Q19" t="s">
        <v>248</v>
      </c>
      <c r="R19">
        <v>83.7</v>
      </c>
      <c r="S19">
        <v>9471</v>
      </c>
      <c r="T19">
        <v>68457</v>
      </c>
      <c r="U19" t="s">
        <v>249</v>
      </c>
      <c r="V19">
        <v>88.59</v>
      </c>
      <c r="W19">
        <v>9197</v>
      </c>
      <c r="X19">
        <v>69736</v>
      </c>
      <c r="Y19" t="s">
        <v>250</v>
      </c>
      <c r="Z19">
        <v>83.82</v>
      </c>
      <c r="AA19">
        <v>9317</v>
      </c>
      <c r="AB19">
        <v>69139</v>
      </c>
      <c r="AC19" t="s">
        <v>190</v>
      </c>
      <c r="AD19">
        <v>84.12</v>
      </c>
      <c r="AE19">
        <v>9309</v>
      </c>
      <c r="AF19">
        <v>69679</v>
      </c>
      <c r="AG19" t="s">
        <v>221</v>
      </c>
      <c r="AH19">
        <v>85.12</v>
      </c>
      <c r="AI19">
        <v>9835</v>
      </c>
      <c r="AJ19">
        <v>68970</v>
      </c>
      <c r="AK19" t="s">
        <v>251</v>
      </c>
      <c r="AL19">
        <v>81.569999999999993</v>
      </c>
      <c r="AM19">
        <v>10050</v>
      </c>
      <c r="AN19">
        <v>68893</v>
      </c>
      <c r="AO19" t="s">
        <v>252</v>
      </c>
      <c r="AP19">
        <v>80.63</v>
      </c>
      <c r="AQ19">
        <v>10615</v>
      </c>
      <c r="AR19">
        <v>70196</v>
      </c>
      <c r="AS19" t="s">
        <v>253</v>
      </c>
      <c r="AT19">
        <v>80.239999999999995</v>
      </c>
      <c r="AU19">
        <v>10148</v>
      </c>
      <c r="AV19">
        <v>72576</v>
      </c>
      <c r="AW19" t="s">
        <v>254</v>
      </c>
    </row>
    <row r="20" spans="1:49" x14ac:dyDescent="0.2">
      <c r="A20" t="s">
        <v>187</v>
      </c>
      <c r="B20">
        <v>82.02</v>
      </c>
      <c r="C20">
        <v>4763</v>
      </c>
      <c r="D20" t="s">
        <v>173</v>
      </c>
      <c r="E20" t="s">
        <v>173</v>
      </c>
      <c r="F20">
        <v>76.84</v>
      </c>
      <c r="G20">
        <v>4797</v>
      </c>
      <c r="H20" t="s">
        <v>173</v>
      </c>
      <c r="I20" t="s">
        <v>173</v>
      </c>
      <c r="J20">
        <v>76.84</v>
      </c>
      <c r="K20">
        <v>4797</v>
      </c>
      <c r="L20" t="s">
        <v>173</v>
      </c>
      <c r="M20" t="s">
        <v>173</v>
      </c>
      <c r="N20">
        <v>82.02</v>
      </c>
      <c r="O20">
        <v>4763</v>
      </c>
      <c r="P20" t="s">
        <v>173</v>
      </c>
      <c r="Q20" t="s">
        <v>173</v>
      </c>
      <c r="R20">
        <v>77.260000000000005</v>
      </c>
      <c r="S20">
        <v>4947</v>
      </c>
      <c r="T20" t="s">
        <v>173</v>
      </c>
      <c r="U20" t="s">
        <v>173</v>
      </c>
      <c r="V20">
        <v>77.260000000000005</v>
      </c>
      <c r="W20">
        <v>4947</v>
      </c>
      <c r="X20" t="s">
        <v>173</v>
      </c>
      <c r="Y20" t="s">
        <v>173</v>
      </c>
      <c r="Z20">
        <v>77.73</v>
      </c>
      <c r="AA20">
        <v>5358</v>
      </c>
      <c r="AB20" t="s">
        <v>173</v>
      </c>
      <c r="AC20" t="s">
        <v>173</v>
      </c>
      <c r="AD20">
        <v>77.73</v>
      </c>
      <c r="AE20">
        <v>5358</v>
      </c>
      <c r="AF20" t="s">
        <v>173</v>
      </c>
      <c r="AG20" t="s">
        <v>173</v>
      </c>
      <c r="AH20">
        <v>77</v>
      </c>
      <c r="AI20">
        <v>4810</v>
      </c>
      <c r="AJ20" t="s">
        <v>173</v>
      </c>
      <c r="AK20" t="s">
        <v>173</v>
      </c>
      <c r="AL20" t="s">
        <v>173</v>
      </c>
      <c r="AM20" t="s">
        <v>173</v>
      </c>
      <c r="AN20" t="s">
        <v>173</v>
      </c>
      <c r="AO20" t="s">
        <v>173</v>
      </c>
      <c r="AP20" t="s">
        <v>173</v>
      </c>
      <c r="AQ20" t="s">
        <v>173</v>
      </c>
      <c r="AR20" t="s">
        <v>173</v>
      </c>
      <c r="AS20" t="s">
        <v>173</v>
      </c>
      <c r="AT20" t="s">
        <v>173</v>
      </c>
      <c r="AU20" t="s">
        <v>173</v>
      </c>
      <c r="AV20" t="s">
        <v>173</v>
      </c>
      <c r="AW20" t="s">
        <v>173</v>
      </c>
    </row>
    <row r="21" spans="1:49" x14ac:dyDescent="0.2">
      <c r="A21" t="s">
        <v>255</v>
      </c>
      <c r="B21">
        <v>142.09</v>
      </c>
      <c r="C21">
        <v>45167</v>
      </c>
      <c r="D21">
        <v>101614</v>
      </c>
      <c r="E21" t="s">
        <v>256</v>
      </c>
      <c r="F21">
        <v>153.6</v>
      </c>
      <c r="G21">
        <v>49200</v>
      </c>
      <c r="H21">
        <v>108854</v>
      </c>
      <c r="I21" t="s">
        <v>177</v>
      </c>
      <c r="J21">
        <v>163.89</v>
      </c>
      <c r="K21">
        <v>51500</v>
      </c>
      <c r="L21">
        <v>109823</v>
      </c>
      <c r="M21" t="s">
        <v>257</v>
      </c>
      <c r="N21">
        <v>171.65</v>
      </c>
      <c r="O21">
        <v>52000</v>
      </c>
      <c r="P21">
        <v>107037</v>
      </c>
      <c r="Q21" t="s">
        <v>258</v>
      </c>
      <c r="R21">
        <v>160.56</v>
      </c>
      <c r="S21">
        <v>56500</v>
      </c>
      <c r="T21">
        <v>111016</v>
      </c>
      <c r="U21" t="s">
        <v>259</v>
      </c>
      <c r="V21">
        <v>153.9</v>
      </c>
      <c r="W21">
        <v>59200</v>
      </c>
      <c r="X21">
        <v>107657</v>
      </c>
      <c r="Y21" t="s">
        <v>260</v>
      </c>
      <c r="Z21">
        <v>153.9</v>
      </c>
      <c r="AA21">
        <v>59200</v>
      </c>
      <c r="AB21">
        <v>116020</v>
      </c>
      <c r="AC21" t="s">
        <v>261</v>
      </c>
      <c r="AD21">
        <v>159.25</v>
      </c>
      <c r="AE21">
        <v>48000</v>
      </c>
      <c r="AF21">
        <v>108655</v>
      </c>
      <c r="AG21" t="s">
        <v>179</v>
      </c>
      <c r="AH21">
        <v>122.03</v>
      </c>
      <c r="AI21">
        <v>36000</v>
      </c>
      <c r="AJ21">
        <v>104308</v>
      </c>
      <c r="AK21" t="s">
        <v>262</v>
      </c>
      <c r="AL21">
        <v>69.260000000000005</v>
      </c>
      <c r="AM21">
        <v>6122</v>
      </c>
      <c r="AN21">
        <v>104507</v>
      </c>
      <c r="AO21" t="s">
        <v>263</v>
      </c>
      <c r="AP21">
        <v>69.06</v>
      </c>
      <c r="AQ21">
        <v>6111</v>
      </c>
      <c r="AR21">
        <v>103922</v>
      </c>
      <c r="AS21" t="s">
        <v>264</v>
      </c>
      <c r="AT21">
        <v>68.760000000000005</v>
      </c>
      <c r="AU21">
        <v>6086</v>
      </c>
      <c r="AV21">
        <v>102891</v>
      </c>
      <c r="AW21" t="s">
        <v>265</v>
      </c>
    </row>
    <row r="22" spans="1:49" x14ac:dyDescent="0.2">
      <c r="A22" t="s">
        <v>266</v>
      </c>
      <c r="B22">
        <v>69.97</v>
      </c>
      <c r="C22">
        <v>5352</v>
      </c>
      <c r="D22" t="s">
        <v>173</v>
      </c>
      <c r="E22" t="s">
        <v>173</v>
      </c>
      <c r="F22">
        <v>71.19</v>
      </c>
      <c r="G22">
        <v>5485</v>
      </c>
      <c r="H22" t="s">
        <v>173</v>
      </c>
      <c r="I22" t="s">
        <v>173</v>
      </c>
      <c r="J22">
        <v>72.61</v>
      </c>
      <c r="K22">
        <v>5661</v>
      </c>
      <c r="L22" t="s">
        <v>173</v>
      </c>
      <c r="M22" t="s">
        <v>173</v>
      </c>
      <c r="N22">
        <v>73.62</v>
      </c>
      <c r="O22">
        <v>5556</v>
      </c>
      <c r="P22" t="s">
        <v>173</v>
      </c>
      <c r="Q22" t="s">
        <v>173</v>
      </c>
      <c r="R22">
        <v>74.75</v>
      </c>
      <c r="S22">
        <v>5476</v>
      </c>
      <c r="T22" t="s">
        <v>173</v>
      </c>
      <c r="U22" t="s">
        <v>173</v>
      </c>
      <c r="V22">
        <v>74.459999999999994</v>
      </c>
      <c r="W22">
        <v>5501</v>
      </c>
      <c r="X22" t="s">
        <v>173</v>
      </c>
      <c r="Y22" t="s">
        <v>173</v>
      </c>
      <c r="Z22">
        <v>75.61</v>
      </c>
      <c r="AA22">
        <v>5891</v>
      </c>
      <c r="AB22" t="s">
        <v>173</v>
      </c>
      <c r="AC22" t="s">
        <v>173</v>
      </c>
      <c r="AD22">
        <v>77.37</v>
      </c>
      <c r="AE22">
        <v>6140</v>
      </c>
      <c r="AF22" t="s">
        <v>173</v>
      </c>
      <c r="AG22" t="s">
        <v>173</v>
      </c>
      <c r="AH22">
        <v>78.03</v>
      </c>
      <c r="AI22">
        <v>6209</v>
      </c>
      <c r="AJ22" t="s">
        <v>173</v>
      </c>
      <c r="AK22" t="s">
        <v>173</v>
      </c>
      <c r="AL22">
        <v>70.150000000000006</v>
      </c>
      <c r="AM22">
        <v>5988</v>
      </c>
      <c r="AN22" t="s">
        <v>173</v>
      </c>
      <c r="AO22" t="s">
        <v>173</v>
      </c>
      <c r="AP22">
        <v>70.349999999999994</v>
      </c>
      <c r="AQ22">
        <v>6026</v>
      </c>
      <c r="AR22" t="s">
        <v>173</v>
      </c>
      <c r="AS22" t="s">
        <v>173</v>
      </c>
      <c r="AT22">
        <v>70.7</v>
      </c>
      <c r="AU22">
        <v>6002</v>
      </c>
      <c r="AV22" t="s">
        <v>173</v>
      </c>
      <c r="AW22" t="s">
        <v>173</v>
      </c>
    </row>
    <row r="23" spans="1:49" x14ac:dyDescent="0.2">
      <c r="A23" t="s">
        <v>267</v>
      </c>
      <c r="B23">
        <v>69.48</v>
      </c>
      <c r="C23">
        <v>4132</v>
      </c>
      <c r="D23">
        <v>42416</v>
      </c>
      <c r="E23" t="s">
        <v>268</v>
      </c>
      <c r="F23">
        <v>71.900000000000006</v>
      </c>
      <c r="G23">
        <v>4202</v>
      </c>
      <c r="H23">
        <v>43746</v>
      </c>
      <c r="I23" t="s">
        <v>269</v>
      </c>
      <c r="J23">
        <v>73.92</v>
      </c>
      <c r="K23">
        <v>4331</v>
      </c>
      <c r="L23">
        <v>45682</v>
      </c>
      <c r="M23" t="s">
        <v>270</v>
      </c>
      <c r="N23">
        <v>75.13</v>
      </c>
      <c r="O23">
        <v>4474</v>
      </c>
      <c r="P23">
        <v>45417</v>
      </c>
      <c r="Q23" t="s">
        <v>271</v>
      </c>
      <c r="R23">
        <v>77.52</v>
      </c>
      <c r="S23">
        <v>4585</v>
      </c>
      <c r="T23">
        <v>46537</v>
      </c>
      <c r="U23" t="s">
        <v>272</v>
      </c>
      <c r="V23">
        <v>78.17</v>
      </c>
      <c r="W23">
        <v>4619</v>
      </c>
      <c r="X23">
        <v>46267</v>
      </c>
      <c r="Y23" t="s">
        <v>273</v>
      </c>
      <c r="Z23">
        <v>78.39</v>
      </c>
      <c r="AA23">
        <v>4650</v>
      </c>
      <c r="AB23">
        <v>47377</v>
      </c>
      <c r="AC23" t="s">
        <v>274</v>
      </c>
      <c r="AD23">
        <v>77.77</v>
      </c>
      <c r="AE23">
        <v>4751</v>
      </c>
      <c r="AF23">
        <v>49240</v>
      </c>
      <c r="AG23" t="s">
        <v>275</v>
      </c>
      <c r="AH23">
        <v>76.12</v>
      </c>
      <c r="AI23">
        <v>4801</v>
      </c>
      <c r="AJ23">
        <v>49679</v>
      </c>
      <c r="AK23" t="s">
        <v>276</v>
      </c>
      <c r="AL23">
        <v>74.81</v>
      </c>
      <c r="AM23">
        <v>4748</v>
      </c>
      <c r="AN23">
        <v>49960</v>
      </c>
      <c r="AO23" t="s">
        <v>277</v>
      </c>
      <c r="AP23">
        <v>81.569999999999993</v>
      </c>
      <c r="AQ23">
        <v>4825</v>
      </c>
      <c r="AR23">
        <v>50149</v>
      </c>
      <c r="AS23" t="s">
        <v>278</v>
      </c>
      <c r="AT23">
        <v>78.150000000000006</v>
      </c>
      <c r="AU23">
        <v>4650</v>
      </c>
      <c r="AV23">
        <v>49902</v>
      </c>
      <c r="AW23" t="s">
        <v>279</v>
      </c>
    </row>
    <row r="24" spans="1:49" x14ac:dyDescent="0.2">
      <c r="A24" t="s">
        <v>280</v>
      </c>
      <c r="B24">
        <v>60</v>
      </c>
      <c r="C24">
        <v>1500</v>
      </c>
      <c r="D24" t="s">
        <v>173</v>
      </c>
      <c r="E24" t="s">
        <v>173</v>
      </c>
      <c r="F24">
        <v>60</v>
      </c>
      <c r="G24">
        <v>1500</v>
      </c>
      <c r="H24" t="s">
        <v>173</v>
      </c>
      <c r="I24" t="s">
        <v>173</v>
      </c>
      <c r="J24" t="s">
        <v>173</v>
      </c>
      <c r="K24" t="s">
        <v>173</v>
      </c>
      <c r="L24" t="s">
        <v>173</v>
      </c>
      <c r="M24" t="s">
        <v>173</v>
      </c>
      <c r="N24" t="s">
        <v>173</v>
      </c>
      <c r="O24" t="s">
        <v>173</v>
      </c>
      <c r="P24" t="s">
        <v>173</v>
      </c>
      <c r="Q24" t="s">
        <v>173</v>
      </c>
      <c r="R24" t="s">
        <v>173</v>
      </c>
      <c r="S24" t="s">
        <v>173</v>
      </c>
      <c r="T24" t="s">
        <v>173</v>
      </c>
      <c r="U24" t="s">
        <v>173</v>
      </c>
      <c r="V24" t="s">
        <v>173</v>
      </c>
      <c r="W24" t="s">
        <v>173</v>
      </c>
      <c r="X24" t="s">
        <v>173</v>
      </c>
      <c r="Y24" t="s">
        <v>173</v>
      </c>
      <c r="Z24" t="s">
        <v>173</v>
      </c>
      <c r="AA24" t="s">
        <v>173</v>
      </c>
      <c r="AB24" t="s">
        <v>173</v>
      </c>
      <c r="AC24" t="s">
        <v>173</v>
      </c>
      <c r="AD24" t="s">
        <v>173</v>
      </c>
      <c r="AE24" t="s">
        <v>173</v>
      </c>
      <c r="AF24" t="s">
        <v>173</v>
      </c>
      <c r="AG24" t="s">
        <v>173</v>
      </c>
      <c r="AH24" t="s">
        <v>173</v>
      </c>
      <c r="AI24" t="s">
        <v>173</v>
      </c>
      <c r="AJ24" t="s">
        <v>173</v>
      </c>
      <c r="AK24" t="s">
        <v>173</v>
      </c>
      <c r="AL24">
        <v>65.02</v>
      </c>
      <c r="AM24" t="s">
        <v>173</v>
      </c>
      <c r="AN24" t="s">
        <v>173</v>
      </c>
      <c r="AO24" t="s">
        <v>173</v>
      </c>
      <c r="AP24">
        <v>64.819999999999993</v>
      </c>
      <c r="AQ24" t="s">
        <v>173</v>
      </c>
      <c r="AR24" t="s">
        <v>173</v>
      </c>
      <c r="AS24" t="s">
        <v>173</v>
      </c>
      <c r="AT24" t="s">
        <v>173</v>
      </c>
      <c r="AU24" t="s">
        <v>173</v>
      </c>
      <c r="AV24" t="s">
        <v>173</v>
      </c>
      <c r="AW24" t="s">
        <v>173</v>
      </c>
    </row>
    <row r="25" spans="1:49" x14ac:dyDescent="0.2">
      <c r="A25" t="s">
        <v>281</v>
      </c>
      <c r="B25" t="s">
        <v>173</v>
      </c>
      <c r="C25" t="s">
        <v>173</v>
      </c>
      <c r="D25" t="s">
        <v>173</v>
      </c>
      <c r="E25" t="s">
        <v>173</v>
      </c>
      <c r="F25" t="s">
        <v>173</v>
      </c>
      <c r="G25" t="s">
        <v>173</v>
      </c>
      <c r="H25" t="s">
        <v>173</v>
      </c>
      <c r="I25" t="s">
        <v>173</v>
      </c>
      <c r="J25" t="s">
        <v>173</v>
      </c>
      <c r="K25" t="s">
        <v>173</v>
      </c>
      <c r="L25" t="s">
        <v>173</v>
      </c>
      <c r="M25" t="s">
        <v>173</v>
      </c>
      <c r="N25" t="s">
        <v>173</v>
      </c>
      <c r="O25" t="s">
        <v>173</v>
      </c>
      <c r="P25" t="s">
        <v>173</v>
      </c>
      <c r="Q25" t="s">
        <v>173</v>
      </c>
      <c r="R25" t="s">
        <v>173</v>
      </c>
      <c r="S25" t="s">
        <v>173</v>
      </c>
      <c r="T25" t="s">
        <v>173</v>
      </c>
      <c r="U25" t="s">
        <v>173</v>
      </c>
      <c r="V25" t="s">
        <v>173</v>
      </c>
      <c r="W25" t="s">
        <v>173</v>
      </c>
      <c r="X25" t="s">
        <v>173</v>
      </c>
      <c r="Y25" t="s">
        <v>173</v>
      </c>
      <c r="Z25" t="s">
        <v>173</v>
      </c>
      <c r="AA25" t="s">
        <v>173</v>
      </c>
      <c r="AB25" t="s">
        <v>173</v>
      </c>
      <c r="AC25" t="s">
        <v>173</v>
      </c>
      <c r="AD25" t="s">
        <v>173</v>
      </c>
      <c r="AE25" t="s">
        <v>173</v>
      </c>
      <c r="AF25" t="s">
        <v>173</v>
      </c>
      <c r="AG25" t="s">
        <v>173</v>
      </c>
      <c r="AH25" t="s">
        <v>173</v>
      </c>
      <c r="AI25" t="s">
        <v>173</v>
      </c>
      <c r="AJ25" t="s">
        <v>173</v>
      </c>
      <c r="AK25" t="s">
        <v>173</v>
      </c>
      <c r="AL25" t="s">
        <v>173</v>
      </c>
      <c r="AM25" t="s">
        <v>173</v>
      </c>
      <c r="AN25" t="s">
        <v>173</v>
      </c>
      <c r="AO25" t="s">
        <v>173</v>
      </c>
      <c r="AP25" t="s">
        <v>173</v>
      </c>
      <c r="AQ25" t="s">
        <v>173</v>
      </c>
      <c r="AR25" t="s">
        <v>173</v>
      </c>
      <c r="AS25" t="s">
        <v>173</v>
      </c>
      <c r="AT25" t="s">
        <v>173</v>
      </c>
      <c r="AU25" t="s">
        <v>173</v>
      </c>
      <c r="AV25" t="s">
        <v>173</v>
      </c>
      <c r="AW25" t="s">
        <v>173</v>
      </c>
    </row>
    <row r="26" spans="1:49" x14ac:dyDescent="0.2">
      <c r="A26" t="s">
        <v>282</v>
      </c>
      <c r="B26">
        <v>66.239999999999995</v>
      </c>
      <c r="C26">
        <v>4087</v>
      </c>
      <c r="D26">
        <v>48457</v>
      </c>
      <c r="E26" t="s">
        <v>283</v>
      </c>
      <c r="F26">
        <v>66.3</v>
      </c>
      <c r="G26">
        <v>4120</v>
      </c>
      <c r="H26">
        <v>48790</v>
      </c>
      <c r="I26" t="s">
        <v>284</v>
      </c>
      <c r="J26">
        <v>68.34</v>
      </c>
      <c r="K26">
        <v>4304</v>
      </c>
      <c r="L26">
        <v>49706</v>
      </c>
      <c r="M26" t="s">
        <v>285</v>
      </c>
      <c r="N26">
        <v>68.77</v>
      </c>
      <c r="O26">
        <v>4511</v>
      </c>
      <c r="P26">
        <v>50273</v>
      </c>
      <c r="Q26" t="s">
        <v>286</v>
      </c>
      <c r="R26">
        <v>69.45</v>
      </c>
      <c r="S26">
        <v>4276</v>
      </c>
      <c r="T26">
        <v>51123</v>
      </c>
      <c r="U26" t="s">
        <v>284</v>
      </c>
      <c r="V26">
        <v>71.23</v>
      </c>
      <c r="W26">
        <v>4643</v>
      </c>
      <c r="X26">
        <v>51344</v>
      </c>
      <c r="Y26" t="s">
        <v>287</v>
      </c>
      <c r="Z26">
        <v>72.05</v>
      </c>
      <c r="AA26">
        <v>4613</v>
      </c>
      <c r="AB26">
        <v>51261</v>
      </c>
      <c r="AC26" t="s">
        <v>288</v>
      </c>
      <c r="AD26">
        <v>72.23</v>
      </c>
      <c r="AE26">
        <v>4569</v>
      </c>
      <c r="AF26">
        <v>51568</v>
      </c>
      <c r="AG26" t="s">
        <v>213</v>
      </c>
      <c r="AH26">
        <v>74.52</v>
      </c>
      <c r="AI26">
        <v>4687</v>
      </c>
      <c r="AJ26">
        <v>51411</v>
      </c>
      <c r="AK26" t="s">
        <v>289</v>
      </c>
      <c r="AL26">
        <v>68.09</v>
      </c>
      <c r="AM26">
        <v>4187</v>
      </c>
      <c r="AN26">
        <v>51904</v>
      </c>
      <c r="AO26" t="s">
        <v>290</v>
      </c>
      <c r="AP26">
        <v>67.790000000000006</v>
      </c>
      <c r="AQ26">
        <v>4273</v>
      </c>
      <c r="AR26">
        <v>53016</v>
      </c>
      <c r="AS26" t="s">
        <v>291</v>
      </c>
      <c r="AT26">
        <v>67.38</v>
      </c>
      <c r="AU26">
        <v>4286</v>
      </c>
      <c r="AV26">
        <v>54144</v>
      </c>
      <c r="AW26" t="s">
        <v>292</v>
      </c>
    </row>
    <row r="27" spans="1:49" x14ac:dyDescent="0.2">
      <c r="A27" t="s">
        <v>293</v>
      </c>
      <c r="B27">
        <v>72.040000000000006</v>
      </c>
      <c r="C27">
        <v>8460</v>
      </c>
      <c r="D27">
        <v>56991</v>
      </c>
      <c r="E27" t="s">
        <v>294</v>
      </c>
      <c r="F27">
        <v>68.94</v>
      </c>
      <c r="G27">
        <v>7305</v>
      </c>
      <c r="H27">
        <v>58317</v>
      </c>
      <c r="I27" t="s">
        <v>247</v>
      </c>
      <c r="J27">
        <v>80.260000000000005</v>
      </c>
      <c r="K27">
        <v>9322</v>
      </c>
      <c r="L27">
        <v>58541</v>
      </c>
      <c r="M27" t="s">
        <v>295</v>
      </c>
      <c r="N27">
        <v>82.41</v>
      </c>
      <c r="O27">
        <v>11476</v>
      </c>
      <c r="P27">
        <v>58501</v>
      </c>
      <c r="Q27" t="s">
        <v>216</v>
      </c>
      <c r="R27">
        <v>71.94</v>
      </c>
      <c r="S27">
        <v>6868</v>
      </c>
      <c r="T27">
        <v>58858</v>
      </c>
      <c r="U27" t="s">
        <v>249</v>
      </c>
      <c r="V27">
        <v>73.11</v>
      </c>
      <c r="W27">
        <v>6735</v>
      </c>
      <c r="X27">
        <v>58875</v>
      </c>
      <c r="Y27" t="s">
        <v>296</v>
      </c>
      <c r="Z27">
        <v>79.91</v>
      </c>
      <c r="AA27">
        <v>5908</v>
      </c>
      <c r="AB27">
        <v>60828</v>
      </c>
      <c r="AC27" t="s">
        <v>297</v>
      </c>
      <c r="AD27">
        <v>78.42</v>
      </c>
      <c r="AE27">
        <v>7456</v>
      </c>
      <c r="AF27">
        <v>59381</v>
      </c>
      <c r="AG27" t="s">
        <v>174</v>
      </c>
      <c r="AH27">
        <v>72.19</v>
      </c>
      <c r="AI27">
        <v>6792</v>
      </c>
      <c r="AJ27">
        <v>58948</v>
      </c>
      <c r="AK27" t="s">
        <v>298</v>
      </c>
      <c r="AL27">
        <v>65.03</v>
      </c>
      <c r="AM27">
        <v>5100</v>
      </c>
      <c r="AN27">
        <v>57310</v>
      </c>
      <c r="AO27" t="s">
        <v>299</v>
      </c>
      <c r="AP27">
        <v>68.87</v>
      </c>
      <c r="AQ27">
        <v>6929</v>
      </c>
      <c r="AR27">
        <v>58301</v>
      </c>
      <c r="AS27" t="s">
        <v>172</v>
      </c>
      <c r="AT27">
        <v>68.569999999999993</v>
      </c>
      <c r="AU27">
        <v>4800</v>
      </c>
      <c r="AV27">
        <v>60002</v>
      </c>
      <c r="AW27" t="s">
        <v>300</v>
      </c>
    </row>
    <row r="28" spans="1:49" x14ac:dyDescent="0.2">
      <c r="A28" t="s">
        <v>4</v>
      </c>
      <c r="B28">
        <v>76.67</v>
      </c>
      <c r="C28">
        <v>6136</v>
      </c>
      <c r="D28">
        <v>57572</v>
      </c>
      <c r="E28" t="s">
        <v>301</v>
      </c>
      <c r="F28">
        <v>79.88</v>
      </c>
      <c r="G28">
        <v>6233</v>
      </c>
      <c r="H28">
        <v>57665</v>
      </c>
      <c r="I28" t="s">
        <v>302</v>
      </c>
      <c r="J28">
        <v>81.86</v>
      </c>
      <c r="K28">
        <v>6414</v>
      </c>
      <c r="L28" t="s">
        <v>173</v>
      </c>
      <c r="M28" t="s">
        <v>173</v>
      </c>
      <c r="N28">
        <v>79.98</v>
      </c>
      <c r="O28">
        <v>6427</v>
      </c>
      <c r="P28">
        <v>60292</v>
      </c>
      <c r="Q28" t="s">
        <v>261</v>
      </c>
      <c r="R28">
        <v>80.260000000000005</v>
      </c>
      <c r="S28">
        <v>6612</v>
      </c>
      <c r="T28" t="s">
        <v>173</v>
      </c>
      <c r="U28" t="s">
        <v>173</v>
      </c>
      <c r="V28">
        <v>81.11</v>
      </c>
      <c r="W28">
        <v>6667</v>
      </c>
      <c r="X28" t="s">
        <v>173</v>
      </c>
      <c r="Y28" t="s">
        <v>173</v>
      </c>
      <c r="Z28">
        <v>83.71</v>
      </c>
      <c r="AA28">
        <v>6630</v>
      </c>
      <c r="AB28" t="s">
        <v>173</v>
      </c>
      <c r="AC28" t="s">
        <v>173</v>
      </c>
      <c r="AD28">
        <v>84.75</v>
      </c>
      <c r="AE28">
        <v>6642</v>
      </c>
      <c r="AF28" t="s">
        <v>173</v>
      </c>
      <c r="AG28" t="s">
        <v>173</v>
      </c>
      <c r="AH28">
        <v>82.78</v>
      </c>
      <c r="AI28">
        <v>6632</v>
      </c>
      <c r="AJ28" t="s">
        <v>173</v>
      </c>
      <c r="AK28" t="s">
        <v>173</v>
      </c>
      <c r="AL28">
        <v>82.12</v>
      </c>
      <c r="AM28">
        <v>6891</v>
      </c>
      <c r="AN28" t="s">
        <v>173</v>
      </c>
      <c r="AO28" t="s">
        <v>173</v>
      </c>
      <c r="AP28">
        <v>81.91</v>
      </c>
      <c r="AQ28">
        <v>7107</v>
      </c>
      <c r="AR28" t="s">
        <v>173</v>
      </c>
      <c r="AS28" t="s">
        <v>173</v>
      </c>
      <c r="AT28">
        <v>82.91</v>
      </c>
      <c r="AU28">
        <v>6990</v>
      </c>
      <c r="AV28" t="s">
        <v>173</v>
      </c>
      <c r="AW28" t="s">
        <v>173</v>
      </c>
    </row>
    <row r="29" spans="1:49" x14ac:dyDescent="0.2">
      <c r="A29" t="s">
        <v>22</v>
      </c>
      <c r="B29">
        <v>64.97</v>
      </c>
      <c r="C29">
        <v>6367</v>
      </c>
      <c r="D29">
        <v>54626</v>
      </c>
      <c r="E29" t="s">
        <v>303</v>
      </c>
      <c r="F29">
        <v>67.08</v>
      </c>
      <c r="G29">
        <v>6385</v>
      </c>
      <c r="H29">
        <v>57883</v>
      </c>
      <c r="I29" t="s">
        <v>304</v>
      </c>
      <c r="J29">
        <v>65.25</v>
      </c>
      <c r="K29">
        <v>5288</v>
      </c>
      <c r="L29">
        <v>54082</v>
      </c>
      <c r="M29" t="s">
        <v>171</v>
      </c>
      <c r="N29">
        <v>72.239999999999995</v>
      </c>
      <c r="O29">
        <v>5664</v>
      </c>
      <c r="P29">
        <v>55053</v>
      </c>
      <c r="Q29" t="s">
        <v>290</v>
      </c>
      <c r="R29">
        <v>71.849999999999994</v>
      </c>
      <c r="S29">
        <v>6128</v>
      </c>
      <c r="T29">
        <v>49851</v>
      </c>
      <c r="U29" t="s">
        <v>305</v>
      </c>
      <c r="V29">
        <v>72.7</v>
      </c>
      <c r="W29">
        <v>6544</v>
      </c>
      <c r="X29">
        <v>53435</v>
      </c>
      <c r="Y29" t="s">
        <v>211</v>
      </c>
      <c r="Z29">
        <v>78.2</v>
      </c>
      <c r="AA29">
        <v>8748</v>
      </c>
      <c r="AB29">
        <v>49470</v>
      </c>
      <c r="AC29" t="s">
        <v>275</v>
      </c>
      <c r="AD29">
        <v>75.510000000000005</v>
      </c>
      <c r="AE29">
        <v>9500</v>
      </c>
      <c r="AF29">
        <v>50963</v>
      </c>
      <c r="AG29" t="s">
        <v>239</v>
      </c>
      <c r="AH29">
        <v>73.67</v>
      </c>
      <c r="AI29">
        <v>7600</v>
      </c>
      <c r="AJ29">
        <v>49910</v>
      </c>
      <c r="AK29" t="s">
        <v>306</v>
      </c>
      <c r="AL29">
        <v>76.89</v>
      </c>
      <c r="AM29">
        <v>5433</v>
      </c>
      <c r="AN29">
        <v>49839</v>
      </c>
      <c r="AO29" t="s">
        <v>161</v>
      </c>
      <c r="AP29">
        <v>75.2</v>
      </c>
      <c r="AQ29">
        <v>5700</v>
      </c>
      <c r="AR29">
        <v>48865</v>
      </c>
      <c r="AS29" t="s">
        <v>307</v>
      </c>
      <c r="AT29">
        <v>71.03</v>
      </c>
      <c r="AU29">
        <v>5800</v>
      </c>
      <c r="AV29">
        <v>50525</v>
      </c>
      <c r="AW29" t="s">
        <v>288</v>
      </c>
    </row>
    <row r="30" spans="1:49" x14ac:dyDescent="0.2">
      <c r="A30" t="s">
        <v>308</v>
      </c>
      <c r="B30">
        <v>71.73</v>
      </c>
      <c r="C30">
        <v>4240</v>
      </c>
      <c r="D30">
        <v>46500</v>
      </c>
      <c r="E30" t="s">
        <v>161</v>
      </c>
      <c r="F30">
        <v>74.17</v>
      </c>
      <c r="G30">
        <v>4201</v>
      </c>
      <c r="H30">
        <v>46918</v>
      </c>
      <c r="I30" t="s">
        <v>275</v>
      </c>
      <c r="J30">
        <v>74.06</v>
      </c>
      <c r="K30">
        <v>4231</v>
      </c>
      <c r="L30">
        <v>47048</v>
      </c>
      <c r="M30" t="s">
        <v>309</v>
      </c>
      <c r="N30">
        <v>72.349999999999994</v>
      </c>
      <c r="O30">
        <v>4347</v>
      </c>
      <c r="P30">
        <v>47092</v>
      </c>
      <c r="Q30" t="s">
        <v>310</v>
      </c>
      <c r="R30">
        <v>73.39</v>
      </c>
      <c r="S30">
        <v>4298</v>
      </c>
      <c r="T30">
        <v>48043</v>
      </c>
      <c r="U30" t="s">
        <v>156</v>
      </c>
      <c r="V30">
        <v>77.2</v>
      </c>
      <c r="W30">
        <v>4049</v>
      </c>
      <c r="X30">
        <v>48356</v>
      </c>
      <c r="Y30" t="s">
        <v>311</v>
      </c>
      <c r="Z30">
        <v>87.4</v>
      </c>
      <c r="AA30">
        <v>3591</v>
      </c>
      <c r="AB30">
        <v>48880</v>
      </c>
      <c r="AC30" t="s">
        <v>312</v>
      </c>
      <c r="AD30">
        <v>90.34</v>
      </c>
      <c r="AE30">
        <v>3556</v>
      </c>
      <c r="AF30">
        <v>50135</v>
      </c>
      <c r="AG30" t="s">
        <v>313</v>
      </c>
      <c r="AH30">
        <v>87.34</v>
      </c>
      <c r="AI30">
        <v>3770</v>
      </c>
      <c r="AJ30">
        <v>49828</v>
      </c>
      <c r="AK30" t="s">
        <v>314</v>
      </c>
      <c r="AL30">
        <v>66.88</v>
      </c>
      <c r="AM30">
        <v>5340</v>
      </c>
      <c r="AN30">
        <v>49920</v>
      </c>
      <c r="AO30" t="s">
        <v>315</v>
      </c>
      <c r="AP30">
        <v>67.89</v>
      </c>
      <c r="AQ30">
        <v>5389</v>
      </c>
      <c r="AR30">
        <v>50794</v>
      </c>
      <c r="AS30" t="s">
        <v>241</v>
      </c>
      <c r="AT30">
        <v>66.819999999999993</v>
      </c>
      <c r="AU30">
        <v>5256</v>
      </c>
      <c r="AV30">
        <v>51073</v>
      </c>
      <c r="AW30" t="s">
        <v>316</v>
      </c>
    </row>
    <row r="31" spans="1:49" x14ac:dyDescent="0.2">
      <c r="A31" t="s">
        <v>317</v>
      </c>
      <c r="B31">
        <v>111.45</v>
      </c>
      <c r="C31">
        <v>17025</v>
      </c>
      <c r="D31">
        <v>79254</v>
      </c>
      <c r="E31" t="s">
        <v>288</v>
      </c>
      <c r="F31">
        <v>94.36</v>
      </c>
      <c r="G31">
        <v>12080</v>
      </c>
      <c r="H31">
        <v>79023</v>
      </c>
      <c r="I31" t="s">
        <v>318</v>
      </c>
      <c r="J31">
        <v>90.1</v>
      </c>
      <c r="K31">
        <v>14125</v>
      </c>
      <c r="L31">
        <v>79340</v>
      </c>
      <c r="M31" t="s">
        <v>299</v>
      </c>
      <c r="N31" t="s">
        <v>173</v>
      </c>
      <c r="O31" t="s">
        <v>173</v>
      </c>
      <c r="P31">
        <v>78375</v>
      </c>
      <c r="Q31" t="s">
        <v>173</v>
      </c>
      <c r="R31">
        <v>119.28</v>
      </c>
      <c r="S31">
        <v>26500</v>
      </c>
      <c r="T31">
        <v>78632</v>
      </c>
      <c r="U31" t="s">
        <v>319</v>
      </c>
      <c r="V31">
        <v>119.28</v>
      </c>
      <c r="W31">
        <v>26500</v>
      </c>
      <c r="X31">
        <v>77260</v>
      </c>
      <c r="Y31" t="s">
        <v>161</v>
      </c>
      <c r="Z31">
        <v>115.48</v>
      </c>
      <c r="AA31">
        <v>23000</v>
      </c>
      <c r="AB31">
        <v>81791</v>
      </c>
      <c r="AC31" t="s">
        <v>320</v>
      </c>
      <c r="AD31">
        <v>112.81</v>
      </c>
      <c r="AE31">
        <v>21500</v>
      </c>
      <c r="AF31">
        <v>82875</v>
      </c>
      <c r="AG31" t="s">
        <v>211</v>
      </c>
      <c r="AH31">
        <v>84.61</v>
      </c>
      <c r="AI31">
        <v>9050</v>
      </c>
      <c r="AJ31">
        <v>83538</v>
      </c>
      <c r="AK31" t="s">
        <v>321</v>
      </c>
      <c r="AL31">
        <v>100.03</v>
      </c>
      <c r="AM31" t="s">
        <v>173</v>
      </c>
      <c r="AN31">
        <v>86450</v>
      </c>
      <c r="AO31" t="s">
        <v>322</v>
      </c>
      <c r="AP31">
        <v>99.73</v>
      </c>
      <c r="AQ31">
        <v>12691</v>
      </c>
      <c r="AR31">
        <v>89447</v>
      </c>
      <c r="AS31" t="s">
        <v>323</v>
      </c>
      <c r="AT31">
        <v>99.3</v>
      </c>
      <c r="AU31">
        <v>16200</v>
      </c>
      <c r="AV31">
        <v>86116</v>
      </c>
      <c r="AW31" t="s">
        <v>324</v>
      </c>
    </row>
    <row r="32" spans="1:49" x14ac:dyDescent="0.2">
      <c r="A32" t="s">
        <v>325</v>
      </c>
      <c r="B32">
        <v>64.069999999999993</v>
      </c>
      <c r="C32">
        <v>4981</v>
      </c>
      <c r="D32">
        <v>50791</v>
      </c>
      <c r="E32" t="s">
        <v>168</v>
      </c>
      <c r="F32">
        <v>67.59</v>
      </c>
      <c r="G32">
        <v>5022</v>
      </c>
      <c r="H32">
        <v>52403</v>
      </c>
      <c r="I32" t="s">
        <v>326</v>
      </c>
      <c r="J32">
        <v>72.06</v>
      </c>
      <c r="K32">
        <v>5047</v>
      </c>
      <c r="L32">
        <v>53855</v>
      </c>
      <c r="M32" t="s">
        <v>212</v>
      </c>
      <c r="N32">
        <v>72.900000000000006</v>
      </c>
      <c r="O32">
        <v>5083</v>
      </c>
      <c r="P32">
        <v>53471</v>
      </c>
      <c r="Q32" t="s">
        <v>165</v>
      </c>
      <c r="R32">
        <v>74.61</v>
      </c>
      <c r="S32">
        <v>4901</v>
      </c>
      <c r="T32">
        <v>54803</v>
      </c>
      <c r="U32" t="s">
        <v>211</v>
      </c>
      <c r="V32">
        <v>77.02</v>
      </c>
      <c r="W32">
        <v>4850</v>
      </c>
      <c r="X32">
        <v>53549</v>
      </c>
      <c r="Y32" t="s">
        <v>327</v>
      </c>
      <c r="Z32">
        <v>79.239999999999995</v>
      </c>
      <c r="AA32">
        <v>4878</v>
      </c>
      <c r="AB32">
        <v>53483</v>
      </c>
      <c r="AC32" t="s">
        <v>239</v>
      </c>
      <c r="AD32">
        <v>79.61</v>
      </c>
      <c r="AE32">
        <v>5075</v>
      </c>
      <c r="AF32">
        <v>54452</v>
      </c>
      <c r="AG32" t="s">
        <v>328</v>
      </c>
      <c r="AH32">
        <v>76.97</v>
      </c>
      <c r="AI32">
        <v>5362</v>
      </c>
      <c r="AJ32">
        <v>54930</v>
      </c>
      <c r="AK32" t="s">
        <v>213</v>
      </c>
      <c r="AL32">
        <v>67.760000000000005</v>
      </c>
      <c r="AM32">
        <v>5795</v>
      </c>
      <c r="AN32">
        <v>55157</v>
      </c>
      <c r="AO32" t="s">
        <v>329</v>
      </c>
      <c r="AP32">
        <v>68.94</v>
      </c>
      <c r="AQ32">
        <v>5624</v>
      </c>
      <c r="AR32">
        <v>55322</v>
      </c>
      <c r="AS32" t="s">
        <v>330</v>
      </c>
      <c r="AT32">
        <v>68.81</v>
      </c>
      <c r="AU32">
        <v>5551</v>
      </c>
      <c r="AV32">
        <v>55498</v>
      </c>
      <c r="AW32" t="s">
        <v>331</v>
      </c>
    </row>
    <row r="33" spans="1:49" x14ac:dyDescent="0.2">
      <c r="A33" t="s">
        <v>332</v>
      </c>
      <c r="B33">
        <v>131.94999999999999</v>
      </c>
      <c r="C33">
        <v>4420</v>
      </c>
      <c r="D33" t="s">
        <v>173</v>
      </c>
      <c r="E33" t="s">
        <v>173</v>
      </c>
      <c r="F33">
        <v>131.94999999999999</v>
      </c>
      <c r="G33">
        <v>4420</v>
      </c>
      <c r="H33" t="s">
        <v>173</v>
      </c>
      <c r="I33" t="s">
        <v>173</v>
      </c>
      <c r="J33">
        <v>131.94999999999999</v>
      </c>
      <c r="K33">
        <v>4420</v>
      </c>
      <c r="L33" t="s">
        <v>173</v>
      </c>
      <c r="M33" t="s">
        <v>173</v>
      </c>
      <c r="N33">
        <v>131.94999999999999</v>
      </c>
      <c r="O33">
        <v>4420</v>
      </c>
      <c r="P33" t="s">
        <v>173</v>
      </c>
      <c r="Q33" t="s">
        <v>173</v>
      </c>
      <c r="R33">
        <v>131.94999999999999</v>
      </c>
      <c r="S33">
        <v>4420</v>
      </c>
      <c r="T33" t="s">
        <v>173</v>
      </c>
      <c r="U33" t="s">
        <v>173</v>
      </c>
      <c r="V33">
        <v>131.94999999999999</v>
      </c>
      <c r="W33">
        <v>4420</v>
      </c>
      <c r="X33" t="s">
        <v>173</v>
      </c>
      <c r="Y33" t="s">
        <v>173</v>
      </c>
      <c r="Z33">
        <v>131.94999999999999</v>
      </c>
      <c r="AA33">
        <v>4420</v>
      </c>
      <c r="AB33" t="s">
        <v>173</v>
      </c>
      <c r="AC33" t="s">
        <v>173</v>
      </c>
      <c r="AD33">
        <v>131.94999999999999</v>
      </c>
      <c r="AE33">
        <v>4420</v>
      </c>
      <c r="AF33" t="s">
        <v>173</v>
      </c>
      <c r="AG33" t="s">
        <v>173</v>
      </c>
      <c r="AH33">
        <v>131.94999999999999</v>
      </c>
      <c r="AI33">
        <v>4420</v>
      </c>
      <c r="AJ33" t="s">
        <v>173</v>
      </c>
      <c r="AK33" t="s">
        <v>173</v>
      </c>
      <c r="AL33" t="s">
        <v>173</v>
      </c>
      <c r="AM33" t="s">
        <v>173</v>
      </c>
      <c r="AN33" t="s">
        <v>173</v>
      </c>
      <c r="AO33" t="s">
        <v>173</v>
      </c>
      <c r="AP33" t="s">
        <v>173</v>
      </c>
      <c r="AQ33" t="s">
        <v>173</v>
      </c>
      <c r="AR33" t="s">
        <v>173</v>
      </c>
      <c r="AS33" t="s">
        <v>173</v>
      </c>
      <c r="AT33" t="s">
        <v>173</v>
      </c>
      <c r="AU33" t="s">
        <v>173</v>
      </c>
      <c r="AV33" t="s">
        <v>173</v>
      </c>
      <c r="AW33" t="s">
        <v>173</v>
      </c>
    </row>
    <row r="34" spans="1:49" x14ac:dyDescent="0.2">
      <c r="A34" t="s">
        <v>333</v>
      </c>
      <c r="B34">
        <v>92.64</v>
      </c>
      <c r="C34">
        <v>6532</v>
      </c>
      <c r="D34">
        <v>75231</v>
      </c>
      <c r="E34" t="s">
        <v>334</v>
      </c>
      <c r="F34">
        <v>93.92</v>
      </c>
      <c r="G34">
        <v>6432</v>
      </c>
      <c r="H34">
        <v>80981</v>
      </c>
      <c r="I34" t="s">
        <v>335</v>
      </c>
      <c r="J34">
        <v>94.73</v>
      </c>
      <c r="K34">
        <v>6456</v>
      </c>
      <c r="L34">
        <v>80368</v>
      </c>
      <c r="M34" t="s">
        <v>336</v>
      </c>
      <c r="N34">
        <v>93.47</v>
      </c>
      <c r="O34">
        <v>6157</v>
      </c>
      <c r="P34">
        <v>73936</v>
      </c>
      <c r="Q34" t="s">
        <v>294</v>
      </c>
      <c r="R34">
        <v>91.45</v>
      </c>
      <c r="S34">
        <v>5875</v>
      </c>
      <c r="T34">
        <v>76074</v>
      </c>
      <c r="U34" t="s">
        <v>224</v>
      </c>
      <c r="V34">
        <v>93.27</v>
      </c>
      <c r="W34">
        <v>5948</v>
      </c>
      <c r="X34">
        <v>75158</v>
      </c>
      <c r="Y34" t="s">
        <v>337</v>
      </c>
      <c r="Z34">
        <v>99.18</v>
      </c>
      <c r="AA34">
        <v>6365</v>
      </c>
      <c r="AB34">
        <v>79089</v>
      </c>
      <c r="AC34" t="s">
        <v>191</v>
      </c>
      <c r="AD34">
        <v>103.78</v>
      </c>
      <c r="AE34">
        <v>6439</v>
      </c>
      <c r="AF34">
        <v>78657</v>
      </c>
      <c r="AG34" t="s">
        <v>166</v>
      </c>
      <c r="AH34">
        <v>104.09</v>
      </c>
      <c r="AI34">
        <v>6504</v>
      </c>
      <c r="AJ34">
        <v>89651</v>
      </c>
      <c r="AK34" t="s">
        <v>169</v>
      </c>
      <c r="AL34">
        <v>113.07</v>
      </c>
      <c r="AM34">
        <v>7058</v>
      </c>
      <c r="AN34">
        <v>90398</v>
      </c>
      <c r="AO34" t="s">
        <v>197</v>
      </c>
      <c r="AP34">
        <v>113.09</v>
      </c>
      <c r="AQ34">
        <v>7143</v>
      </c>
      <c r="AR34">
        <v>86326</v>
      </c>
      <c r="AS34" t="s">
        <v>338</v>
      </c>
      <c r="AT34">
        <v>114.8</v>
      </c>
      <c r="AU34">
        <v>7082</v>
      </c>
      <c r="AV34">
        <v>83008</v>
      </c>
      <c r="AW34" t="s">
        <v>339</v>
      </c>
    </row>
    <row r="35" spans="1:49" x14ac:dyDescent="0.2">
      <c r="A35" t="s">
        <v>25</v>
      </c>
      <c r="B35">
        <v>75.849999999999994</v>
      </c>
      <c r="C35">
        <v>11556</v>
      </c>
      <c r="D35">
        <v>63712</v>
      </c>
      <c r="E35" t="s">
        <v>170</v>
      </c>
      <c r="F35">
        <v>76.56</v>
      </c>
      <c r="G35">
        <v>11376</v>
      </c>
      <c r="H35">
        <v>67672</v>
      </c>
      <c r="I35" t="s">
        <v>340</v>
      </c>
      <c r="J35">
        <v>80.8</v>
      </c>
      <c r="K35">
        <v>11616</v>
      </c>
      <c r="L35">
        <v>66174</v>
      </c>
      <c r="M35" t="s">
        <v>183</v>
      </c>
      <c r="N35">
        <v>78.900000000000006</v>
      </c>
      <c r="O35">
        <v>12427</v>
      </c>
      <c r="P35">
        <v>67865</v>
      </c>
      <c r="Q35" t="s">
        <v>341</v>
      </c>
      <c r="R35">
        <v>75.900000000000006</v>
      </c>
      <c r="S35">
        <v>12568</v>
      </c>
      <c r="T35">
        <v>65406</v>
      </c>
      <c r="U35" t="s">
        <v>335</v>
      </c>
      <c r="V35">
        <v>79.22</v>
      </c>
      <c r="W35">
        <v>12833</v>
      </c>
      <c r="X35">
        <v>63888</v>
      </c>
      <c r="Y35" t="s">
        <v>337</v>
      </c>
      <c r="Z35">
        <v>83.25</v>
      </c>
      <c r="AA35">
        <v>13064</v>
      </c>
      <c r="AB35">
        <v>61920</v>
      </c>
      <c r="AC35" t="s">
        <v>342</v>
      </c>
      <c r="AD35">
        <v>79.53</v>
      </c>
      <c r="AE35">
        <v>12504</v>
      </c>
      <c r="AF35">
        <v>60965</v>
      </c>
      <c r="AG35" t="s">
        <v>343</v>
      </c>
      <c r="AH35">
        <v>80.53</v>
      </c>
      <c r="AI35">
        <v>12647</v>
      </c>
      <c r="AJ35">
        <v>54061</v>
      </c>
      <c r="AK35" t="s">
        <v>155</v>
      </c>
      <c r="AL35">
        <v>79.47</v>
      </c>
      <c r="AM35">
        <v>9800</v>
      </c>
      <c r="AN35">
        <v>56006</v>
      </c>
      <c r="AO35" t="s">
        <v>344</v>
      </c>
      <c r="AP35">
        <v>77.790000000000006</v>
      </c>
      <c r="AQ35">
        <v>9900</v>
      </c>
      <c r="AR35">
        <v>65714</v>
      </c>
      <c r="AS35" t="s">
        <v>252</v>
      </c>
      <c r="AT35">
        <v>77.760000000000005</v>
      </c>
      <c r="AU35">
        <v>10453</v>
      </c>
      <c r="AV35">
        <v>56941</v>
      </c>
      <c r="AW35" t="s">
        <v>283</v>
      </c>
    </row>
    <row r="36" spans="1:49" x14ac:dyDescent="0.2">
      <c r="A36" t="s">
        <v>345</v>
      </c>
      <c r="B36">
        <v>76.790000000000006</v>
      </c>
      <c r="C36">
        <v>3317</v>
      </c>
      <c r="D36">
        <v>69114</v>
      </c>
      <c r="E36" t="s">
        <v>346</v>
      </c>
      <c r="F36">
        <v>83.15</v>
      </c>
      <c r="G36">
        <v>2955</v>
      </c>
      <c r="H36">
        <v>72474</v>
      </c>
      <c r="I36" t="s">
        <v>347</v>
      </c>
      <c r="J36">
        <v>85.89</v>
      </c>
      <c r="K36">
        <v>3051</v>
      </c>
      <c r="L36">
        <v>74347</v>
      </c>
      <c r="M36" t="s">
        <v>348</v>
      </c>
      <c r="N36">
        <v>83.35</v>
      </c>
      <c r="O36">
        <v>3166</v>
      </c>
      <c r="P36">
        <v>68703</v>
      </c>
      <c r="Q36" t="s">
        <v>248</v>
      </c>
      <c r="R36">
        <v>89.47</v>
      </c>
      <c r="S36">
        <v>3156</v>
      </c>
      <c r="T36">
        <v>73979</v>
      </c>
      <c r="U36" t="s">
        <v>349</v>
      </c>
      <c r="V36">
        <v>94.87</v>
      </c>
      <c r="W36">
        <v>2823</v>
      </c>
      <c r="X36">
        <v>69249</v>
      </c>
      <c r="Y36" t="s">
        <v>350</v>
      </c>
      <c r="Z36">
        <v>94.7</v>
      </c>
      <c r="AA36">
        <v>2790</v>
      </c>
      <c r="AB36">
        <v>69578</v>
      </c>
      <c r="AC36" t="s">
        <v>211</v>
      </c>
      <c r="AD36">
        <v>94.58</v>
      </c>
      <c r="AE36">
        <v>2992</v>
      </c>
      <c r="AF36">
        <v>65566</v>
      </c>
      <c r="AG36" t="s">
        <v>351</v>
      </c>
      <c r="AH36">
        <v>95.23</v>
      </c>
      <c r="AI36">
        <v>2981</v>
      </c>
      <c r="AJ36">
        <v>69374</v>
      </c>
      <c r="AK36" t="s">
        <v>295</v>
      </c>
      <c r="AL36">
        <v>71.53</v>
      </c>
      <c r="AM36">
        <v>5950</v>
      </c>
      <c r="AN36">
        <v>77983</v>
      </c>
      <c r="AO36" t="s">
        <v>352</v>
      </c>
      <c r="AP36">
        <v>70.489999999999995</v>
      </c>
      <c r="AQ36">
        <v>6743</v>
      </c>
      <c r="AR36">
        <v>75055</v>
      </c>
      <c r="AS36" t="s">
        <v>207</v>
      </c>
      <c r="AT36">
        <v>71.83</v>
      </c>
      <c r="AU36">
        <v>6020</v>
      </c>
      <c r="AV36">
        <v>74544</v>
      </c>
      <c r="AW36" t="s">
        <v>353</v>
      </c>
    </row>
    <row r="37" spans="1:49" x14ac:dyDescent="0.2">
      <c r="A37" t="s">
        <v>354</v>
      </c>
      <c r="B37" t="s">
        <v>173</v>
      </c>
      <c r="C37" t="s">
        <v>173</v>
      </c>
      <c r="D37" t="s">
        <v>173</v>
      </c>
      <c r="E37" t="s">
        <v>173</v>
      </c>
      <c r="F37" t="s">
        <v>173</v>
      </c>
      <c r="G37" t="s">
        <v>173</v>
      </c>
      <c r="H37" t="s">
        <v>173</v>
      </c>
      <c r="I37" t="s">
        <v>173</v>
      </c>
      <c r="J37" t="s">
        <v>173</v>
      </c>
      <c r="K37" t="s">
        <v>173</v>
      </c>
      <c r="L37" t="s">
        <v>173</v>
      </c>
      <c r="M37" t="s">
        <v>173</v>
      </c>
      <c r="N37" t="s">
        <v>173</v>
      </c>
      <c r="O37" t="s">
        <v>173</v>
      </c>
      <c r="P37" t="s">
        <v>173</v>
      </c>
      <c r="Q37" t="s">
        <v>173</v>
      </c>
      <c r="R37" t="s">
        <v>173</v>
      </c>
      <c r="S37" t="s">
        <v>173</v>
      </c>
      <c r="T37" t="s">
        <v>173</v>
      </c>
      <c r="U37" t="s">
        <v>173</v>
      </c>
      <c r="V37" t="s">
        <v>173</v>
      </c>
      <c r="W37" t="s">
        <v>173</v>
      </c>
      <c r="X37" t="s">
        <v>173</v>
      </c>
      <c r="Y37" t="s">
        <v>173</v>
      </c>
      <c r="Z37" t="s">
        <v>173</v>
      </c>
      <c r="AA37" t="s">
        <v>173</v>
      </c>
      <c r="AB37" t="s">
        <v>173</v>
      </c>
      <c r="AC37" t="s">
        <v>173</v>
      </c>
      <c r="AD37" t="s">
        <v>173</v>
      </c>
      <c r="AE37" t="s">
        <v>173</v>
      </c>
      <c r="AF37" t="s">
        <v>173</v>
      </c>
      <c r="AG37" t="s">
        <v>173</v>
      </c>
      <c r="AH37" t="s">
        <v>173</v>
      </c>
      <c r="AI37" t="s">
        <v>173</v>
      </c>
      <c r="AJ37" t="s">
        <v>173</v>
      </c>
      <c r="AK37" t="s">
        <v>173</v>
      </c>
      <c r="AL37" t="s">
        <v>173</v>
      </c>
      <c r="AM37" t="s">
        <v>173</v>
      </c>
      <c r="AN37" t="s">
        <v>173</v>
      </c>
      <c r="AO37" t="s">
        <v>173</v>
      </c>
      <c r="AP37" t="s">
        <v>173</v>
      </c>
      <c r="AQ37" t="s">
        <v>173</v>
      </c>
      <c r="AR37" t="s">
        <v>173</v>
      </c>
      <c r="AS37" t="s">
        <v>173</v>
      </c>
      <c r="AT37" t="s">
        <v>173</v>
      </c>
      <c r="AU37" t="s">
        <v>173</v>
      </c>
      <c r="AV37" t="s">
        <v>173</v>
      </c>
      <c r="AW37" t="s">
        <v>173</v>
      </c>
    </row>
    <row r="38" spans="1:49" x14ac:dyDescent="0.2">
      <c r="A38" t="s">
        <v>355</v>
      </c>
      <c r="B38">
        <v>51.79</v>
      </c>
      <c r="C38">
        <v>4792</v>
      </c>
      <c r="D38">
        <v>72331</v>
      </c>
      <c r="E38" t="s">
        <v>210</v>
      </c>
      <c r="F38">
        <v>72.760000000000005</v>
      </c>
      <c r="G38">
        <v>4490</v>
      </c>
      <c r="H38">
        <v>75756</v>
      </c>
      <c r="I38" t="s">
        <v>356</v>
      </c>
      <c r="J38">
        <v>88.15</v>
      </c>
      <c r="K38">
        <v>3108</v>
      </c>
      <c r="L38">
        <v>74915</v>
      </c>
      <c r="M38" t="s">
        <v>357</v>
      </c>
      <c r="N38">
        <v>89.86</v>
      </c>
      <c r="O38">
        <v>2689</v>
      </c>
      <c r="P38">
        <v>77712</v>
      </c>
      <c r="Q38" t="s">
        <v>358</v>
      </c>
      <c r="R38">
        <v>90.08</v>
      </c>
      <c r="S38">
        <v>3597</v>
      </c>
      <c r="T38">
        <v>73884</v>
      </c>
      <c r="U38" t="s">
        <v>359</v>
      </c>
      <c r="V38">
        <v>87.29</v>
      </c>
      <c r="W38">
        <v>4317</v>
      </c>
      <c r="X38">
        <v>72506</v>
      </c>
      <c r="Y38" t="s">
        <v>360</v>
      </c>
      <c r="Z38">
        <v>90.99</v>
      </c>
      <c r="AA38">
        <v>3998</v>
      </c>
      <c r="AB38">
        <v>71990</v>
      </c>
      <c r="AC38" t="s">
        <v>294</v>
      </c>
      <c r="AD38">
        <v>89.83</v>
      </c>
      <c r="AE38">
        <v>4600</v>
      </c>
      <c r="AF38">
        <v>74562</v>
      </c>
      <c r="AG38" t="s">
        <v>184</v>
      </c>
      <c r="AH38">
        <v>92.71</v>
      </c>
      <c r="AI38">
        <v>3621</v>
      </c>
      <c r="AJ38">
        <v>74602</v>
      </c>
      <c r="AK38" t="s">
        <v>296</v>
      </c>
      <c r="AL38">
        <v>60.18</v>
      </c>
      <c r="AM38">
        <v>6650</v>
      </c>
      <c r="AN38">
        <v>78377</v>
      </c>
      <c r="AO38" t="s">
        <v>361</v>
      </c>
      <c r="AP38">
        <v>58.67</v>
      </c>
      <c r="AQ38">
        <v>6600</v>
      </c>
      <c r="AR38">
        <v>80118</v>
      </c>
      <c r="AS38" t="s">
        <v>362</v>
      </c>
      <c r="AT38">
        <v>56.42</v>
      </c>
      <c r="AU38">
        <v>6733</v>
      </c>
      <c r="AV38">
        <v>76993</v>
      </c>
      <c r="AW38" t="s">
        <v>208</v>
      </c>
    </row>
    <row r="39" spans="1:49" x14ac:dyDescent="0.2">
      <c r="A39" t="s">
        <v>363</v>
      </c>
      <c r="B39">
        <v>72.22</v>
      </c>
      <c r="C39">
        <v>13000</v>
      </c>
      <c r="D39" t="s">
        <v>173</v>
      </c>
      <c r="E39" t="s">
        <v>173</v>
      </c>
      <c r="F39">
        <v>72.22</v>
      </c>
      <c r="G39">
        <v>13000</v>
      </c>
      <c r="H39" t="s">
        <v>173</v>
      </c>
      <c r="I39" t="s">
        <v>173</v>
      </c>
      <c r="J39">
        <v>72.22</v>
      </c>
      <c r="K39">
        <v>13000</v>
      </c>
      <c r="L39" t="s">
        <v>173</v>
      </c>
      <c r="M39" t="s">
        <v>173</v>
      </c>
      <c r="N39">
        <v>72.22</v>
      </c>
      <c r="O39">
        <v>13000</v>
      </c>
      <c r="P39" t="s">
        <v>173</v>
      </c>
      <c r="Q39" t="s">
        <v>173</v>
      </c>
      <c r="R39">
        <v>72.22</v>
      </c>
      <c r="S39">
        <v>13000</v>
      </c>
      <c r="T39" t="s">
        <v>173</v>
      </c>
      <c r="U39" t="s">
        <v>173</v>
      </c>
      <c r="V39">
        <v>72.22</v>
      </c>
      <c r="W39">
        <v>13000</v>
      </c>
      <c r="X39" t="s">
        <v>173</v>
      </c>
      <c r="Y39" t="s">
        <v>173</v>
      </c>
      <c r="Z39">
        <v>72.22</v>
      </c>
      <c r="AA39">
        <v>13000</v>
      </c>
      <c r="AB39" t="s">
        <v>173</v>
      </c>
      <c r="AC39" t="s">
        <v>173</v>
      </c>
      <c r="AD39">
        <v>72.22</v>
      </c>
      <c r="AE39">
        <v>13000</v>
      </c>
      <c r="AF39" t="s">
        <v>173</v>
      </c>
      <c r="AG39" t="s">
        <v>173</v>
      </c>
      <c r="AH39">
        <v>72.22</v>
      </c>
      <c r="AI39">
        <v>13000</v>
      </c>
      <c r="AJ39" t="s">
        <v>173</v>
      </c>
      <c r="AK39" t="s">
        <v>173</v>
      </c>
      <c r="AL39" t="s">
        <v>173</v>
      </c>
      <c r="AM39" t="s">
        <v>173</v>
      </c>
      <c r="AN39" t="s">
        <v>173</v>
      </c>
      <c r="AO39" t="s">
        <v>173</v>
      </c>
      <c r="AP39" t="s">
        <v>173</v>
      </c>
      <c r="AQ39" t="s">
        <v>173</v>
      </c>
      <c r="AR39" t="s">
        <v>173</v>
      </c>
      <c r="AS39" t="s">
        <v>173</v>
      </c>
      <c r="AT39" t="s">
        <v>173</v>
      </c>
      <c r="AU39" t="s">
        <v>173</v>
      </c>
      <c r="AV39" t="s">
        <v>173</v>
      </c>
      <c r="AW39" t="s">
        <v>173</v>
      </c>
    </row>
    <row r="40" spans="1:49" x14ac:dyDescent="0.2">
      <c r="A40" t="s">
        <v>364</v>
      </c>
      <c r="B40">
        <v>83.33</v>
      </c>
      <c r="C40">
        <v>2500</v>
      </c>
      <c r="D40" t="s">
        <v>173</v>
      </c>
      <c r="E40" t="s">
        <v>173</v>
      </c>
      <c r="F40">
        <v>83.33</v>
      </c>
      <c r="G40">
        <v>2500</v>
      </c>
      <c r="H40" t="s">
        <v>173</v>
      </c>
      <c r="I40" t="s">
        <v>173</v>
      </c>
      <c r="J40">
        <v>83.33</v>
      </c>
      <c r="K40">
        <v>2500</v>
      </c>
      <c r="L40" t="s">
        <v>173</v>
      </c>
      <c r="M40" t="s">
        <v>173</v>
      </c>
      <c r="N40">
        <v>83.33</v>
      </c>
      <c r="O40">
        <v>2500</v>
      </c>
      <c r="P40" t="s">
        <v>173</v>
      </c>
      <c r="Q40" t="s">
        <v>173</v>
      </c>
      <c r="R40">
        <v>83.33</v>
      </c>
      <c r="S40">
        <v>2500</v>
      </c>
      <c r="T40" t="s">
        <v>173</v>
      </c>
      <c r="U40" t="s">
        <v>173</v>
      </c>
      <c r="V40">
        <v>83.33</v>
      </c>
      <c r="W40">
        <v>2500</v>
      </c>
      <c r="X40" t="s">
        <v>173</v>
      </c>
      <c r="Y40" t="s">
        <v>173</v>
      </c>
      <c r="Z40">
        <v>83.33</v>
      </c>
      <c r="AA40">
        <v>2500</v>
      </c>
      <c r="AB40" t="s">
        <v>173</v>
      </c>
      <c r="AC40" t="s">
        <v>173</v>
      </c>
      <c r="AD40">
        <v>83.33</v>
      </c>
      <c r="AE40">
        <v>2500</v>
      </c>
      <c r="AF40" t="s">
        <v>173</v>
      </c>
      <c r="AG40" t="s">
        <v>173</v>
      </c>
      <c r="AH40">
        <v>83.33</v>
      </c>
      <c r="AI40">
        <v>2500</v>
      </c>
      <c r="AJ40" t="s">
        <v>173</v>
      </c>
      <c r="AK40" t="s">
        <v>173</v>
      </c>
      <c r="AL40" t="s">
        <v>173</v>
      </c>
      <c r="AM40" t="s">
        <v>173</v>
      </c>
      <c r="AN40" t="s">
        <v>173</v>
      </c>
      <c r="AO40" t="s">
        <v>173</v>
      </c>
      <c r="AP40" t="s">
        <v>173</v>
      </c>
      <c r="AQ40" t="s">
        <v>173</v>
      </c>
      <c r="AR40" t="s">
        <v>173</v>
      </c>
      <c r="AS40" t="s">
        <v>173</v>
      </c>
      <c r="AT40" t="s">
        <v>173</v>
      </c>
      <c r="AU40" t="s">
        <v>173</v>
      </c>
      <c r="AV40" t="s">
        <v>173</v>
      </c>
      <c r="AW40" t="s">
        <v>173</v>
      </c>
    </row>
    <row r="41" spans="1:49" x14ac:dyDescent="0.2">
      <c r="A41" t="s">
        <v>365</v>
      </c>
      <c r="B41">
        <v>147.76</v>
      </c>
      <c r="C41">
        <v>3783</v>
      </c>
      <c r="D41" t="s">
        <v>173</v>
      </c>
      <c r="E41" t="s">
        <v>173</v>
      </c>
      <c r="F41">
        <v>152.1</v>
      </c>
      <c r="G41">
        <v>3827</v>
      </c>
      <c r="H41" t="s">
        <v>173</v>
      </c>
      <c r="I41" t="s">
        <v>173</v>
      </c>
      <c r="J41">
        <v>132.38999999999999</v>
      </c>
      <c r="K41">
        <v>4484</v>
      </c>
      <c r="L41" t="s">
        <v>173</v>
      </c>
      <c r="M41" t="s">
        <v>173</v>
      </c>
      <c r="N41">
        <v>104.88</v>
      </c>
      <c r="O41">
        <v>5680</v>
      </c>
      <c r="P41" t="s">
        <v>173</v>
      </c>
      <c r="Q41" t="s">
        <v>173</v>
      </c>
      <c r="R41">
        <v>77.27</v>
      </c>
      <c r="S41">
        <v>6715</v>
      </c>
      <c r="T41" t="s">
        <v>173</v>
      </c>
      <c r="U41" t="s">
        <v>173</v>
      </c>
      <c r="V41">
        <v>77.56</v>
      </c>
      <c r="W41">
        <v>6772</v>
      </c>
      <c r="X41" t="s">
        <v>173</v>
      </c>
      <c r="Y41" t="s">
        <v>173</v>
      </c>
      <c r="Z41">
        <v>80.61</v>
      </c>
      <c r="AA41">
        <v>6047</v>
      </c>
      <c r="AB41" t="s">
        <v>173</v>
      </c>
      <c r="AC41" t="s">
        <v>173</v>
      </c>
      <c r="AD41">
        <v>81.42</v>
      </c>
      <c r="AE41">
        <v>6074</v>
      </c>
      <c r="AF41" t="s">
        <v>173</v>
      </c>
      <c r="AG41" t="s">
        <v>173</v>
      </c>
      <c r="AH41">
        <v>78.819999999999993</v>
      </c>
      <c r="AI41">
        <v>6382</v>
      </c>
      <c r="AJ41" t="s">
        <v>173</v>
      </c>
      <c r="AK41" t="s">
        <v>173</v>
      </c>
      <c r="AL41">
        <v>72.72</v>
      </c>
      <c r="AM41">
        <v>6135</v>
      </c>
      <c r="AN41" t="s">
        <v>173</v>
      </c>
      <c r="AO41" t="s">
        <v>173</v>
      </c>
      <c r="AP41">
        <v>71.62</v>
      </c>
      <c r="AQ41">
        <v>6064</v>
      </c>
      <c r="AR41" t="s">
        <v>173</v>
      </c>
      <c r="AS41" t="s">
        <v>173</v>
      </c>
      <c r="AT41">
        <v>71.63</v>
      </c>
      <c r="AU41">
        <v>6099</v>
      </c>
      <c r="AV41" t="s">
        <v>173</v>
      </c>
      <c r="AW41" t="s">
        <v>173</v>
      </c>
    </row>
    <row r="42" spans="1:49" x14ac:dyDescent="0.2">
      <c r="A42" t="s">
        <v>12</v>
      </c>
      <c r="B42" t="s">
        <v>173</v>
      </c>
      <c r="C42" t="s">
        <v>173</v>
      </c>
      <c r="D42" t="s">
        <v>173</v>
      </c>
      <c r="E42" t="s">
        <v>173</v>
      </c>
      <c r="F42" t="s">
        <v>173</v>
      </c>
      <c r="G42" t="s">
        <v>173</v>
      </c>
      <c r="H42" t="s">
        <v>173</v>
      </c>
      <c r="I42" t="s">
        <v>173</v>
      </c>
      <c r="J42" t="s">
        <v>173</v>
      </c>
      <c r="K42" t="s">
        <v>173</v>
      </c>
      <c r="L42" t="s">
        <v>173</v>
      </c>
      <c r="M42" t="s">
        <v>173</v>
      </c>
      <c r="N42">
        <v>68.349999999999994</v>
      </c>
      <c r="O42">
        <v>5400</v>
      </c>
      <c r="P42" t="s">
        <v>173</v>
      </c>
      <c r="Q42" t="s">
        <v>173</v>
      </c>
      <c r="R42">
        <v>68.349999999999994</v>
      </c>
      <c r="S42">
        <v>5400</v>
      </c>
      <c r="T42" t="s">
        <v>173</v>
      </c>
      <c r="U42" t="s">
        <v>173</v>
      </c>
      <c r="V42">
        <v>69.62</v>
      </c>
      <c r="W42">
        <v>5500</v>
      </c>
      <c r="X42" t="s">
        <v>173</v>
      </c>
      <c r="Y42" t="s">
        <v>173</v>
      </c>
      <c r="Z42" t="s">
        <v>173</v>
      </c>
      <c r="AA42" t="s">
        <v>173</v>
      </c>
      <c r="AB42" t="s">
        <v>173</v>
      </c>
      <c r="AC42" t="s">
        <v>173</v>
      </c>
      <c r="AD42" t="s">
        <v>173</v>
      </c>
      <c r="AE42" t="s">
        <v>173</v>
      </c>
      <c r="AF42" t="s">
        <v>173</v>
      </c>
      <c r="AG42" t="s">
        <v>173</v>
      </c>
      <c r="AH42" t="s">
        <v>173</v>
      </c>
      <c r="AI42" t="s">
        <v>173</v>
      </c>
      <c r="AJ42" t="s">
        <v>173</v>
      </c>
      <c r="AK42" t="s">
        <v>173</v>
      </c>
      <c r="AL42" t="s">
        <v>173</v>
      </c>
      <c r="AM42" t="s">
        <v>173</v>
      </c>
      <c r="AN42" t="s">
        <v>173</v>
      </c>
      <c r="AO42" t="s">
        <v>173</v>
      </c>
      <c r="AP42" t="s">
        <v>173</v>
      </c>
      <c r="AQ42" t="s">
        <v>173</v>
      </c>
      <c r="AR42" t="s">
        <v>173</v>
      </c>
      <c r="AS42" t="s">
        <v>173</v>
      </c>
      <c r="AT42" t="s">
        <v>173</v>
      </c>
      <c r="AU42" t="s">
        <v>173</v>
      </c>
      <c r="AV42" t="s">
        <v>173</v>
      </c>
      <c r="AW42" t="s">
        <v>173</v>
      </c>
    </row>
    <row r="43" spans="1:49" x14ac:dyDescent="0.2">
      <c r="A43" t="s">
        <v>366</v>
      </c>
      <c r="B43" t="s">
        <v>173</v>
      </c>
      <c r="C43" t="s">
        <v>173</v>
      </c>
      <c r="D43" t="s">
        <v>173</v>
      </c>
      <c r="E43" t="s">
        <v>173</v>
      </c>
      <c r="F43" t="s">
        <v>173</v>
      </c>
      <c r="G43" t="s">
        <v>173</v>
      </c>
      <c r="H43" t="s">
        <v>173</v>
      </c>
      <c r="I43" t="s">
        <v>173</v>
      </c>
      <c r="J43" t="s">
        <v>173</v>
      </c>
      <c r="K43" t="s">
        <v>173</v>
      </c>
      <c r="L43" t="s">
        <v>173</v>
      </c>
      <c r="M43" t="s">
        <v>173</v>
      </c>
      <c r="N43" t="s">
        <v>173</v>
      </c>
      <c r="O43" t="s">
        <v>173</v>
      </c>
      <c r="P43" t="s">
        <v>173</v>
      </c>
      <c r="Q43" t="s">
        <v>173</v>
      </c>
      <c r="R43" t="s">
        <v>173</v>
      </c>
      <c r="S43" t="s">
        <v>173</v>
      </c>
      <c r="T43" t="s">
        <v>173</v>
      </c>
      <c r="U43" t="s">
        <v>173</v>
      </c>
      <c r="V43" t="s">
        <v>173</v>
      </c>
      <c r="W43" t="s">
        <v>173</v>
      </c>
      <c r="X43" t="s">
        <v>173</v>
      </c>
      <c r="Y43" t="s">
        <v>173</v>
      </c>
      <c r="Z43" t="s">
        <v>173</v>
      </c>
      <c r="AA43" t="s">
        <v>173</v>
      </c>
      <c r="AB43" t="s">
        <v>173</v>
      </c>
      <c r="AC43" t="s">
        <v>173</v>
      </c>
      <c r="AD43" t="s">
        <v>173</v>
      </c>
      <c r="AE43" t="s">
        <v>173</v>
      </c>
      <c r="AF43" t="s">
        <v>173</v>
      </c>
      <c r="AG43" t="s">
        <v>173</v>
      </c>
      <c r="AH43" t="s">
        <v>173</v>
      </c>
      <c r="AI43" t="s">
        <v>173</v>
      </c>
      <c r="AJ43" t="s">
        <v>173</v>
      </c>
      <c r="AK43" t="s">
        <v>173</v>
      </c>
      <c r="AL43" t="s">
        <v>173</v>
      </c>
      <c r="AM43" t="s">
        <v>173</v>
      </c>
      <c r="AN43" t="s">
        <v>173</v>
      </c>
      <c r="AO43" t="s">
        <v>173</v>
      </c>
      <c r="AP43" t="s">
        <v>173</v>
      </c>
      <c r="AQ43" t="s">
        <v>173</v>
      </c>
      <c r="AR43" t="s">
        <v>173</v>
      </c>
      <c r="AS43" t="s">
        <v>173</v>
      </c>
      <c r="AT43" t="s">
        <v>173</v>
      </c>
      <c r="AU43" t="s">
        <v>173</v>
      </c>
      <c r="AV43" t="s">
        <v>173</v>
      </c>
      <c r="AW43" t="s">
        <v>173</v>
      </c>
    </row>
    <row r="44" spans="1:49" x14ac:dyDescent="0.2">
      <c r="A44" t="s">
        <v>367</v>
      </c>
      <c r="B44">
        <v>132.27000000000001</v>
      </c>
      <c r="C44">
        <v>17405</v>
      </c>
      <c r="D44">
        <v>113914</v>
      </c>
      <c r="E44" t="s">
        <v>169</v>
      </c>
      <c r="F44">
        <v>130.31</v>
      </c>
      <c r="G44">
        <v>16428</v>
      </c>
      <c r="H44">
        <v>115974</v>
      </c>
      <c r="I44" t="s">
        <v>368</v>
      </c>
      <c r="J44">
        <v>119.09</v>
      </c>
      <c r="K44">
        <v>14052</v>
      </c>
      <c r="L44">
        <v>116756</v>
      </c>
      <c r="M44" t="s">
        <v>206</v>
      </c>
      <c r="N44">
        <v>120</v>
      </c>
      <c r="O44">
        <v>14823</v>
      </c>
      <c r="P44">
        <v>117666</v>
      </c>
      <c r="Q44" t="s">
        <v>369</v>
      </c>
      <c r="R44">
        <v>126.19</v>
      </c>
      <c r="S44">
        <v>15662</v>
      </c>
      <c r="T44">
        <v>122978</v>
      </c>
      <c r="U44" t="s">
        <v>370</v>
      </c>
      <c r="V44">
        <v>124.52</v>
      </c>
      <c r="W44">
        <v>15917</v>
      </c>
      <c r="X44">
        <v>121719</v>
      </c>
      <c r="Y44" t="s">
        <v>371</v>
      </c>
      <c r="Z44">
        <v>127.83</v>
      </c>
      <c r="AA44">
        <v>17172</v>
      </c>
      <c r="AB44">
        <v>119338</v>
      </c>
      <c r="AC44" t="s">
        <v>372</v>
      </c>
      <c r="AD44">
        <v>140.91</v>
      </c>
      <c r="AE44">
        <v>20933</v>
      </c>
      <c r="AF44">
        <v>118794</v>
      </c>
      <c r="AG44" t="s">
        <v>373</v>
      </c>
      <c r="AH44">
        <v>138.69</v>
      </c>
      <c r="AI44">
        <v>18900</v>
      </c>
      <c r="AJ44">
        <v>120738</v>
      </c>
      <c r="AK44" t="s">
        <v>253</v>
      </c>
      <c r="AL44">
        <v>118.47</v>
      </c>
      <c r="AM44">
        <v>14011</v>
      </c>
      <c r="AN44">
        <v>121389</v>
      </c>
      <c r="AO44" t="s">
        <v>374</v>
      </c>
      <c r="AP44">
        <v>120.05</v>
      </c>
      <c r="AQ44">
        <v>14011</v>
      </c>
      <c r="AR44">
        <v>120759</v>
      </c>
      <c r="AS44" t="s">
        <v>375</v>
      </c>
      <c r="AT44">
        <v>119.77</v>
      </c>
      <c r="AU44">
        <v>13848</v>
      </c>
      <c r="AV44">
        <v>119050</v>
      </c>
      <c r="AW44" t="s">
        <v>376</v>
      </c>
    </row>
    <row r="45" spans="1:49" x14ac:dyDescent="0.2">
      <c r="A45" t="s">
        <v>24</v>
      </c>
      <c r="B45">
        <v>83.97</v>
      </c>
      <c r="C45">
        <v>9200</v>
      </c>
      <c r="D45">
        <v>64524</v>
      </c>
      <c r="E45" t="s">
        <v>377</v>
      </c>
      <c r="F45">
        <v>84.43</v>
      </c>
      <c r="G45">
        <v>8948</v>
      </c>
      <c r="H45">
        <v>65474</v>
      </c>
      <c r="I45" t="s">
        <v>326</v>
      </c>
      <c r="J45">
        <v>89.53</v>
      </c>
      <c r="K45">
        <v>8745</v>
      </c>
      <c r="L45">
        <v>65901</v>
      </c>
      <c r="M45" t="s">
        <v>284</v>
      </c>
      <c r="N45">
        <v>88.15</v>
      </c>
      <c r="O45">
        <v>8668</v>
      </c>
      <c r="P45">
        <v>65900</v>
      </c>
      <c r="Q45" t="s">
        <v>241</v>
      </c>
      <c r="R45">
        <v>85.08</v>
      </c>
      <c r="S45">
        <v>9468</v>
      </c>
      <c r="T45">
        <v>67199</v>
      </c>
      <c r="U45" t="s">
        <v>378</v>
      </c>
      <c r="V45">
        <v>86.8</v>
      </c>
      <c r="W45">
        <v>9839</v>
      </c>
      <c r="X45">
        <v>67866</v>
      </c>
      <c r="Y45" t="s">
        <v>291</v>
      </c>
      <c r="Z45">
        <v>90.66</v>
      </c>
      <c r="AA45">
        <v>9653</v>
      </c>
      <c r="AB45">
        <v>68447</v>
      </c>
      <c r="AC45" t="s">
        <v>379</v>
      </c>
      <c r="AD45">
        <v>87.95</v>
      </c>
      <c r="AE45">
        <v>9819</v>
      </c>
      <c r="AF45">
        <v>67828</v>
      </c>
      <c r="AG45" t="s">
        <v>380</v>
      </c>
      <c r="AH45">
        <v>88.22</v>
      </c>
      <c r="AI45">
        <v>9397</v>
      </c>
      <c r="AJ45">
        <v>68396</v>
      </c>
      <c r="AK45" t="s">
        <v>326</v>
      </c>
      <c r="AL45">
        <v>79.239999999999995</v>
      </c>
      <c r="AM45">
        <v>9053</v>
      </c>
      <c r="AN45">
        <v>68447</v>
      </c>
      <c r="AO45" t="s">
        <v>322</v>
      </c>
      <c r="AP45">
        <v>79.290000000000006</v>
      </c>
      <c r="AQ45">
        <v>9790</v>
      </c>
      <c r="AR45">
        <v>69343</v>
      </c>
      <c r="AS45" t="s">
        <v>300</v>
      </c>
      <c r="AT45">
        <v>79.430000000000007</v>
      </c>
      <c r="AU45">
        <v>8306</v>
      </c>
      <c r="AV45">
        <v>69642</v>
      </c>
      <c r="AW45" t="s">
        <v>381</v>
      </c>
    </row>
    <row r="46" spans="1:49" x14ac:dyDescent="0.2">
      <c r="A46" t="s">
        <v>382</v>
      </c>
      <c r="B46">
        <v>66.75</v>
      </c>
      <c r="C46">
        <v>4811</v>
      </c>
      <c r="D46">
        <v>47361</v>
      </c>
      <c r="E46" t="s">
        <v>216</v>
      </c>
      <c r="F46">
        <v>67.41</v>
      </c>
      <c r="G46">
        <v>4813</v>
      </c>
      <c r="H46">
        <v>48085</v>
      </c>
      <c r="I46" t="s">
        <v>383</v>
      </c>
      <c r="J46">
        <v>68.31</v>
      </c>
      <c r="K46">
        <v>4871</v>
      </c>
      <c r="L46">
        <v>48593</v>
      </c>
      <c r="M46" t="s">
        <v>288</v>
      </c>
      <c r="N46">
        <v>68.209999999999994</v>
      </c>
      <c r="O46">
        <v>4916</v>
      </c>
      <c r="P46">
        <v>49472</v>
      </c>
      <c r="Q46" t="s">
        <v>384</v>
      </c>
      <c r="R46">
        <v>68.27</v>
      </c>
      <c r="S46">
        <v>4906</v>
      </c>
      <c r="T46">
        <v>49540</v>
      </c>
      <c r="U46" t="s">
        <v>385</v>
      </c>
      <c r="V46">
        <v>69.540000000000006</v>
      </c>
      <c r="W46">
        <v>5074</v>
      </c>
      <c r="X46">
        <v>50113</v>
      </c>
      <c r="Y46" t="s">
        <v>287</v>
      </c>
      <c r="Z46">
        <v>70.099999999999994</v>
      </c>
      <c r="AA46">
        <v>5111</v>
      </c>
      <c r="AB46">
        <v>50792</v>
      </c>
      <c r="AC46" t="s">
        <v>384</v>
      </c>
      <c r="AD46">
        <v>72.63</v>
      </c>
      <c r="AE46">
        <v>5201</v>
      </c>
      <c r="AF46">
        <v>51949</v>
      </c>
      <c r="AG46" t="s">
        <v>256</v>
      </c>
      <c r="AH46">
        <v>72.22</v>
      </c>
      <c r="AI46">
        <v>5188</v>
      </c>
      <c r="AJ46">
        <v>52307</v>
      </c>
      <c r="AK46" t="s">
        <v>386</v>
      </c>
      <c r="AL46">
        <v>71.569999999999993</v>
      </c>
      <c r="AM46">
        <v>5448</v>
      </c>
      <c r="AN46">
        <v>52323</v>
      </c>
      <c r="AO46" t="s">
        <v>286</v>
      </c>
      <c r="AP46">
        <v>70.959999999999994</v>
      </c>
      <c r="AQ46">
        <v>5335</v>
      </c>
      <c r="AR46">
        <v>52949</v>
      </c>
      <c r="AS46" t="s">
        <v>315</v>
      </c>
      <c r="AT46">
        <v>71.209999999999994</v>
      </c>
      <c r="AU46">
        <v>5370</v>
      </c>
      <c r="AV46">
        <v>53488</v>
      </c>
      <c r="AW46" t="s">
        <v>301</v>
      </c>
    </row>
    <row r="47" spans="1:49" x14ac:dyDescent="0.2">
      <c r="A47" t="s">
        <v>267</v>
      </c>
      <c r="B47" t="s">
        <v>173</v>
      </c>
      <c r="C47" t="s">
        <v>173</v>
      </c>
      <c r="D47">
        <v>42416</v>
      </c>
      <c r="E47" t="s">
        <v>173</v>
      </c>
      <c r="F47" t="s">
        <v>173</v>
      </c>
      <c r="G47" t="s">
        <v>173</v>
      </c>
      <c r="H47">
        <v>43746</v>
      </c>
      <c r="I47" t="s">
        <v>173</v>
      </c>
      <c r="J47" t="s">
        <v>173</v>
      </c>
      <c r="K47" t="s">
        <v>173</v>
      </c>
      <c r="L47">
        <v>45682</v>
      </c>
      <c r="M47" t="s">
        <v>173</v>
      </c>
      <c r="N47" t="s">
        <v>173</v>
      </c>
      <c r="O47" t="s">
        <v>173</v>
      </c>
      <c r="P47">
        <v>45417</v>
      </c>
      <c r="Q47" t="s">
        <v>173</v>
      </c>
      <c r="R47" t="s">
        <v>173</v>
      </c>
      <c r="S47" t="s">
        <v>173</v>
      </c>
      <c r="T47">
        <v>46537</v>
      </c>
      <c r="U47" t="s">
        <v>173</v>
      </c>
      <c r="V47" t="s">
        <v>173</v>
      </c>
      <c r="W47" t="s">
        <v>173</v>
      </c>
      <c r="X47">
        <v>46267</v>
      </c>
      <c r="Y47" t="s">
        <v>173</v>
      </c>
      <c r="Z47" t="s">
        <v>173</v>
      </c>
      <c r="AA47" t="s">
        <v>173</v>
      </c>
      <c r="AB47">
        <v>47377</v>
      </c>
      <c r="AC47" t="s">
        <v>173</v>
      </c>
      <c r="AD47" t="s">
        <v>173</v>
      </c>
      <c r="AE47" t="s">
        <v>173</v>
      </c>
      <c r="AF47">
        <v>49240</v>
      </c>
      <c r="AG47" t="s">
        <v>173</v>
      </c>
      <c r="AH47" t="s">
        <v>173</v>
      </c>
      <c r="AI47" t="s">
        <v>173</v>
      </c>
      <c r="AJ47">
        <v>49679</v>
      </c>
      <c r="AK47" t="s">
        <v>173</v>
      </c>
      <c r="AL47">
        <v>78.180000000000007</v>
      </c>
      <c r="AM47">
        <v>4300</v>
      </c>
      <c r="AN47">
        <v>49960</v>
      </c>
      <c r="AO47" t="s">
        <v>279</v>
      </c>
      <c r="AP47">
        <v>83.62</v>
      </c>
      <c r="AQ47">
        <v>4599</v>
      </c>
      <c r="AR47">
        <v>50149</v>
      </c>
      <c r="AS47" t="s">
        <v>272</v>
      </c>
      <c r="AT47">
        <v>80.59</v>
      </c>
      <c r="AU47">
        <v>4433</v>
      </c>
      <c r="AV47">
        <v>49902</v>
      </c>
      <c r="AW47" t="s">
        <v>387</v>
      </c>
    </row>
    <row r="48" spans="1:49" x14ac:dyDescent="0.2">
      <c r="A48" t="s">
        <v>388</v>
      </c>
      <c r="B48" t="s">
        <v>173</v>
      </c>
      <c r="C48" t="s">
        <v>173</v>
      </c>
      <c r="D48" t="s">
        <v>173</v>
      </c>
      <c r="E48" t="s">
        <v>173</v>
      </c>
      <c r="F48" t="s">
        <v>173</v>
      </c>
      <c r="G48" t="s">
        <v>173</v>
      </c>
      <c r="H48" t="s">
        <v>173</v>
      </c>
      <c r="I48" t="s">
        <v>173</v>
      </c>
      <c r="J48" t="s">
        <v>173</v>
      </c>
      <c r="K48" t="s">
        <v>173</v>
      </c>
      <c r="L48" t="s">
        <v>173</v>
      </c>
      <c r="M48" t="s">
        <v>173</v>
      </c>
      <c r="N48" t="s">
        <v>173</v>
      </c>
      <c r="O48" t="s">
        <v>173</v>
      </c>
      <c r="P48" t="s">
        <v>173</v>
      </c>
      <c r="Q48" t="s">
        <v>173</v>
      </c>
      <c r="R48" t="s">
        <v>173</v>
      </c>
      <c r="S48" t="s">
        <v>173</v>
      </c>
      <c r="T48" t="s">
        <v>173</v>
      </c>
      <c r="U48" t="s">
        <v>173</v>
      </c>
      <c r="V48" t="s">
        <v>173</v>
      </c>
      <c r="W48" t="s">
        <v>173</v>
      </c>
      <c r="X48" t="s">
        <v>173</v>
      </c>
      <c r="Y48" t="s">
        <v>173</v>
      </c>
      <c r="Z48" t="s">
        <v>173</v>
      </c>
      <c r="AA48" t="s">
        <v>173</v>
      </c>
      <c r="AB48" t="s">
        <v>173</v>
      </c>
      <c r="AC48" t="s">
        <v>173</v>
      </c>
      <c r="AD48" t="s">
        <v>173</v>
      </c>
      <c r="AE48" t="s">
        <v>173</v>
      </c>
      <c r="AF48" t="s">
        <v>173</v>
      </c>
      <c r="AG48" t="s">
        <v>173</v>
      </c>
      <c r="AH48" t="s">
        <v>173</v>
      </c>
      <c r="AI48" t="s">
        <v>173</v>
      </c>
      <c r="AJ48" t="s">
        <v>173</v>
      </c>
      <c r="AK48" t="s">
        <v>173</v>
      </c>
      <c r="AL48" t="s">
        <v>173</v>
      </c>
      <c r="AM48" t="s">
        <v>173</v>
      </c>
      <c r="AN48" t="s">
        <v>173</v>
      </c>
      <c r="AO48" t="s">
        <v>173</v>
      </c>
      <c r="AP48" t="s">
        <v>173</v>
      </c>
      <c r="AQ48" t="s">
        <v>173</v>
      </c>
      <c r="AR48" t="s">
        <v>173</v>
      </c>
      <c r="AS48" t="s">
        <v>173</v>
      </c>
      <c r="AT48" t="s">
        <v>173</v>
      </c>
      <c r="AU48" t="s">
        <v>173</v>
      </c>
      <c r="AV48" t="s">
        <v>173</v>
      </c>
      <c r="AW48" t="s">
        <v>173</v>
      </c>
    </row>
    <row r="49" spans="1:49" x14ac:dyDescent="0.2">
      <c r="A49" t="s">
        <v>244</v>
      </c>
      <c r="B49">
        <v>68.650000000000006</v>
      </c>
      <c r="C49">
        <v>4494</v>
      </c>
      <c r="D49">
        <v>47356</v>
      </c>
      <c r="E49" t="s">
        <v>289</v>
      </c>
      <c r="F49">
        <v>69.430000000000007</v>
      </c>
      <c r="G49">
        <v>4703</v>
      </c>
      <c r="H49">
        <v>48059</v>
      </c>
      <c r="I49" t="s">
        <v>389</v>
      </c>
      <c r="J49">
        <v>73.989999999999995</v>
      </c>
      <c r="K49">
        <v>4963</v>
      </c>
      <c r="L49">
        <v>48483</v>
      </c>
      <c r="M49" t="s">
        <v>156</v>
      </c>
      <c r="N49">
        <v>73.849999999999994</v>
      </c>
      <c r="O49">
        <v>4962</v>
      </c>
      <c r="P49">
        <v>49306</v>
      </c>
      <c r="Q49" t="s">
        <v>277</v>
      </c>
      <c r="R49">
        <v>74.540000000000006</v>
      </c>
      <c r="S49">
        <v>4996</v>
      </c>
      <c r="T49">
        <v>49701</v>
      </c>
      <c r="U49" t="s">
        <v>390</v>
      </c>
      <c r="V49">
        <v>73.45</v>
      </c>
      <c r="W49">
        <v>5023</v>
      </c>
      <c r="X49">
        <v>50176</v>
      </c>
      <c r="Y49" t="s">
        <v>391</v>
      </c>
      <c r="Z49">
        <v>72.19</v>
      </c>
      <c r="AA49">
        <v>5207</v>
      </c>
      <c r="AB49">
        <v>50350</v>
      </c>
      <c r="AC49" t="s">
        <v>180</v>
      </c>
      <c r="AD49">
        <v>75.08</v>
      </c>
      <c r="AE49">
        <v>5350</v>
      </c>
      <c r="AF49">
        <v>51057</v>
      </c>
      <c r="AG49" t="s">
        <v>215</v>
      </c>
      <c r="AH49">
        <v>75.55</v>
      </c>
      <c r="AI49">
        <v>5336</v>
      </c>
      <c r="AJ49">
        <v>51558</v>
      </c>
      <c r="AK49" t="s">
        <v>179</v>
      </c>
      <c r="AL49">
        <v>73.73</v>
      </c>
      <c r="AM49">
        <v>5443</v>
      </c>
      <c r="AN49">
        <v>51778</v>
      </c>
      <c r="AO49" t="s">
        <v>392</v>
      </c>
      <c r="AP49">
        <v>73.430000000000007</v>
      </c>
      <c r="AQ49">
        <v>5410</v>
      </c>
      <c r="AR49">
        <v>52007</v>
      </c>
      <c r="AS49" t="s">
        <v>320</v>
      </c>
      <c r="AT49">
        <v>74.06</v>
      </c>
      <c r="AU49">
        <v>5294</v>
      </c>
      <c r="AV49">
        <v>52951</v>
      </c>
      <c r="AW49" t="s">
        <v>256</v>
      </c>
    </row>
    <row r="50" spans="1:49" x14ac:dyDescent="0.2">
      <c r="A50" t="s">
        <v>393</v>
      </c>
      <c r="B50" t="s">
        <v>173</v>
      </c>
      <c r="C50" t="s">
        <v>173</v>
      </c>
      <c r="D50" t="s">
        <v>173</v>
      </c>
      <c r="E50" t="s">
        <v>173</v>
      </c>
      <c r="F50" t="s">
        <v>173</v>
      </c>
      <c r="G50" t="s">
        <v>173</v>
      </c>
      <c r="H50" t="s">
        <v>173</v>
      </c>
      <c r="I50" t="s">
        <v>173</v>
      </c>
      <c r="J50" t="s">
        <v>173</v>
      </c>
      <c r="K50" t="s">
        <v>173</v>
      </c>
      <c r="L50" t="s">
        <v>173</v>
      </c>
      <c r="M50" t="s">
        <v>173</v>
      </c>
      <c r="N50" t="s">
        <v>173</v>
      </c>
      <c r="O50" t="s">
        <v>173</v>
      </c>
      <c r="P50" t="s">
        <v>173</v>
      </c>
      <c r="Q50" t="s">
        <v>173</v>
      </c>
      <c r="R50" t="s">
        <v>173</v>
      </c>
      <c r="S50" t="s">
        <v>173</v>
      </c>
      <c r="T50" t="s">
        <v>173</v>
      </c>
      <c r="U50" t="s">
        <v>173</v>
      </c>
      <c r="V50">
        <v>74.989999999999995</v>
      </c>
      <c r="W50">
        <v>4200</v>
      </c>
      <c r="X50" t="s">
        <v>173</v>
      </c>
      <c r="Y50" t="s">
        <v>173</v>
      </c>
      <c r="Z50">
        <v>74.989999999999995</v>
      </c>
      <c r="AA50">
        <v>4200</v>
      </c>
      <c r="AB50" t="s">
        <v>173</v>
      </c>
      <c r="AC50" t="s">
        <v>173</v>
      </c>
      <c r="AD50" t="s">
        <v>173</v>
      </c>
      <c r="AE50" t="s">
        <v>173</v>
      </c>
      <c r="AF50" t="s">
        <v>173</v>
      </c>
      <c r="AG50" t="s">
        <v>173</v>
      </c>
      <c r="AH50" t="s">
        <v>173</v>
      </c>
      <c r="AI50" t="s">
        <v>173</v>
      </c>
      <c r="AJ50" t="s">
        <v>173</v>
      </c>
      <c r="AK50" t="s">
        <v>173</v>
      </c>
      <c r="AL50" t="s">
        <v>173</v>
      </c>
      <c r="AM50" t="s">
        <v>173</v>
      </c>
      <c r="AN50" t="s">
        <v>173</v>
      </c>
      <c r="AO50" t="s">
        <v>173</v>
      </c>
      <c r="AP50" t="s">
        <v>173</v>
      </c>
      <c r="AQ50" t="s">
        <v>173</v>
      </c>
      <c r="AR50" t="s">
        <v>173</v>
      </c>
      <c r="AS50" t="s">
        <v>173</v>
      </c>
      <c r="AT50" t="s">
        <v>173</v>
      </c>
      <c r="AU50" t="s">
        <v>173</v>
      </c>
      <c r="AV50" t="s">
        <v>173</v>
      </c>
      <c r="AW50" t="s">
        <v>173</v>
      </c>
    </row>
    <row r="51" spans="1:49" x14ac:dyDescent="0.2">
      <c r="A51" t="s">
        <v>394</v>
      </c>
      <c r="B51">
        <v>65.709999999999994</v>
      </c>
      <c r="C51">
        <v>2300</v>
      </c>
      <c r="D51" t="s">
        <v>173</v>
      </c>
      <c r="E51" t="s">
        <v>173</v>
      </c>
      <c r="F51">
        <v>65.709999999999994</v>
      </c>
      <c r="G51">
        <v>2300</v>
      </c>
      <c r="H51" t="s">
        <v>173</v>
      </c>
      <c r="I51" t="s">
        <v>173</v>
      </c>
      <c r="J51">
        <v>65.709999999999994</v>
      </c>
      <c r="K51">
        <v>2300</v>
      </c>
      <c r="L51" t="s">
        <v>173</v>
      </c>
      <c r="M51" t="s">
        <v>173</v>
      </c>
      <c r="N51">
        <v>65.709999999999994</v>
      </c>
      <c r="O51">
        <v>2300</v>
      </c>
      <c r="P51" t="s">
        <v>173</v>
      </c>
      <c r="Q51" t="s">
        <v>173</v>
      </c>
      <c r="R51">
        <v>65.709999999999994</v>
      </c>
      <c r="S51">
        <v>2300</v>
      </c>
      <c r="T51" t="s">
        <v>173</v>
      </c>
      <c r="U51" t="s">
        <v>173</v>
      </c>
      <c r="V51">
        <v>65.709999999999994</v>
      </c>
      <c r="W51">
        <v>2300</v>
      </c>
      <c r="X51" t="s">
        <v>173</v>
      </c>
      <c r="Y51" t="s">
        <v>173</v>
      </c>
      <c r="Z51">
        <v>65.709999999999994</v>
      </c>
      <c r="AA51">
        <v>2300</v>
      </c>
      <c r="AB51" t="s">
        <v>173</v>
      </c>
      <c r="AC51" t="s">
        <v>173</v>
      </c>
      <c r="AD51">
        <v>65.709999999999994</v>
      </c>
      <c r="AE51">
        <v>2300</v>
      </c>
      <c r="AF51" t="s">
        <v>173</v>
      </c>
      <c r="AG51" t="s">
        <v>173</v>
      </c>
      <c r="AH51">
        <v>65.709999999999994</v>
      </c>
      <c r="AI51">
        <v>2300</v>
      </c>
      <c r="AJ51" t="s">
        <v>173</v>
      </c>
      <c r="AK51" t="s">
        <v>173</v>
      </c>
      <c r="AL51" t="s">
        <v>173</v>
      </c>
      <c r="AM51" t="s">
        <v>173</v>
      </c>
      <c r="AN51" t="s">
        <v>173</v>
      </c>
      <c r="AO51" t="s">
        <v>173</v>
      </c>
      <c r="AP51" t="s">
        <v>173</v>
      </c>
      <c r="AQ51" t="s">
        <v>173</v>
      </c>
      <c r="AR51" t="s">
        <v>173</v>
      </c>
      <c r="AS51" t="s">
        <v>173</v>
      </c>
      <c r="AT51" t="s">
        <v>173</v>
      </c>
      <c r="AU51" t="s">
        <v>173</v>
      </c>
      <c r="AV51" t="s">
        <v>173</v>
      </c>
      <c r="AW51" t="s">
        <v>173</v>
      </c>
    </row>
    <row r="52" spans="1:49" x14ac:dyDescent="0.2">
      <c r="A52" t="s">
        <v>12</v>
      </c>
      <c r="B52">
        <v>64.03</v>
      </c>
      <c r="C52">
        <v>5426</v>
      </c>
      <c r="D52">
        <v>50533</v>
      </c>
      <c r="E52" t="s">
        <v>182</v>
      </c>
      <c r="F52">
        <v>64.459999999999994</v>
      </c>
      <c r="G52">
        <v>5489</v>
      </c>
      <c r="H52">
        <v>51126</v>
      </c>
      <c r="I52" t="s">
        <v>168</v>
      </c>
      <c r="J52">
        <v>66.31</v>
      </c>
      <c r="K52">
        <v>5725</v>
      </c>
      <c r="L52">
        <v>51059</v>
      </c>
      <c r="M52" t="s">
        <v>395</v>
      </c>
      <c r="N52">
        <v>66.48</v>
      </c>
      <c r="O52">
        <v>5695</v>
      </c>
      <c r="P52">
        <v>51905</v>
      </c>
      <c r="Q52" t="s">
        <v>396</v>
      </c>
      <c r="R52">
        <v>67.150000000000006</v>
      </c>
      <c r="S52">
        <v>5699</v>
      </c>
      <c r="T52">
        <v>52708</v>
      </c>
      <c r="U52" t="s">
        <v>192</v>
      </c>
      <c r="V52">
        <v>70.16</v>
      </c>
      <c r="W52">
        <v>5879</v>
      </c>
      <c r="X52">
        <v>52978</v>
      </c>
      <c r="Y52" t="s">
        <v>379</v>
      </c>
      <c r="Z52">
        <v>71.900000000000006</v>
      </c>
      <c r="AA52">
        <v>6064</v>
      </c>
      <c r="AB52">
        <v>53445</v>
      </c>
      <c r="AC52" t="s">
        <v>397</v>
      </c>
      <c r="AD52">
        <v>73.150000000000006</v>
      </c>
      <c r="AE52">
        <v>6174</v>
      </c>
      <c r="AF52">
        <v>54926</v>
      </c>
      <c r="AG52" t="s">
        <v>301</v>
      </c>
      <c r="AH52">
        <v>72.39</v>
      </c>
      <c r="AI52">
        <v>6131</v>
      </c>
      <c r="AJ52">
        <v>54739</v>
      </c>
      <c r="AK52" t="s">
        <v>398</v>
      </c>
      <c r="AL52">
        <v>72.48</v>
      </c>
      <c r="AM52">
        <v>6400</v>
      </c>
      <c r="AN52">
        <v>55026</v>
      </c>
      <c r="AO52" t="s">
        <v>167</v>
      </c>
      <c r="AP52">
        <v>70.849999999999994</v>
      </c>
      <c r="AQ52">
        <v>6246</v>
      </c>
      <c r="AR52">
        <v>55632</v>
      </c>
      <c r="AS52" t="s">
        <v>192</v>
      </c>
      <c r="AT52">
        <v>71.510000000000005</v>
      </c>
      <c r="AU52">
        <v>6327</v>
      </c>
      <c r="AV52">
        <v>55790</v>
      </c>
      <c r="AW52" t="s">
        <v>399</v>
      </c>
    </row>
    <row r="53" spans="1:49" x14ac:dyDescent="0.2">
      <c r="A53" t="s">
        <v>400</v>
      </c>
      <c r="B53">
        <v>58.37</v>
      </c>
      <c r="C53">
        <v>3813</v>
      </c>
      <c r="D53">
        <v>42328</v>
      </c>
      <c r="E53" t="s">
        <v>384</v>
      </c>
      <c r="F53">
        <v>65.569999999999993</v>
      </c>
      <c r="G53">
        <v>3991</v>
      </c>
      <c r="H53">
        <v>42533</v>
      </c>
      <c r="I53" t="s">
        <v>401</v>
      </c>
      <c r="J53">
        <v>68.680000000000007</v>
      </c>
      <c r="K53">
        <v>4455</v>
      </c>
      <c r="L53">
        <v>42627</v>
      </c>
      <c r="M53" t="s">
        <v>402</v>
      </c>
      <c r="N53">
        <v>69.349999999999994</v>
      </c>
      <c r="O53">
        <v>4560</v>
      </c>
      <c r="P53">
        <v>45008</v>
      </c>
      <c r="Q53" t="s">
        <v>401</v>
      </c>
      <c r="R53">
        <v>74.86</v>
      </c>
      <c r="S53">
        <v>4469</v>
      </c>
      <c r="T53">
        <v>46122</v>
      </c>
      <c r="U53" t="s">
        <v>403</v>
      </c>
      <c r="V53">
        <v>79.819999999999993</v>
      </c>
      <c r="W53">
        <v>4469</v>
      </c>
      <c r="X53">
        <v>46053</v>
      </c>
      <c r="Y53" t="s">
        <v>404</v>
      </c>
      <c r="Z53">
        <v>83.99</v>
      </c>
      <c r="AA53">
        <v>4588</v>
      </c>
      <c r="AB53">
        <v>46435</v>
      </c>
      <c r="AC53" t="s">
        <v>405</v>
      </c>
      <c r="AD53">
        <v>58.88</v>
      </c>
      <c r="AE53">
        <v>4600</v>
      </c>
      <c r="AF53">
        <v>45764</v>
      </c>
      <c r="AG53" t="s">
        <v>406</v>
      </c>
      <c r="AH53">
        <v>60.87</v>
      </c>
      <c r="AI53">
        <v>4200</v>
      </c>
      <c r="AJ53">
        <v>45344</v>
      </c>
      <c r="AK53" t="s">
        <v>407</v>
      </c>
      <c r="AL53">
        <v>74.02</v>
      </c>
      <c r="AM53" t="s">
        <v>173</v>
      </c>
      <c r="AN53">
        <v>45326</v>
      </c>
      <c r="AO53" t="s">
        <v>408</v>
      </c>
      <c r="AP53">
        <v>73.8</v>
      </c>
      <c r="AQ53">
        <v>4458</v>
      </c>
      <c r="AR53">
        <v>45634</v>
      </c>
      <c r="AS53" t="s">
        <v>270</v>
      </c>
      <c r="AT53">
        <v>73.48</v>
      </c>
      <c r="AU53">
        <v>4389</v>
      </c>
      <c r="AV53">
        <v>45479</v>
      </c>
      <c r="AW53" t="s">
        <v>387</v>
      </c>
    </row>
    <row r="54" spans="1:49" x14ac:dyDescent="0.2">
      <c r="A54" t="s">
        <v>409</v>
      </c>
      <c r="B54">
        <v>67.989999999999995</v>
      </c>
      <c r="C54">
        <v>4714</v>
      </c>
      <c r="D54">
        <v>48306</v>
      </c>
      <c r="E54" t="s">
        <v>216</v>
      </c>
      <c r="F54">
        <v>69.48</v>
      </c>
      <c r="G54">
        <v>4923</v>
      </c>
      <c r="H54">
        <v>48682</v>
      </c>
      <c r="I54" t="s">
        <v>178</v>
      </c>
      <c r="J54">
        <v>73.67</v>
      </c>
      <c r="K54">
        <v>4968</v>
      </c>
      <c r="L54">
        <v>49465</v>
      </c>
      <c r="M54" t="s">
        <v>155</v>
      </c>
      <c r="N54">
        <v>73.569999999999993</v>
      </c>
      <c r="O54">
        <v>4948</v>
      </c>
      <c r="P54">
        <v>49078</v>
      </c>
      <c r="Q54" t="s">
        <v>390</v>
      </c>
      <c r="R54">
        <v>74.73</v>
      </c>
      <c r="S54">
        <v>5018</v>
      </c>
      <c r="T54">
        <v>49113</v>
      </c>
      <c r="U54" t="s">
        <v>410</v>
      </c>
      <c r="V54">
        <v>74.319999999999993</v>
      </c>
      <c r="W54">
        <v>5153</v>
      </c>
      <c r="X54">
        <v>49589</v>
      </c>
      <c r="Y54" t="s">
        <v>390</v>
      </c>
      <c r="Z54">
        <v>74.430000000000007</v>
      </c>
      <c r="AA54">
        <v>5216</v>
      </c>
      <c r="AB54">
        <v>51011</v>
      </c>
      <c r="AC54" t="s">
        <v>411</v>
      </c>
      <c r="AD54">
        <v>76.89</v>
      </c>
      <c r="AE54">
        <v>5130</v>
      </c>
      <c r="AF54">
        <v>51602</v>
      </c>
      <c r="AG54" t="s">
        <v>155</v>
      </c>
      <c r="AH54">
        <v>76.34</v>
      </c>
      <c r="AI54">
        <v>5290</v>
      </c>
      <c r="AJ54">
        <v>51709</v>
      </c>
      <c r="AK54" t="s">
        <v>306</v>
      </c>
      <c r="AL54">
        <v>83.91</v>
      </c>
      <c r="AM54">
        <v>5737</v>
      </c>
      <c r="AN54">
        <v>51702</v>
      </c>
      <c r="AO54" t="s">
        <v>403</v>
      </c>
      <c r="AP54">
        <v>83.85</v>
      </c>
      <c r="AQ54">
        <v>5646</v>
      </c>
      <c r="AR54">
        <v>51439</v>
      </c>
      <c r="AS54" t="s">
        <v>412</v>
      </c>
      <c r="AT54">
        <v>83.25</v>
      </c>
      <c r="AU54">
        <v>5587</v>
      </c>
      <c r="AV54">
        <v>51237</v>
      </c>
      <c r="AW54" t="s">
        <v>278</v>
      </c>
    </row>
    <row r="55" spans="1:49" x14ac:dyDescent="0.2">
      <c r="A55" t="s">
        <v>413</v>
      </c>
      <c r="B55">
        <v>164.25</v>
      </c>
      <c r="C55">
        <v>8772</v>
      </c>
      <c r="D55" t="s">
        <v>173</v>
      </c>
      <c r="E55" t="s">
        <v>173</v>
      </c>
      <c r="F55">
        <v>164.25</v>
      </c>
      <c r="G55">
        <v>8772</v>
      </c>
      <c r="H55" t="s">
        <v>173</v>
      </c>
      <c r="I55" t="s">
        <v>173</v>
      </c>
      <c r="J55">
        <v>164.25</v>
      </c>
      <c r="K55">
        <v>8772</v>
      </c>
      <c r="L55" t="s">
        <v>173</v>
      </c>
      <c r="M55" t="s">
        <v>173</v>
      </c>
      <c r="N55">
        <v>164.25</v>
      </c>
      <c r="O55">
        <v>8772</v>
      </c>
      <c r="P55" t="s">
        <v>173</v>
      </c>
      <c r="Q55" t="s">
        <v>173</v>
      </c>
      <c r="R55">
        <v>164.25</v>
      </c>
      <c r="S55">
        <v>8772</v>
      </c>
      <c r="T55" t="s">
        <v>173</v>
      </c>
      <c r="U55" t="s">
        <v>173</v>
      </c>
      <c r="V55">
        <v>164.25</v>
      </c>
      <c r="W55">
        <v>8772</v>
      </c>
      <c r="X55" t="s">
        <v>173</v>
      </c>
      <c r="Y55" t="s">
        <v>173</v>
      </c>
      <c r="Z55">
        <v>164.25</v>
      </c>
      <c r="AA55">
        <v>8772</v>
      </c>
      <c r="AB55" t="s">
        <v>173</v>
      </c>
      <c r="AC55" t="s">
        <v>173</v>
      </c>
      <c r="AD55">
        <v>164.25</v>
      </c>
      <c r="AE55">
        <v>8772</v>
      </c>
      <c r="AF55" t="s">
        <v>173</v>
      </c>
      <c r="AG55" t="s">
        <v>173</v>
      </c>
      <c r="AH55">
        <v>164.25</v>
      </c>
      <c r="AI55">
        <v>8772</v>
      </c>
      <c r="AJ55" t="s">
        <v>173</v>
      </c>
      <c r="AK55" t="s">
        <v>173</v>
      </c>
      <c r="AL55" t="s">
        <v>173</v>
      </c>
      <c r="AM55" t="s">
        <v>173</v>
      </c>
      <c r="AN55" t="s">
        <v>173</v>
      </c>
      <c r="AO55" t="s">
        <v>173</v>
      </c>
      <c r="AP55" t="s">
        <v>173</v>
      </c>
      <c r="AQ55" t="s">
        <v>173</v>
      </c>
      <c r="AR55" t="s">
        <v>173</v>
      </c>
      <c r="AS55" t="s">
        <v>173</v>
      </c>
      <c r="AT55" t="s">
        <v>173</v>
      </c>
      <c r="AU55" t="s">
        <v>173</v>
      </c>
      <c r="AV55" t="s">
        <v>173</v>
      </c>
      <c r="AW55" t="s">
        <v>173</v>
      </c>
    </row>
    <row r="56" spans="1:49" x14ac:dyDescent="0.2">
      <c r="A56" t="s">
        <v>414</v>
      </c>
      <c r="B56">
        <v>67</v>
      </c>
      <c r="C56">
        <v>4646</v>
      </c>
      <c r="D56">
        <v>46076</v>
      </c>
      <c r="E56" t="s">
        <v>415</v>
      </c>
      <c r="F56">
        <v>73.38</v>
      </c>
      <c r="G56">
        <v>4688</v>
      </c>
      <c r="H56">
        <v>46466</v>
      </c>
      <c r="I56" t="s">
        <v>275</v>
      </c>
      <c r="J56">
        <v>73.010000000000005</v>
      </c>
      <c r="K56">
        <v>4909</v>
      </c>
      <c r="L56">
        <v>46363</v>
      </c>
      <c r="M56" t="s">
        <v>309</v>
      </c>
      <c r="N56">
        <v>72.040000000000006</v>
      </c>
      <c r="O56">
        <v>5054</v>
      </c>
      <c r="P56">
        <v>46978</v>
      </c>
      <c r="Q56" t="s">
        <v>416</v>
      </c>
      <c r="R56">
        <v>74.36</v>
      </c>
      <c r="S56">
        <v>5111</v>
      </c>
      <c r="T56">
        <v>47268</v>
      </c>
      <c r="U56" t="s">
        <v>417</v>
      </c>
      <c r="V56">
        <v>74.77</v>
      </c>
      <c r="W56">
        <v>5160</v>
      </c>
      <c r="X56">
        <v>48503</v>
      </c>
      <c r="Y56" t="s">
        <v>401</v>
      </c>
      <c r="Z56">
        <v>75.94</v>
      </c>
      <c r="AA56">
        <v>5241</v>
      </c>
      <c r="AB56">
        <v>47365</v>
      </c>
      <c r="AC56" t="s">
        <v>258</v>
      </c>
      <c r="AD56">
        <v>72.89</v>
      </c>
      <c r="AE56">
        <v>5288</v>
      </c>
      <c r="AF56">
        <v>48321</v>
      </c>
      <c r="AG56" t="s">
        <v>238</v>
      </c>
      <c r="AH56">
        <v>72.69</v>
      </c>
      <c r="AI56">
        <v>5294</v>
      </c>
      <c r="AJ56">
        <v>48795</v>
      </c>
      <c r="AK56" t="s">
        <v>155</v>
      </c>
      <c r="AL56">
        <v>61.98</v>
      </c>
      <c r="AM56">
        <v>5355</v>
      </c>
      <c r="AN56">
        <v>48461</v>
      </c>
      <c r="AO56" t="s">
        <v>291</v>
      </c>
      <c r="AP56">
        <v>62.08</v>
      </c>
      <c r="AQ56">
        <v>5493</v>
      </c>
      <c r="AR56">
        <v>48080</v>
      </c>
      <c r="AS56" t="s">
        <v>326</v>
      </c>
      <c r="AT56">
        <v>63.62</v>
      </c>
      <c r="AU56">
        <v>5197</v>
      </c>
      <c r="AV56">
        <v>48258</v>
      </c>
      <c r="AW56" t="s">
        <v>167</v>
      </c>
    </row>
    <row r="57" spans="1:49" x14ac:dyDescent="0.2">
      <c r="A57" t="s">
        <v>418</v>
      </c>
      <c r="B57">
        <v>69.27</v>
      </c>
      <c r="C57">
        <v>4286</v>
      </c>
      <c r="D57">
        <v>77492</v>
      </c>
      <c r="E57" t="s">
        <v>419</v>
      </c>
      <c r="F57">
        <v>68.989999999999995</v>
      </c>
      <c r="G57">
        <v>4358</v>
      </c>
      <c r="H57">
        <v>85239</v>
      </c>
      <c r="I57" t="s">
        <v>420</v>
      </c>
      <c r="J57">
        <v>70.23</v>
      </c>
      <c r="K57">
        <v>4365</v>
      </c>
      <c r="L57">
        <v>78178</v>
      </c>
      <c r="M57" t="s">
        <v>421</v>
      </c>
      <c r="N57">
        <v>69.89</v>
      </c>
      <c r="O57">
        <v>4358</v>
      </c>
      <c r="P57">
        <v>79294</v>
      </c>
      <c r="Q57" t="s">
        <v>422</v>
      </c>
      <c r="R57">
        <v>70.59</v>
      </c>
      <c r="S57">
        <v>4348</v>
      </c>
      <c r="T57">
        <v>81447</v>
      </c>
      <c r="U57" t="s">
        <v>423</v>
      </c>
      <c r="V57">
        <v>72.680000000000007</v>
      </c>
      <c r="W57">
        <v>4393</v>
      </c>
      <c r="X57">
        <v>82715</v>
      </c>
      <c r="Y57" t="s">
        <v>424</v>
      </c>
      <c r="Z57">
        <v>78.22</v>
      </c>
      <c r="AA57">
        <v>4692</v>
      </c>
      <c r="AB57">
        <v>84550</v>
      </c>
      <c r="AC57" t="s">
        <v>425</v>
      </c>
      <c r="AD57">
        <v>81.48</v>
      </c>
      <c r="AE57">
        <v>4773</v>
      </c>
      <c r="AF57">
        <v>78186</v>
      </c>
      <c r="AG57" t="s">
        <v>426</v>
      </c>
      <c r="AH57">
        <v>82.19</v>
      </c>
      <c r="AI57">
        <v>4928</v>
      </c>
      <c r="AJ57">
        <v>81331</v>
      </c>
      <c r="AK57" t="s">
        <v>427</v>
      </c>
      <c r="AL57">
        <v>74.17</v>
      </c>
      <c r="AM57">
        <v>5724</v>
      </c>
      <c r="AN57">
        <v>76014</v>
      </c>
      <c r="AO57" t="s">
        <v>374</v>
      </c>
      <c r="AP57">
        <v>73.61</v>
      </c>
      <c r="AQ57">
        <v>5262</v>
      </c>
      <c r="AR57">
        <v>79644</v>
      </c>
      <c r="AS57" t="s">
        <v>428</v>
      </c>
      <c r="AT57">
        <v>76.39</v>
      </c>
      <c r="AU57">
        <v>5014</v>
      </c>
      <c r="AV57">
        <v>79610</v>
      </c>
      <c r="AW57" t="s">
        <v>429</v>
      </c>
    </row>
    <row r="58" spans="1:49" x14ac:dyDescent="0.2">
      <c r="A58" t="s">
        <v>430</v>
      </c>
      <c r="B58">
        <v>71.44</v>
      </c>
      <c r="C58">
        <v>5350</v>
      </c>
      <c r="D58" t="s">
        <v>173</v>
      </c>
      <c r="E58" t="s">
        <v>173</v>
      </c>
      <c r="F58">
        <v>79.64</v>
      </c>
      <c r="G58">
        <v>4540</v>
      </c>
      <c r="H58" t="s">
        <v>173</v>
      </c>
      <c r="I58" t="s">
        <v>173</v>
      </c>
      <c r="J58">
        <v>83.3</v>
      </c>
      <c r="K58">
        <v>6863</v>
      </c>
      <c r="L58" t="s">
        <v>173</v>
      </c>
      <c r="M58" t="s">
        <v>173</v>
      </c>
      <c r="N58">
        <v>79.78</v>
      </c>
      <c r="O58">
        <v>7172</v>
      </c>
      <c r="P58" t="s">
        <v>173</v>
      </c>
      <c r="Q58" t="s">
        <v>173</v>
      </c>
      <c r="R58">
        <v>79.36</v>
      </c>
      <c r="S58">
        <v>8820</v>
      </c>
      <c r="T58" t="s">
        <v>173</v>
      </c>
      <c r="U58" t="s">
        <v>173</v>
      </c>
      <c r="V58">
        <v>80.790000000000006</v>
      </c>
      <c r="W58">
        <v>8506</v>
      </c>
      <c r="X58" t="s">
        <v>173</v>
      </c>
      <c r="Y58" t="s">
        <v>173</v>
      </c>
      <c r="Z58">
        <v>82.41</v>
      </c>
      <c r="AA58">
        <v>8693</v>
      </c>
      <c r="AB58" t="s">
        <v>173</v>
      </c>
      <c r="AC58" t="s">
        <v>173</v>
      </c>
      <c r="AD58">
        <v>99</v>
      </c>
      <c r="AE58">
        <v>12400</v>
      </c>
      <c r="AF58" t="s">
        <v>173</v>
      </c>
      <c r="AG58" t="s">
        <v>173</v>
      </c>
      <c r="AH58">
        <v>104.67</v>
      </c>
      <c r="AI58">
        <v>13080</v>
      </c>
      <c r="AJ58" t="s">
        <v>173</v>
      </c>
      <c r="AK58" t="s">
        <v>173</v>
      </c>
      <c r="AL58">
        <v>84.02</v>
      </c>
      <c r="AM58">
        <v>10260</v>
      </c>
      <c r="AN58" t="s">
        <v>173</v>
      </c>
      <c r="AO58" t="s">
        <v>173</v>
      </c>
      <c r="AP58">
        <v>83.85</v>
      </c>
      <c r="AQ58">
        <v>9383</v>
      </c>
      <c r="AR58" t="s">
        <v>173</v>
      </c>
      <c r="AS58" t="s">
        <v>173</v>
      </c>
      <c r="AT58">
        <v>84.5</v>
      </c>
      <c r="AU58">
        <v>9105</v>
      </c>
      <c r="AV58" t="s">
        <v>173</v>
      </c>
      <c r="AW58" t="s">
        <v>173</v>
      </c>
    </row>
    <row r="59" spans="1:49" x14ac:dyDescent="0.2">
      <c r="A59" t="s">
        <v>431</v>
      </c>
      <c r="B59">
        <v>45.45</v>
      </c>
      <c r="C59">
        <v>4000</v>
      </c>
      <c r="D59" t="s">
        <v>173</v>
      </c>
      <c r="E59" t="s">
        <v>173</v>
      </c>
      <c r="F59" t="s">
        <v>173</v>
      </c>
      <c r="G59" t="s">
        <v>173</v>
      </c>
      <c r="H59" t="s">
        <v>173</v>
      </c>
      <c r="I59" t="s">
        <v>173</v>
      </c>
      <c r="J59" t="s">
        <v>173</v>
      </c>
      <c r="K59" t="s">
        <v>173</v>
      </c>
      <c r="L59" t="s">
        <v>173</v>
      </c>
      <c r="M59" t="s">
        <v>173</v>
      </c>
      <c r="N59" t="s">
        <v>173</v>
      </c>
      <c r="O59" t="s">
        <v>173</v>
      </c>
      <c r="P59" t="s">
        <v>173</v>
      </c>
      <c r="Q59" t="s">
        <v>173</v>
      </c>
      <c r="R59" t="s">
        <v>173</v>
      </c>
      <c r="S59" t="s">
        <v>173</v>
      </c>
      <c r="T59" t="s">
        <v>173</v>
      </c>
      <c r="U59" t="s">
        <v>173</v>
      </c>
      <c r="V59" t="s">
        <v>173</v>
      </c>
      <c r="W59" t="s">
        <v>173</v>
      </c>
      <c r="X59" t="s">
        <v>173</v>
      </c>
      <c r="Y59" t="s">
        <v>173</v>
      </c>
      <c r="Z59" t="s">
        <v>173</v>
      </c>
      <c r="AA59" t="s">
        <v>173</v>
      </c>
      <c r="AB59" t="s">
        <v>173</v>
      </c>
      <c r="AC59" t="s">
        <v>173</v>
      </c>
      <c r="AD59" t="s">
        <v>173</v>
      </c>
      <c r="AE59" t="s">
        <v>173</v>
      </c>
      <c r="AF59" t="s">
        <v>173</v>
      </c>
      <c r="AG59" t="s">
        <v>173</v>
      </c>
      <c r="AH59" t="s">
        <v>173</v>
      </c>
      <c r="AI59" t="s">
        <v>173</v>
      </c>
      <c r="AJ59" t="s">
        <v>173</v>
      </c>
      <c r="AK59" t="s">
        <v>173</v>
      </c>
      <c r="AL59" t="s">
        <v>173</v>
      </c>
      <c r="AM59" t="s">
        <v>173</v>
      </c>
      <c r="AN59" t="s">
        <v>173</v>
      </c>
      <c r="AO59" t="s">
        <v>173</v>
      </c>
      <c r="AP59" t="s">
        <v>173</v>
      </c>
      <c r="AQ59" t="s">
        <v>173</v>
      </c>
      <c r="AR59" t="s">
        <v>173</v>
      </c>
      <c r="AS59" t="s">
        <v>173</v>
      </c>
      <c r="AT59" t="s">
        <v>173</v>
      </c>
      <c r="AU59" t="s">
        <v>173</v>
      </c>
      <c r="AV59" t="s">
        <v>173</v>
      </c>
      <c r="AW59" t="s">
        <v>173</v>
      </c>
    </row>
    <row r="60" spans="1:49" x14ac:dyDescent="0.2">
      <c r="A60" t="s">
        <v>23</v>
      </c>
      <c r="B60">
        <v>77.39</v>
      </c>
      <c r="C60">
        <v>10777</v>
      </c>
      <c r="D60">
        <v>71911</v>
      </c>
      <c r="E60" t="s">
        <v>432</v>
      </c>
      <c r="F60">
        <v>77.63</v>
      </c>
      <c r="G60">
        <v>10433</v>
      </c>
      <c r="H60">
        <v>72293</v>
      </c>
      <c r="I60" t="s">
        <v>433</v>
      </c>
      <c r="J60">
        <v>79.290000000000006</v>
      </c>
      <c r="K60">
        <v>11843</v>
      </c>
      <c r="L60">
        <v>71061</v>
      </c>
      <c r="M60" t="s">
        <v>434</v>
      </c>
      <c r="N60">
        <v>80.63</v>
      </c>
      <c r="O60">
        <v>12627</v>
      </c>
      <c r="P60">
        <v>70125</v>
      </c>
      <c r="Q60" t="s">
        <v>435</v>
      </c>
      <c r="R60">
        <v>81.61</v>
      </c>
      <c r="S60">
        <v>12482</v>
      </c>
      <c r="T60">
        <v>69229</v>
      </c>
      <c r="U60" t="s">
        <v>336</v>
      </c>
      <c r="V60">
        <v>84.36</v>
      </c>
      <c r="W60">
        <v>12264</v>
      </c>
      <c r="X60">
        <v>71170</v>
      </c>
      <c r="Y60" t="s">
        <v>220</v>
      </c>
      <c r="Z60">
        <v>87.22</v>
      </c>
      <c r="AA60">
        <v>10926</v>
      </c>
      <c r="AB60">
        <v>74578</v>
      </c>
      <c r="AC60" t="s">
        <v>262</v>
      </c>
      <c r="AD60">
        <v>87.41</v>
      </c>
      <c r="AE60">
        <v>11267</v>
      </c>
      <c r="AF60">
        <v>71031</v>
      </c>
      <c r="AG60" t="s">
        <v>436</v>
      </c>
      <c r="AH60">
        <v>91.54</v>
      </c>
      <c r="AI60">
        <v>12548</v>
      </c>
      <c r="AJ60">
        <v>70655</v>
      </c>
      <c r="AK60" t="s">
        <v>437</v>
      </c>
      <c r="AL60">
        <v>91.59</v>
      </c>
      <c r="AM60">
        <v>9100</v>
      </c>
      <c r="AN60">
        <v>68789</v>
      </c>
      <c r="AO60" t="s">
        <v>301</v>
      </c>
      <c r="AP60">
        <v>78.34</v>
      </c>
      <c r="AQ60">
        <v>10678</v>
      </c>
      <c r="AR60">
        <v>71308</v>
      </c>
      <c r="AS60" t="s">
        <v>438</v>
      </c>
      <c r="AT60">
        <v>77.22</v>
      </c>
      <c r="AU60">
        <v>11386</v>
      </c>
      <c r="AV60">
        <v>72499</v>
      </c>
      <c r="AW60" t="s">
        <v>439</v>
      </c>
    </row>
    <row r="61" spans="1:49" x14ac:dyDescent="0.2">
      <c r="A61" t="s">
        <v>440</v>
      </c>
      <c r="B61" t="s">
        <v>173</v>
      </c>
      <c r="C61" t="s">
        <v>173</v>
      </c>
      <c r="D61" t="s">
        <v>173</v>
      </c>
      <c r="E61" t="s">
        <v>173</v>
      </c>
      <c r="F61" t="s">
        <v>173</v>
      </c>
      <c r="G61" t="s">
        <v>173</v>
      </c>
      <c r="H61" t="s">
        <v>173</v>
      </c>
      <c r="I61" t="s">
        <v>173</v>
      </c>
      <c r="J61" t="s">
        <v>173</v>
      </c>
      <c r="K61" t="s">
        <v>173</v>
      </c>
      <c r="L61" t="s">
        <v>173</v>
      </c>
      <c r="M61" t="s">
        <v>173</v>
      </c>
      <c r="N61" t="s">
        <v>173</v>
      </c>
      <c r="O61" t="s">
        <v>173</v>
      </c>
      <c r="P61" t="s">
        <v>173</v>
      </c>
      <c r="Q61" t="s">
        <v>173</v>
      </c>
      <c r="R61" t="s">
        <v>173</v>
      </c>
      <c r="S61" t="s">
        <v>173</v>
      </c>
      <c r="T61" t="s">
        <v>173</v>
      </c>
      <c r="U61" t="s">
        <v>173</v>
      </c>
      <c r="V61">
        <v>40</v>
      </c>
      <c r="W61">
        <v>1000</v>
      </c>
      <c r="X61" t="s">
        <v>173</v>
      </c>
      <c r="Y61" t="s">
        <v>173</v>
      </c>
      <c r="Z61">
        <v>40</v>
      </c>
      <c r="AA61">
        <v>1000</v>
      </c>
      <c r="AB61" t="s">
        <v>173</v>
      </c>
      <c r="AC61" t="s">
        <v>173</v>
      </c>
      <c r="AD61" t="s">
        <v>173</v>
      </c>
      <c r="AE61" t="s">
        <v>173</v>
      </c>
      <c r="AF61" t="s">
        <v>173</v>
      </c>
      <c r="AG61" t="s">
        <v>173</v>
      </c>
      <c r="AH61" t="s">
        <v>173</v>
      </c>
      <c r="AI61" t="s">
        <v>173</v>
      </c>
      <c r="AJ61" t="s">
        <v>173</v>
      </c>
      <c r="AK61" t="s">
        <v>173</v>
      </c>
      <c r="AL61" t="s">
        <v>173</v>
      </c>
      <c r="AM61" t="s">
        <v>173</v>
      </c>
      <c r="AN61" t="s">
        <v>173</v>
      </c>
      <c r="AO61" t="s">
        <v>173</v>
      </c>
      <c r="AP61" t="s">
        <v>173</v>
      </c>
      <c r="AQ61" t="s">
        <v>173</v>
      </c>
      <c r="AR61" t="s">
        <v>173</v>
      </c>
      <c r="AS61" t="s">
        <v>173</v>
      </c>
      <c r="AT61" t="s">
        <v>173</v>
      </c>
      <c r="AU61" t="s">
        <v>173</v>
      </c>
      <c r="AV61" t="s">
        <v>173</v>
      </c>
      <c r="AW61" t="s">
        <v>173</v>
      </c>
    </row>
    <row r="62" spans="1:49" x14ac:dyDescent="0.2">
      <c r="A62" t="s">
        <v>441</v>
      </c>
      <c r="B62">
        <v>56.95</v>
      </c>
      <c r="C62">
        <v>3648</v>
      </c>
      <c r="D62" t="s">
        <v>173</v>
      </c>
      <c r="E62" t="s">
        <v>173</v>
      </c>
      <c r="F62">
        <v>60.47</v>
      </c>
      <c r="G62">
        <v>4002</v>
      </c>
      <c r="H62" t="s">
        <v>173</v>
      </c>
      <c r="I62" t="s">
        <v>173</v>
      </c>
      <c r="J62">
        <v>63.06</v>
      </c>
      <c r="K62">
        <v>4158</v>
      </c>
      <c r="L62" t="s">
        <v>173</v>
      </c>
      <c r="M62" t="s">
        <v>173</v>
      </c>
      <c r="N62">
        <v>65.819999999999993</v>
      </c>
      <c r="O62">
        <v>4192</v>
      </c>
      <c r="P62" t="s">
        <v>173</v>
      </c>
      <c r="Q62" t="s">
        <v>173</v>
      </c>
      <c r="R62">
        <v>68.209999999999994</v>
      </c>
      <c r="S62">
        <v>4184</v>
      </c>
      <c r="T62" t="s">
        <v>173</v>
      </c>
      <c r="U62" t="s">
        <v>173</v>
      </c>
      <c r="V62">
        <v>68.150000000000006</v>
      </c>
      <c r="W62">
        <v>4226</v>
      </c>
      <c r="X62" t="s">
        <v>173</v>
      </c>
      <c r="Y62" t="s">
        <v>173</v>
      </c>
      <c r="Z62">
        <v>70.150000000000006</v>
      </c>
      <c r="AA62">
        <v>4267</v>
      </c>
      <c r="AB62" t="s">
        <v>173</v>
      </c>
      <c r="AC62" t="s">
        <v>173</v>
      </c>
      <c r="AD62">
        <v>69.44</v>
      </c>
      <c r="AE62">
        <v>4308</v>
      </c>
      <c r="AF62" t="s">
        <v>173</v>
      </c>
      <c r="AG62" t="s">
        <v>173</v>
      </c>
      <c r="AH62">
        <v>67.040000000000006</v>
      </c>
      <c r="AI62">
        <v>4456</v>
      </c>
      <c r="AJ62" t="s">
        <v>173</v>
      </c>
      <c r="AK62" t="s">
        <v>173</v>
      </c>
      <c r="AL62">
        <v>62.02</v>
      </c>
      <c r="AM62" t="s">
        <v>173</v>
      </c>
      <c r="AN62" t="s">
        <v>173</v>
      </c>
      <c r="AO62" t="s">
        <v>173</v>
      </c>
      <c r="AP62">
        <v>61.83</v>
      </c>
      <c r="AQ62" t="s">
        <v>173</v>
      </c>
      <c r="AR62" t="s">
        <v>173</v>
      </c>
      <c r="AS62" t="s">
        <v>173</v>
      </c>
      <c r="AT62">
        <v>61.57</v>
      </c>
      <c r="AU62" t="s">
        <v>173</v>
      </c>
      <c r="AV62" t="s">
        <v>173</v>
      </c>
      <c r="AW62" t="s">
        <v>173</v>
      </c>
    </row>
    <row r="63" spans="1:49" x14ac:dyDescent="0.2">
      <c r="A63" t="s">
        <v>5</v>
      </c>
      <c r="B63">
        <v>70.83</v>
      </c>
      <c r="C63">
        <v>5862</v>
      </c>
      <c r="D63" t="s">
        <v>173</v>
      </c>
      <c r="E63" t="s">
        <v>173</v>
      </c>
      <c r="F63">
        <v>70.48</v>
      </c>
      <c r="G63">
        <v>5923</v>
      </c>
      <c r="H63" t="s">
        <v>173</v>
      </c>
      <c r="I63" t="s">
        <v>173</v>
      </c>
      <c r="J63">
        <v>72.290000000000006</v>
      </c>
      <c r="K63">
        <v>5966</v>
      </c>
      <c r="L63" t="s">
        <v>173</v>
      </c>
      <c r="M63" t="s">
        <v>173</v>
      </c>
      <c r="N63">
        <v>74.430000000000007</v>
      </c>
      <c r="O63">
        <v>6022</v>
      </c>
      <c r="P63" t="s">
        <v>173</v>
      </c>
      <c r="Q63" t="s">
        <v>173</v>
      </c>
      <c r="R63">
        <v>73.260000000000005</v>
      </c>
      <c r="S63">
        <v>5973</v>
      </c>
      <c r="T63" t="s">
        <v>173</v>
      </c>
      <c r="U63" t="s">
        <v>173</v>
      </c>
      <c r="V63">
        <v>73.489999999999995</v>
      </c>
      <c r="W63">
        <v>6146</v>
      </c>
      <c r="X63" t="s">
        <v>173</v>
      </c>
      <c r="Y63" t="s">
        <v>173</v>
      </c>
      <c r="Z63">
        <v>77.06</v>
      </c>
      <c r="AA63">
        <v>6618</v>
      </c>
      <c r="AB63" t="s">
        <v>173</v>
      </c>
      <c r="AC63" t="s">
        <v>173</v>
      </c>
      <c r="AD63">
        <v>78.95</v>
      </c>
      <c r="AE63">
        <v>6543</v>
      </c>
      <c r="AF63" t="s">
        <v>173</v>
      </c>
      <c r="AG63" t="s">
        <v>173</v>
      </c>
      <c r="AH63">
        <v>78.39</v>
      </c>
      <c r="AI63">
        <v>6479</v>
      </c>
      <c r="AJ63" t="s">
        <v>173</v>
      </c>
      <c r="AK63" t="s">
        <v>173</v>
      </c>
      <c r="AL63">
        <v>75.42</v>
      </c>
      <c r="AM63">
        <v>6500</v>
      </c>
      <c r="AN63" t="s">
        <v>173</v>
      </c>
      <c r="AO63" t="s">
        <v>173</v>
      </c>
      <c r="AP63">
        <v>74.98</v>
      </c>
      <c r="AQ63">
        <v>6450</v>
      </c>
      <c r="AR63" t="s">
        <v>173</v>
      </c>
      <c r="AS63" t="s">
        <v>173</v>
      </c>
      <c r="AT63">
        <v>73.58</v>
      </c>
      <c r="AU63">
        <v>6256</v>
      </c>
      <c r="AV63" t="s">
        <v>173</v>
      </c>
      <c r="AW63" t="s">
        <v>173</v>
      </c>
    </row>
    <row r="64" spans="1:49" x14ac:dyDescent="0.2">
      <c r="A64" t="s">
        <v>442</v>
      </c>
      <c r="B64">
        <v>152.18</v>
      </c>
      <c r="C64">
        <v>42091</v>
      </c>
      <c r="D64">
        <v>96451</v>
      </c>
      <c r="E64" t="s">
        <v>443</v>
      </c>
      <c r="F64">
        <v>155.09</v>
      </c>
      <c r="G64">
        <v>43444</v>
      </c>
      <c r="H64">
        <v>97309</v>
      </c>
      <c r="I64" t="s">
        <v>444</v>
      </c>
      <c r="J64">
        <v>172.77</v>
      </c>
      <c r="K64">
        <v>47000</v>
      </c>
      <c r="L64">
        <v>98986</v>
      </c>
      <c r="M64" t="s">
        <v>445</v>
      </c>
      <c r="N64">
        <v>179.94</v>
      </c>
      <c r="O64">
        <v>49000</v>
      </c>
      <c r="P64">
        <v>99831</v>
      </c>
      <c r="Q64" t="s">
        <v>313</v>
      </c>
      <c r="R64">
        <v>187.05</v>
      </c>
      <c r="S64">
        <v>51000</v>
      </c>
      <c r="T64">
        <v>98360</v>
      </c>
      <c r="U64" t="s">
        <v>446</v>
      </c>
      <c r="V64">
        <v>184.94</v>
      </c>
      <c r="W64">
        <v>50555</v>
      </c>
      <c r="X64">
        <v>99432</v>
      </c>
      <c r="Y64" t="s">
        <v>447</v>
      </c>
      <c r="Z64">
        <v>188.85</v>
      </c>
      <c r="AA64">
        <v>51667</v>
      </c>
      <c r="AB64">
        <v>98249</v>
      </c>
      <c r="AC64" t="s">
        <v>448</v>
      </c>
      <c r="AD64">
        <v>154.75</v>
      </c>
      <c r="AE64">
        <v>42000</v>
      </c>
      <c r="AF64">
        <v>99509</v>
      </c>
      <c r="AG64" t="s">
        <v>159</v>
      </c>
      <c r="AH64">
        <v>154.75</v>
      </c>
      <c r="AI64">
        <v>42000</v>
      </c>
      <c r="AJ64">
        <v>97686</v>
      </c>
      <c r="AK64" t="s">
        <v>449</v>
      </c>
      <c r="AL64">
        <v>201.12</v>
      </c>
      <c r="AM64">
        <v>55000</v>
      </c>
      <c r="AN64">
        <v>102537</v>
      </c>
      <c r="AO64" t="s">
        <v>450</v>
      </c>
      <c r="AP64">
        <v>201.13</v>
      </c>
      <c r="AQ64">
        <v>55000</v>
      </c>
      <c r="AR64">
        <v>101080</v>
      </c>
      <c r="AS64" t="s">
        <v>451</v>
      </c>
      <c r="AT64">
        <v>201.13</v>
      </c>
      <c r="AU64">
        <v>55000</v>
      </c>
      <c r="AV64">
        <v>100157</v>
      </c>
      <c r="AW64" t="s">
        <v>452</v>
      </c>
    </row>
    <row r="65" spans="1:49" x14ac:dyDescent="0.2">
      <c r="A65" t="s">
        <v>453</v>
      </c>
      <c r="B65">
        <v>65.58</v>
      </c>
      <c r="C65">
        <v>4949</v>
      </c>
      <c r="D65">
        <v>47687</v>
      </c>
      <c r="E65" t="s">
        <v>285</v>
      </c>
      <c r="F65">
        <v>72.36</v>
      </c>
      <c r="G65">
        <v>4952</v>
      </c>
      <c r="H65">
        <v>48227</v>
      </c>
      <c r="I65" t="s">
        <v>454</v>
      </c>
      <c r="J65">
        <v>78.290000000000006</v>
      </c>
      <c r="K65">
        <v>4853</v>
      </c>
      <c r="L65">
        <v>48290</v>
      </c>
      <c r="M65" t="s">
        <v>455</v>
      </c>
      <c r="N65">
        <v>78.69</v>
      </c>
      <c r="O65">
        <v>4890</v>
      </c>
      <c r="P65">
        <v>48635</v>
      </c>
      <c r="Q65" t="s">
        <v>270</v>
      </c>
      <c r="R65">
        <v>78.540000000000006</v>
      </c>
      <c r="S65">
        <v>4807</v>
      </c>
      <c r="T65">
        <v>49150</v>
      </c>
      <c r="U65" t="s">
        <v>311</v>
      </c>
      <c r="V65">
        <v>73.849999999999994</v>
      </c>
      <c r="W65">
        <v>4952</v>
      </c>
      <c r="X65">
        <v>49847</v>
      </c>
      <c r="Y65" t="s">
        <v>239</v>
      </c>
      <c r="Z65">
        <v>72.25</v>
      </c>
      <c r="AA65">
        <v>5234</v>
      </c>
      <c r="AB65">
        <v>50097</v>
      </c>
      <c r="AC65" t="s">
        <v>351</v>
      </c>
      <c r="AD65">
        <v>74.569999999999993</v>
      </c>
      <c r="AE65">
        <v>5284</v>
      </c>
      <c r="AF65">
        <v>50616</v>
      </c>
      <c r="AG65" t="s">
        <v>456</v>
      </c>
      <c r="AH65">
        <v>75.430000000000007</v>
      </c>
      <c r="AI65">
        <v>5335</v>
      </c>
      <c r="AJ65">
        <v>50930</v>
      </c>
      <c r="AK65" t="s">
        <v>239</v>
      </c>
      <c r="AL65">
        <v>59.9</v>
      </c>
      <c r="AM65">
        <v>5479</v>
      </c>
      <c r="AN65">
        <v>51356</v>
      </c>
      <c r="AO65" t="s">
        <v>457</v>
      </c>
      <c r="AP65">
        <v>60.71</v>
      </c>
      <c r="AQ65">
        <v>6540</v>
      </c>
      <c r="AR65">
        <v>50747</v>
      </c>
      <c r="AS65" t="s">
        <v>458</v>
      </c>
      <c r="AT65">
        <v>61.12</v>
      </c>
      <c r="AU65">
        <v>6865</v>
      </c>
      <c r="AV65">
        <v>50143</v>
      </c>
      <c r="AW65" t="s">
        <v>359</v>
      </c>
    </row>
    <row r="66" spans="1:49" x14ac:dyDescent="0.2">
      <c r="A66" t="s">
        <v>459</v>
      </c>
      <c r="B66">
        <v>72.069999999999993</v>
      </c>
      <c r="C66">
        <v>3923</v>
      </c>
      <c r="D66">
        <v>46510</v>
      </c>
      <c r="E66" t="s">
        <v>460</v>
      </c>
      <c r="F66">
        <v>74.03</v>
      </c>
      <c r="G66">
        <v>4046</v>
      </c>
      <c r="H66">
        <v>47283</v>
      </c>
      <c r="I66" t="s">
        <v>279</v>
      </c>
      <c r="J66">
        <v>75</v>
      </c>
      <c r="K66">
        <v>4154</v>
      </c>
      <c r="L66">
        <v>47718</v>
      </c>
      <c r="M66" t="s">
        <v>417</v>
      </c>
      <c r="N66">
        <v>76.02</v>
      </c>
      <c r="O66">
        <v>4193</v>
      </c>
      <c r="P66">
        <v>48254</v>
      </c>
      <c r="Q66" t="s">
        <v>309</v>
      </c>
      <c r="R66">
        <v>76.34</v>
      </c>
      <c r="S66">
        <v>4266</v>
      </c>
      <c r="T66">
        <v>48630</v>
      </c>
      <c r="U66" t="s">
        <v>461</v>
      </c>
      <c r="V66">
        <v>77.069999999999993</v>
      </c>
      <c r="W66">
        <v>4280</v>
      </c>
      <c r="X66">
        <v>48706</v>
      </c>
      <c r="Y66" t="s">
        <v>462</v>
      </c>
      <c r="Z66">
        <v>78.31</v>
      </c>
      <c r="AA66">
        <v>4309</v>
      </c>
      <c r="AB66">
        <v>49377</v>
      </c>
      <c r="AC66" t="s">
        <v>463</v>
      </c>
      <c r="AD66">
        <v>80.23</v>
      </c>
      <c r="AE66">
        <v>4371</v>
      </c>
      <c r="AF66">
        <v>49518</v>
      </c>
      <c r="AG66" t="s">
        <v>455</v>
      </c>
      <c r="AH66">
        <v>78.91</v>
      </c>
      <c r="AI66">
        <v>4316</v>
      </c>
      <c r="AJ66">
        <v>49664</v>
      </c>
      <c r="AK66" t="s">
        <v>464</v>
      </c>
      <c r="AL66">
        <v>76.709999999999994</v>
      </c>
      <c r="AM66">
        <v>4320</v>
      </c>
      <c r="AN66">
        <v>49602</v>
      </c>
      <c r="AO66" t="s">
        <v>465</v>
      </c>
      <c r="AP66">
        <v>76.790000000000006</v>
      </c>
      <c r="AQ66">
        <v>4223</v>
      </c>
      <c r="AR66">
        <v>49804</v>
      </c>
      <c r="AS66" t="s">
        <v>401</v>
      </c>
      <c r="AT66">
        <v>77.7</v>
      </c>
      <c r="AU66">
        <v>4275</v>
      </c>
      <c r="AV66">
        <v>50214</v>
      </c>
      <c r="AW66" t="s">
        <v>240</v>
      </c>
    </row>
    <row r="67" spans="1:49" x14ac:dyDescent="0.2">
      <c r="A67" t="s">
        <v>466</v>
      </c>
      <c r="B67">
        <v>59.17</v>
      </c>
      <c r="C67">
        <v>3661</v>
      </c>
      <c r="D67">
        <v>55258</v>
      </c>
      <c r="E67" t="s">
        <v>372</v>
      </c>
      <c r="F67">
        <v>61.27</v>
      </c>
      <c r="G67">
        <v>3817</v>
      </c>
      <c r="H67">
        <v>58179</v>
      </c>
      <c r="I67" t="s">
        <v>467</v>
      </c>
      <c r="J67">
        <v>65.13</v>
      </c>
      <c r="K67">
        <v>3935</v>
      </c>
      <c r="L67">
        <v>55610</v>
      </c>
      <c r="M67" t="s">
        <v>468</v>
      </c>
      <c r="N67">
        <v>63.81</v>
      </c>
      <c r="O67">
        <v>4013</v>
      </c>
      <c r="P67">
        <v>58102</v>
      </c>
      <c r="Q67" t="s">
        <v>469</v>
      </c>
      <c r="R67">
        <v>64.25</v>
      </c>
      <c r="S67">
        <v>4188</v>
      </c>
      <c r="T67">
        <v>58022</v>
      </c>
      <c r="U67" t="s">
        <v>470</v>
      </c>
      <c r="V67">
        <v>66.459999999999994</v>
      </c>
      <c r="W67">
        <v>4506</v>
      </c>
      <c r="X67">
        <v>55631</v>
      </c>
      <c r="Y67" t="s">
        <v>318</v>
      </c>
      <c r="Z67">
        <v>66.77</v>
      </c>
      <c r="AA67">
        <v>4613</v>
      </c>
      <c r="AB67">
        <v>56669</v>
      </c>
      <c r="AC67" t="s">
        <v>471</v>
      </c>
      <c r="AD67">
        <v>65.540000000000006</v>
      </c>
      <c r="AE67">
        <v>4765</v>
      </c>
      <c r="AF67">
        <v>55047</v>
      </c>
      <c r="AG67" t="s">
        <v>170</v>
      </c>
      <c r="AH67">
        <v>65.77</v>
      </c>
      <c r="AI67">
        <v>4714</v>
      </c>
      <c r="AJ67">
        <v>55122</v>
      </c>
      <c r="AK67" t="s">
        <v>185</v>
      </c>
      <c r="AL67">
        <v>60.01</v>
      </c>
      <c r="AM67">
        <v>4494</v>
      </c>
      <c r="AN67">
        <v>56589</v>
      </c>
      <c r="AO67" t="s">
        <v>472</v>
      </c>
      <c r="AP67">
        <v>60.33</v>
      </c>
      <c r="AQ67">
        <v>4420</v>
      </c>
      <c r="AR67">
        <v>54855</v>
      </c>
      <c r="AS67" t="s">
        <v>473</v>
      </c>
      <c r="AT67">
        <v>60.43</v>
      </c>
      <c r="AU67">
        <v>4468</v>
      </c>
      <c r="AV67">
        <v>58597</v>
      </c>
      <c r="AW67" t="s">
        <v>474</v>
      </c>
    </row>
    <row r="68" spans="1:49" x14ac:dyDescent="0.2">
      <c r="A68" t="s">
        <v>475</v>
      </c>
      <c r="B68">
        <v>156.63</v>
      </c>
      <c r="C68">
        <v>10250</v>
      </c>
      <c r="D68" t="s">
        <v>173</v>
      </c>
      <c r="E68" t="s">
        <v>173</v>
      </c>
      <c r="F68">
        <v>156.63</v>
      </c>
      <c r="G68">
        <v>10250</v>
      </c>
      <c r="H68" t="s">
        <v>173</v>
      </c>
      <c r="I68" t="s">
        <v>173</v>
      </c>
      <c r="J68">
        <v>156.63</v>
      </c>
      <c r="K68">
        <v>10250</v>
      </c>
      <c r="L68" t="s">
        <v>173</v>
      </c>
      <c r="M68" t="s">
        <v>173</v>
      </c>
      <c r="N68">
        <v>156.63</v>
      </c>
      <c r="O68">
        <v>10250</v>
      </c>
      <c r="P68" t="s">
        <v>173</v>
      </c>
      <c r="Q68" t="s">
        <v>173</v>
      </c>
      <c r="R68">
        <v>156.63</v>
      </c>
      <c r="S68">
        <v>10250</v>
      </c>
      <c r="T68" t="s">
        <v>173</v>
      </c>
      <c r="U68" t="s">
        <v>173</v>
      </c>
      <c r="V68">
        <v>156.63</v>
      </c>
      <c r="W68">
        <v>10250</v>
      </c>
      <c r="X68" t="s">
        <v>173</v>
      </c>
      <c r="Y68" t="s">
        <v>173</v>
      </c>
      <c r="Z68">
        <v>156.63</v>
      </c>
      <c r="AA68">
        <v>10250</v>
      </c>
      <c r="AB68" t="s">
        <v>173</v>
      </c>
      <c r="AC68" t="s">
        <v>173</v>
      </c>
      <c r="AD68">
        <v>156.63</v>
      </c>
      <c r="AE68">
        <v>10250</v>
      </c>
      <c r="AF68" t="s">
        <v>173</v>
      </c>
      <c r="AG68" t="s">
        <v>173</v>
      </c>
      <c r="AH68">
        <v>156.63</v>
      </c>
      <c r="AI68">
        <v>10250</v>
      </c>
      <c r="AJ68" t="s">
        <v>173</v>
      </c>
      <c r="AK68" t="s">
        <v>173</v>
      </c>
      <c r="AL68" t="s">
        <v>173</v>
      </c>
      <c r="AM68" t="s">
        <v>173</v>
      </c>
      <c r="AN68" t="s">
        <v>173</v>
      </c>
      <c r="AO68" t="s">
        <v>173</v>
      </c>
      <c r="AP68" t="s">
        <v>173</v>
      </c>
      <c r="AQ68" t="s">
        <v>173</v>
      </c>
      <c r="AR68" t="s">
        <v>173</v>
      </c>
      <c r="AS68" t="s">
        <v>173</v>
      </c>
      <c r="AT68" t="s">
        <v>173</v>
      </c>
      <c r="AU68" t="s">
        <v>173</v>
      </c>
      <c r="AV68" t="s">
        <v>173</v>
      </c>
      <c r="AW68" t="s">
        <v>173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L1" workbookViewId="0">
      <selection activeCell="S11" sqref="S11"/>
    </sheetView>
  </sheetViews>
  <sheetFormatPr defaultRowHeight="14.25" x14ac:dyDescent="0.2"/>
  <cols>
    <col min="1" max="1" width="5.75" style="60" customWidth="1"/>
    <col min="2" max="2" width="17.75" style="83" bestFit="1" customWidth="1"/>
    <col min="3" max="3" width="7.25" style="60" customWidth="1"/>
    <col min="4" max="4" width="5.75" style="60" customWidth="1"/>
    <col min="5" max="5" width="9" style="60"/>
    <col min="6" max="6" width="11" style="60" customWidth="1"/>
    <col min="7" max="7" width="10.375" style="83" customWidth="1"/>
    <col min="8" max="8" width="9" style="60" bestFit="1" customWidth="1"/>
    <col min="9" max="9" width="12" style="60" customWidth="1"/>
    <col min="10" max="15" width="9" style="60"/>
    <col min="16" max="16" width="17" style="60" bestFit="1" customWidth="1"/>
    <col min="17" max="17" width="11.5" style="60" bestFit="1" customWidth="1"/>
    <col min="18" max="18" width="13.125" style="60" bestFit="1" customWidth="1"/>
    <col min="19" max="19" width="9" style="60"/>
    <col min="20" max="20" width="14.75" style="60" customWidth="1"/>
    <col min="21" max="16384" width="9" style="60"/>
  </cols>
  <sheetData>
    <row r="1" spans="1:22" ht="34.5" customHeight="1" x14ac:dyDescent="0.2">
      <c r="A1" s="154" t="s">
        <v>585</v>
      </c>
      <c r="B1" s="154"/>
      <c r="C1" s="154"/>
      <c r="D1" s="154"/>
      <c r="E1" s="154"/>
      <c r="F1" s="154"/>
      <c r="G1" s="154"/>
      <c r="H1" s="154"/>
    </row>
    <row r="2" spans="1:22" ht="24" x14ac:dyDescent="0.2">
      <c r="A2" s="61" t="s">
        <v>129</v>
      </c>
      <c r="B2" s="62" t="s">
        <v>105</v>
      </c>
      <c r="C2" s="62" t="s">
        <v>492</v>
      </c>
      <c r="D2" s="62" t="s">
        <v>586</v>
      </c>
      <c r="E2" s="62" t="s">
        <v>587</v>
      </c>
      <c r="F2" s="63" t="s">
        <v>588</v>
      </c>
      <c r="G2" s="64" t="s">
        <v>589</v>
      </c>
      <c r="H2" s="65" t="s">
        <v>590</v>
      </c>
      <c r="I2" s="66" t="s">
        <v>591</v>
      </c>
      <c r="J2" s="66" t="s">
        <v>592</v>
      </c>
    </row>
    <row r="3" spans="1:22" x14ac:dyDescent="0.2">
      <c r="A3" s="67">
        <v>1</v>
      </c>
      <c r="B3" s="68" t="s">
        <v>593</v>
      </c>
      <c r="C3" s="68">
        <v>4</v>
      </c>
      <c r="D3" s="68">
        <v>1</v>
      </c>
      <c r="E3" s="68">
        <v>201</v>
      </c>
      <c r="F3" s="67">
        <v>60.77</v>
      </c>
      <c r="G3" s="69" t="s">
        <v>594</v>
      </c>
      <c r="H3" s="69" t="s">
        <v>595</v>
      </c>
      <c r="I3" s="70" t="s">
        <v>596</v>
      </c>
      <c r="J3" s="70">
        <v>1</v>
      </c>
    </row>
    <row r="4" spans="1:22" x14ac:dyDescent="0.2">
      <c r="A4" s="67">
        <v>2</v>
      </c>
      <c r="B4" s="71" t="s">
        <v>597</v>
      </c>
      <c r="C4" s="71">
        <v>4</v>
      </c>
      <c r="D4" s="71">
        <v>1</v>
      </c>
      <c r="E4" s="71">
        <v>202</v>
      </c>
      <c r="F4" s="72">
        <v>58.35</v>
      </c>
      <c r="G4" s="73" t="s">
        <v>598</v>
      </c>
      <c r="H4" s="69" t="s">
        <v>493</v>
      </c>
      <c r="I4" s="70" t="s">
        <v>599</v>
      </c>
      <c r="J4" s="70">
        <v>1</v>
      </c>
    </row>
    <row r="5" spans="1:22" x14ac:dyDescent="0.2">
      <c r="A5" s="67">
        <v>3</v>
      </c>
      <c r="B5" s="68" t="s">
        <v>597</v>
      </c>
      <c r="C5" s="68">
        <v>4</v>
      </c>
      <c r="D5" s="68">
        <v>1</v>
      </c>
      <c r="E5" s="68">
        <v>203</v>
      </c>
      <c r="F5" s="67">
        <v>58.35</v>
      </c>
      <c r="G5" s="69" t="s">
        <v>600</v>
      </c>
      <c r="H5" s="69" t="s">
        <v>493</v>
      </c>
      <c r="I5" s="70" t="s">
        <v>601</v>
      </c>
      <c r="J5" s="70">
        <v>1</v>
      </c>
    </row>
    <row r="6" spans="1:22" x14ac:dyDescent="0.2">
      <c r="A6" s="67">
        <v>4</v>
      </c>
      <c r="B6" s="71" t="s">
        <v>597</v>
      </c>
      <c r="C6" s="71">
        <v>4</v>
      </c>
      <c r="D6" s="72">
        <v>1</v>
      </c>
      <c r="E6" s="71">
        <v>204</v>
      </c>
      <c r="F6" s="72">
        <v>58.66</v>
      </c>
      <c r="G6" s="73" t="s">
        <v>602</v>
      </c>
      <c r="H6" s="69" t="s">
        <v>493</v>
      </c>
      <c r="I6" s="70" t="s">
        <v>596</v>
      </c>
      <c r="J6" s="70">
        <v>1</v>
      </c>
      <c r="P6" s="92" t="s">
        <v>603</v>
      </c>
      <c r="Q6" t="s">
        <v>604</v>
      </c>
    </row>
    <row r="7" spans="1:22" x14ac:dyDescent="0.2">
      <c r="A7" s="67">
        <v>5</v>
      </c>
      <c r="B7" s="68" t="s">
        <v>597</v>
      </c>
      <c r="C7" s="68">
        <v>4</v>
      </c>
      <c r="D7" s="68">
        <v>1</v>
      </c>
      <c r="E7" s="68">
        <v>301</v>
      </c>
      <c r="F7" s="67">
        <v>60.77</v>
      </c>
      <c r="G7" s="69" t="s">
        <v>605</v>
      </c>
      <c r="H7" s="69" t="s">
        <v>493</v>
      </c>
      <c r="I7" s="70" t="s">
        <v>596</v>
      </c>
      <c r="J7" s="70">
        <v>1</v>
      </c>
      <c r="P7" s="93" t="s">
        <v>493</v>
      </c>
      <c r="Q7">
        <v>79</v>
      </c>
      <c r="S7" s="60" t="s">
        <v>606</v>
      </c>
      <c r="T7" s="109" t="s">
        <v>607</v>
      </c>
      <c r="U7" s="60">
        <v>79</v>
      </c>
      <c r="V7" s="74">
        <f>ROUND(GETPIVOTDATA("数量",$P$6,"户型","二居")/GETPIVOTDATA("数量",$P$6),4)</f>
        <v>0.85870000000000002</v>
      </c>
    </row>
    <row r="8" spans="1:22" x14ac:dyDescent="0.2">
      <c r="A8" s="67">
        <v>6</v>
      </c>
      <c r="B8" s="68" t="s">
        <v>597</v>
      </c>
      <c r="C8" s="68">
        <v>4</v>
      </c>
      <c r="D8" s="68">
        <v>1</v>
      </c>
      <c r="E8" s="68">
        <v>302</v>
      </c>
      <c r="F8" s="67">
        <v>58.35</v>
      </c>
      <c r="G8" s="69" t="s">
        <v>608</v>
      </c>
      <c r="H8" s="69" t="s">
        <v>493</v>
      </c>
      <c r="I8" s="70" t="s">
        <v>599</v>
      </c>
      <c r="J8" s="70">
        <v>1</v>
      </c>
      <c r="P8" s="94" t="s">
        <v>494</v>
      </c>
      <c r="Q8">
        <v>15</v>
      </c>
      <c r="S8" s="60" t="s">
        <v>609</v>
      </c>
      <c r="T8" s="109" t="s">
        <v>610</v>
      </c>
      <c r="U8" s="60">
        <v>13</v>
      </c>
      <c r="V8" s="74">
        <f>ROUND(U8/GETPIVOTDATA("数量",$P$6),4)</f>
        <v>0.14130000000000001</v>
      </c>
    </row>
    <row r="9" spans="1:22" x14ac:dyDescent="0.2">
      <c r="A9" s="67">
        <v>7</v>
      </c>
      <c r="B9" s="68" t="s">
        <v>597</v>
      </c>
      <c r="C9" s="68">
        <v>4</v>
      </c>
      <c r="D9" s="68">
        <v>1</v>
      </c>
      <c r="E9" s="68">
        <v>303</v>
      </c>
      <c r="F9" s="67">
        <v>58.35</v>
      </c>
      <c r="G9" s="69" t="s">
        <v>611</v>
      </c>
      <c r="H9" s="69" t="s">
        <v>493</v>
      </c>
      <c r="I9" s="70" t="s">
        <v>601</v>
      </c>
      <c r="J9" s="70">
        <v>1</v>
      </c>
      <c r="P9" s="95">
        <v>58.35</v>
      </c>
      <c r="Q9">
        <v>15</v>
      </c>
    </row>
    <row r="10" spans="1:22" x14ac:dyDescent="0.2">
      <c r="A10" s="67">
        <v>8</v>
      </c>
      <c r="B10" s="68" t="s">
        <v>597</v>
      </c>
      <c r="C10" s="68">
        <v>4</v>
      </c>
      <c r="D10" s="67">
        <v>1</v>
      </c>
      <c r="E10" s="68">
        <v>304</v>
      </c>
      <c r="F10" s="67">
        <v>58.66</v>
      </c>
      <c r="G10" s="69" t="s">
        <v>613</v>
      </c>
      <c r="H10" s="69" t="s">
        <v>493</v>
      </c>
      <c r="I10" s="70" t="s">
        <v>596</v>
      </c>
      <c r="J10" s="70">
        <v>1</v>
      </c>
      <c r="P10" s="96" t="s">
        <v>598</v>
      </c>
      <c r="Q10">
        <v>1</v>
      </c>
    </row>
    <row r="11" spans="1:22" x14ac:dyDescent="0.2">
      <c r="A11" s="67">
        <v>9</v>
      </c>
      <c r="B11" s="68" t="s">
        <v>597</v>
      </c>
      <c r="C11" s="68">
        <v>4</v>
      </c>
      <c r="D11" s="68">
        <v>1</v>
      </c>
      <c r="E11" s="68">
        <v>401</v>
      </c>
      <c r="F11" s="67">
        <v>60.77</v>
      </c>
      <c r="G11" s="69" t="str">
        <f>C11&amp;"-"&amp;D11&amp;"-"&amp;E11</f>
        <v>4-1-401</v>
      </c>
      <c r="H11" s="69" t="s">
        <v>493</v>
      </c>
      <c r="I11" s="70" t="s">
        <v>596</v>
      </c>
      <c r="J11" s="70">
        <v>1</v>
      </c>
      <c r="P11" s="96" t="s">
        <v>608</v>
      </c>
      <c r="Q11">
        <v>1</v>
      </c>
      <c r="S11" s="109" t="s">
        <v>599</v>
      </c>
      <c r="T11" s="60">
        <f>GETPIVOTDATA("数量",$P$6,"户型","二居","朝向","东北")</f>
        <v>15</v>
      </c>
      <c r="U11" s="74">
        <f>ROUND(T11/$A$94,5)</f>
        <v>0.16303999999999999</v>
      </c>
    </row>
    <row r="12" spans="1:22" x14ac:dyDescent="0.2">
      <c r="A12" s="67">
        <v>10</v>
      </c>
      <c r="B12" s="68" t="s">
        <v>597</v>
      </c>
      <c r="C12" s="68">
        <v>4</v>
      </c>
      <c r="D12" s="68">
        <v>1</v>
      </c>
      <c r="E12" s="68">
        <v>402</v>
      </c>
      <c r="F12" s="67">
        <v>58.35</v>
      </c>
      <c r="G12" s="69" t="s">
        <v>616</v>
      </c>
      <c r="H12" s="69" t="s">
        <v>493</v>
      </c>
      <c r="I12" s="70" t="s">
        <v>599</v>
      </c>
      <c r="J12" s="70">
        <v>1</v>
      </c>
      <c r="P12" s="96" t="s">
        <v>616</v>
      </c>
      <c r="Q12">
        <v>1</v>
      </c>
      <c r="S12" s="60" t="s">
        <v>601</v>
      </c>
      <c r="T12" s="60">
        <f>GETPIVOTDATA("数量",$P$6,"户型","二居","朝向","东南")</f>
        <v>15</v>
      </c>
      <c r="U12" s="74">
        <f t="shared" ref="U12:U16" si="0">ROUND(T12/$A$94,4)</f>
        <v>0.16300000000000001</v>
      </c>
    </row>
    <row r="13" spans="1:22" x14ac:dyDescent="0.2">
      <c r="A13" s="67">
        <v>11</v>
      </c>
      <c r="B13" s="68" t="s">
        <v>593</v>
      </c>
      <c r="C13" s="68">
        <v>4</v>
      </c>
      <c r="D13" s="68">
        <v>1</v>
      </c>
      <c r="E13" s="68">
        <v>403</v>
      </c>
      <c r="F13" s="67">
        <v>58.35</v>
      </c>
      <c r="G13" s="69" t="s">
        <v>618</v>
      </c>
      <c r="H13" s="69" t="s">
        <v>493</v>
      </c>
      <c r="I13" s="70" t="s">
        <v>601</v>
      </c>
      <c r="J13" s="70">
        <v>1</v>
      </c>
      <c r="P13" s="96" t="s">
        <v>625</v>
      </c>
      <c r="Q13">
        <v>1</v>
      </c>
      <c r="S13" s="60" t="s">
        <v>596</v>
      </c>
      <c r="T13" s="60">
        <f>GETPIVOTDATA("数量",$P$6,"户型","二居","朝向","东西")+GETPIVOTDATA("数量",$P$6,"户型","一居","朝向","东西")</f>
        <v>41</v>
      </c>
      <c r="U13" s="74">
        <f t="shared" si="0"/>
        <v>0.44569999999999999</v>
      </c>
    </row>
    <row r="14" spans="1:22" x14ac:dyDescent="0.2">
      <c r="A14" s="67">
        <v>12</v>
      </c>
      <c r="B14" s="68" t="s">
        <v>597</v>
      </c>
      <c r="C14" s="68">
        <v>4</v>
      </c>
      <c r="D14" s="67">
        <v>1</v>
      </c>
      <c r="E14" s="68">
        <v>404</v>
      </c>
      <c r="F14" s="67">
        <v>58.66</v>
      </c>
      <c r="G14" s="69" t="s">
        <v>619</v>
      </c>
      <c r="H14" s="69" t="s">
        <v>493</v>
      </c>
      <c r="I14" s="70" t="s">
        <v>596</v>
      </c>
      <c r="J14" s="70">
        <v>1</v>
      </c>
      <c r="P14" s="96" t="s">
        <v>634</v>
      </c>
      <c r="Q14">
        <v>1</v>
      </c>
      <c r="S14" s="60" t="s">
        <v>621</v>
      </c>
      <c r="T14" s="60">
        <f>GETPIVOTDATA("数量",$P$6,"户型","二居","朝向","南北")</f>
        <v>10</v>
      </c>
      <c r="U14" s="74">
        <f t="shared" si="0"/>
        <v>0.1087</v>
      </c>
    </row>
    <row r="15" spans="1:22" x14ac:dyDescent="0.2">
      <c r="A15" s="67">
        <v>13</v>
      </c>
      <c r="B15" s="68" t="s">
        <v>597</v>
      </c>
      <c r="C15" s="68">
        <v>4</v>
      </c>
      <c r="D15" s="68">
        <v>1</v>
      </c>
      <c r="E15" s="68">
        <v>501</v>
      </c>
      <c r="F15" s="67">
        <v>60.77</v>
      </c>
      <c r="G15" s="69" t="s">
        <v>622</v>
      </c>
      <c r="H15" s="69" t="s">
        <v>493</v>
      </c>
      <c r="I15" s="70" t="s">
        <v>596</v>
      </c>
      <c r="J15" s="70">
        <v>1</v>
      </c>
      <c r="P15" s="96" t="s">
        <v>642</v>
      </c>
      <c r="Q15">
        <v>1</v>
      </c>
      <c r="S15" s="60" t="s">
        <v>624</v>
      </c>
      <c r="T15" s="60">
        <f>GETPIVOTDATA("数量",$P$6,"户型","二居","朝向","南北东")</f>
        <v>4</v>
      </c>
      <c r="U15" s="74">
        <f t="shared" si="0"/>
        <v>4.3499999999999997E-2</v>
      </c>
    </row>
    <row r="16" spans="1:22" x14ac:dyDescent="0.2">
      <c r="A16" s="67">
        <v>14</v>
      </c>
      <c r="B16" s="71" t="s">
        <v>597</v>
      </c>
      <c r="C16" s="71">
        <v>4</v>
      </c>
      <c r="D16" s="71">
        <v>1</v>
      </c>
      <c r="E16" s="71">
        <v>502</v>
      </c>
      <c r="F16" s="72">
        <v>58.35</v>
      </c>
      <c r="G16" s="69" t="s">
        <v>625</v>
      </c>
      <c r="H16" s="69" t="s">
        <v>493</v>
      </c>
      <c r="I16" s="70" t="s">
        <v>599</v>
      </c>
      <c r="J16" s="70">
        <v>1</v>
      </c>
      <c r="P16" s="96" t="s">
        <v>647</v>
      </c>
      <c r="Q16">
        <v>1</v>
      </c>
      <c r="S16" s="60" t="s">
        <v>627</v>
      </c>
      <c r="T16" s="60">
        <f>GETPIVOTDATA("数量",$P$6,"户型","二居","朝向","南北西")</f>
        <v>5</v>
      </c>
      <c r="U16" s="74">
        <f t="shared" si="0"/>
        <v>5.4300000000000001E-2</v>
      </c>
    </row>
    <row r="17" spans="1:21" x14ac:dyDescent="0.2">
      <c r="A17" s="67">
        <v>15</v>
      </c>
      <c r="B17" s="68" t="s">
        <v>597</v>
      </c>
      <c r="C17" s="68">
        <v>4</v>
      </c>
      <c r="D17" s="68">
        <v>1</v>
      </c>
      <c r="E17" s="68">
        <v>503</v>
      </c>
      <c r="F17" s="67">
        <v>58.35</v>
      </c>
      <c r="G17" s="73" t="s">
        <v>628</v>
      </c>
      <c r="H17" s="69" t="s">
        <v>493</v>
      </c>
      <c r="I17" s="70" t="s">
        <v>601</v>
      </c>
      <c r="J17" s="70">
        <v>1</v>
      </c>
      <c r="P17" s="96" t="s">
        <v>654</v>
      </c>
      <c r="Q17">
        <v>1</v>
      </c>
      <c r="S17" s="60" t="s">
        <v>630</v>
      </c>
      <c r="T17" s="60">
        <f>GETPIVOTDATA("数量",$P$6,"户型","一居","朝向","西")</f>
        <v>2</v>
      </c>
      <c r="U17" s="74">
        <v>2.18E-2</v>
      </c>
    </row>
    <row r="18" spans="1:21" x14ac:dyDescent="0.2">
      <c r="A18" s="67">
        <v>16</v>
      </c>
      <c r="B18" s="68" t="s">
        <v>597</v>
      </c>
      <c r="C18" s="68">
        <v>4</v>
      </c>
      <c r="D18" s="67">
        <v>1</v>
      </c>
      <c r="E18" s="68">
        <v>504</v>
      </c>
      <c r="F18" s="67">
        <v>58.66</v>
      </c>
      <c r="G18" s="69" t="s">
        <v>631</v>
      </c>
      <c r="H18" s="69" t="s">
        <v>493</v>
      </c>
      <c r="I18" s="70" t="s">
        <v>596</v>
      </c>
      <c r="J18" s="70">
        <v>1</v>
      </c>
      <c r="P18" s="96" t="s">
        <v>658</v>
      </c>
      <c r="Q18">
        <v>1</v>
      </c>
    </row>
    <row r="19" spans="1:21" x14ac:dyDescent="0.2">
      <c r="A19" s="67">
        <v>17</v>
      </c>
      <c r="B19" s="68" t="s">
        <v>597</v>
      </c>
      <c r="C19" s="68">
        <v>4</v>
      </c>
      <c r="D19" s="68">
        <v>1</v>
      </c>
      <c r="E19" s="68">
        <v>601</v>
      </c>
      <c r="F19" s="67">
        <v>60.77</v>
      </c>
      <c r="G19" s="73" t="s">
        <v>633</v>
      </c>
      <c r="H19" s="69" t="s">
        <v>493</v>
      </c>
      <c r="I19" s="70" t="s">
        <v>596</v>
      </c>
      <c r="J19" s="70">
        <v>1</v>
      </c>
      <c r="P19" s="96" t="s">
        <v>750</v>
      </c>
      <c r="Q19">
        <v>1</v>
      </c>
    </row>
    <row r="20" spans="1:21" x14ac:dyDescent="0.2">
      <c r="A20" s="67">
        <v>18</v>
      </c>
      <c r="B20" s="68" t="s">
        <v>597</v>
      </c>
      <c r="C20" s="68">
        <v>4</v>
      </c>
      <c r="D20" s="68">
        <v>1</v>
      </c>
      <c r="E20" s="68">
        <v>602</v>
      </c>
      <c r="F20" s="67">
        <v>58.35</v>
      </c>
      <c r="G20" s="69" t="s">
        <v>634</v>
      </c>
      <c r="H20" s="69" t="s">
        <v>493</v>
      </c>
      <c r="I20" s="70" t="s">
        <v>599</v>
      </c>
      <c r="J20" s="70">
        <v>1</v>
      </c>
      <c r="P20" s="96" t="s">
        <v>751</v>
      </c>
      <c r="Q20">
        <v>1</v>
      </c>
    </row>
    <row r="21" spans="1:21" x14ac:dyDescent="0.2">
      <c r="A21" s="67">
        <v>19</v>
      </c>
      <c r="B21" s="68" t="s">
        <v>597</v>
      </c>
      <c r="C21" s="68">
        <v>4</v>
      </c>
      <c r="D21" s="68">
        <v>1</v>
      </c>
      <c r="E21" s="68">
        <v>603</v>
      </c>
      <c r="F21" s="67">
        <v>58.35</v>
      </c>
      <c r="G21" s="69" t="s">
        <v>636</v>
      </c>
      <c r="H21" s="69" t="s">
        <v>493</v>
      </c>
      <c r="I21" s="70" t="s">
        <v>601</v>
      </c>
      <c r="J21" s="70">
        <v>1</v>
      </c>
      <c r="P21" s="96" t="s">
        <v>752</v>
      </c>
      <c r="Q21">
        <v>1</v>
      </c>
    </row>
    <row r="22" spans="1:21" x14ac:dyDescent="0.2">
      <c r="A22" s="67">
        <v>20</v>
      </c>
      <c r="B22" s="68" t="s">
        <v>597</v>
      </c>
      <c r="C22" s="68">
        <v>4</v>
      </c>
      <c r="D22" s="67">
        <v>1</v>
      </c>
      <c r="E22" s="68">
        <v>604</v>
      </c>
      <c r="F22" s="75">
        <v>58.66</v>
      </c>
      <c r="G22" s="69" t="s">
        <v>638</v>
      </c>
      <c r="H22" s="69" t="s">
        <v>493</v>
      </c>
      <c r="I22" s="70" t="s">
        <v>596</v>
      </c>
      <c r="J22" s="70">
        <v>1</v>
      </c>
      <c r="P22" s="96" t="s">
        <v>753</v>
      </c>
      <c r="Q22">
        <v>1</v>
      </c>
    </row>
    <row r="23" spans="1:21" x14ac:dyDescent="0.2">
      <c r="A23" s="67">
        <v>21</v>
      </c>
      <c r="B23" s="71" t="s">
        <v>597</v>
      </c>
      <c r="C23" s="71">
        <v>4</v>
      </c>
      <c r="D23" s="72">
        <v>2</v>
      </c>
      <c r="E23" s="71">
        <v>201</v>
      </c>
      <c r="F23" s="72">
        <v>60.55</v>
      </c>
      <c r="G23" s="69" t="s">
        <v>640</v>
      </c>
      <c r="H23" s="69" t="s">
        <v>493</v>
      </c>
      <c r="I23" s="70" t="s">
        <v>596</v>
      </c>
      <c r="J23" s="70">
        <v>1</v>
      </c>
      <c r="P23" s="96" t="s">
        <v>754</v>
      </c>
      <c r="Q23">
        <v>1</v>
      </c>
    </row>
    <row r="24" spans="1:21" x14ac:dyDescent="0.2">
      <c r="A24" s="67">
        <v>22</v>
      </c>
      <c r="B24" s="68" t="s">
        <v>597</v>
      </c>
      <c r="C24" s="68">
        <v>4</v>
      </c>
      <c r="D24" s="67">
        <v>2</v>
      </c>
      <c r="E24" s="68">
        <v>202</v>
      </c>
      <c r="F24" s="67">
        <v>58.35</v>
      </c>
      <c r="G24" s="76" t="s">
        <v>642</v>
      </c>
      <c r="H24" s="69" t="s">
        <v>493</v>
      </c>
      <c r="I24" s="70" t="s">
        <v>599</v>
      </c>
      <c r="J24" s="70">
        <v>1</v>
      </c>
      <c r="P24" s="96" t="s">
        <v>755</v>
      </c>
      <c r="Q24">
        <v>1</v>
      </c>
    </row>
    <row r="25" spans="1:21" x14ac:dyDescent="0.2">
      <c r="A25" s="67">
        <v>23</v>
      </c>
      <c r="B25" s="77" t="s">
        <v>597</v>
      </c>
      <c r="C25" s="72">
        <v>4</v>
      </c>
      <c r="D25" s="77">
        <v>2</v>
      </c>
      <c r="E25" s="77">
        <v>203</v>
      </c>
      <c r="F25" s="72">
        <v>58.35</v>
      </c>
      <c r="G25" s="69" t="s">
        <v>644</v>
      </c>
      <c r="H25" s="69" t="s">
        <v>493</v>
      </c>
      <c r="I25" s="70" t="s">
        <v>601</v>
      </c>
      <c r="J25" s="70">
        <v>1</v>
      </c>
      <c r="P25" s="94" t="s">
        <v>612</v>
      </c>
      <c r="Q25">
        <v>15</v>
      </c>
    </row>
    <row r="26" spans="1:21" x14ac:dyDescent="0.2">
      <c r="A26" s="67">
        <v>24</v>
      </c>
      <c r="B26" s="71" t="s">
        <v>597</v>
      </c>
      <c r="C26" s="71">
        <v>4</v>
      </c>
      <c r="D26" s="72">
        <v>2</v>
      </c>
      <c r="E26" s="71">
        <v>204</v>
      </c>
      <c r="F26" s="72">
        <v>58.72</v>
      </c>
      <c r="G26" s="69" t="s">
        <v>645</v>
      </c>
      <c r="H26" s="69" t="s">
        <v>493</v>
      </c>
      <c r="I26" s="70" t="s">
        <v>596</v>
      </c>
      <c r="J26" s="70">
        <v>1</v>
      </c>
      <c r="P26" s="95">
        <v>58.35</v>
      </c>
      <c r="Q26">
        <v>15</v>
      </c>
    </row>
    <row r="27" spans="1:21" x14ac:dyDescent="0.2">
      <c r="A27" s="67">
        <v>25</v>
      </c>
      <c r="B27" s="71" t="s">
        <v>597</v>
      </c>
      <c r="C27" s="71">
        <v>4</v>
      </c>
      <c r="D27" s="72">
        <v>2</v>
      </c>
      <c r="E27" s="71">
        <v>301</v>
      </c>
      <c r="F27" s="72">
        <v>60.55</v>
      </c>
      <c r="G27" s="69" t="s">
        <v>646</v>
      </c>
      <c r="H27" s="69" t="s">
        <v>493</v>
      </c>
      <c r="I27" s="70" t="s">
        <v>596</v>
      </c>
      <c r="J27" s="70">
        <v>1</v>
      </c>
      <c r="P27" s="96" t="s">
        <v>600</v>
      </c>
      <c r="Q27">
        <v>1</v>
      </c>
    </row>
    <row r="28" spans="1:21" x14ac:dyDescent="0.2">
      <c r="A28" s="67">
        <v>26</v>
      </c>
      <c r="B28" s="71" t="s">
        <v>597</v>
      </c>
      <c r="C28" s="71">
        <v>4</v>
      </c>
      <c r="D28" s="72">
        <v>2</v>
      </c>
      <c r="E28" s="71">
        <v>302</v>
      </c>
      <c r="F28" s="72">
        <v>58.35</v>
      </c>
      <c r="G28" s="69" t="s">
        <v>647</v>
      </c>
      <c r="H28" s="69" t="s">
        <v>493</v>
      </c>
      <c r="I28" s="70" t="s">
        <v>599</v>
      </c>
      <c r="J28" s="70">
        <v>1</v>
      </c>
      <c r="P28" s="96" t="s">
        <v>611</v>
      </c>
      <c r="Q28">
        <v>1</v>
      </c>
    </row>
    <row r="29" spans="1:21" x14ac:dyDescent="0.2">
      <c r="A29" s="67">
        <v>27</v>
      </c>
      <c r="B29" s="71" t="s">
        <v>597</v>
      </c>
      <c r="C29" s="71">
        <v>4</v>
      </c>
      <c r="D29" s="72">
        <v>2</v>
      </c>
      <c r="E29" s="71">
        <v>303</v>
      </c>
      <c r="F29" s="72">
        <v>58.35</v>
      </c>
      <c r="G29" s="69" t="s">
        <v>648</v>
      </c>
      <c r="H29" s="69" t="s">
        <v>493</v>
      </c>
      <c r="I29" s="70" t="s">
        <v>601</v>
      </c>
      <c r="J29" s="70">
        <v>1</v>
      </c>
      <c r="P29" s="96" t="s">
        <v>618</v>
      </c>
      <c r="Q29">
        <v>1</v>
      </c>
    </row>
    <row r="30" spans="1:21" x14ac:dyDescent="0.2">
      <c r="A30" s="67">
        <v>28</v>
      </c>
      <c r="B30" s="68" t="s">
        <v>597</v>
      </c>
      <c r="C30" s="68">
        <v>4</v>
      </c>
      <c r="D30" s="67">
        <v>2</v>
      </c>
      <c r="E30" s="68">
        <v>304</v>
      </c>
      <c r="F30" s="75">
        <v>58.72</v>
      </c>
      <c r="G30" s="76" t="s">
        <v>650</v>
      </c>
      <c r="H30" s="69" t="s">
        <v>493</v>
      </c>
      <c r="I30" s="70" t="s">
        <v>596</v>
      </c>
      <c r="J30" s="70">
        <v>1</v>
      </c>
      <c r="P30" s="96" t="s">
        <v>628</v>
      </c>
      <c r="Q30">
        <v>1</v>
      </c>
    </row>
    <row r="31" spans="1:21" x14ac:dyDescent="0.2">
      <c r="A31" s="67">
        <v>29</v>
      </c>
      <c r="B31" s="71" t="s">
        <v>597</v>
      </c>
      <c r="C31" s="71">
        <v>4</v>
      </c>
      <c r="D31" s="72">
        <v>2</v>
      </c>
      <c r="E31" s="71">
        <v>401</v>
      </c>
      <c r="F31" s="72">
        <v>60.55</v>
      </c>
      <c r="G31" s="69" t="s">
        <v>652</v>
      </c>
      <c r="H31" s="69" t="s">
        <v>493</v>
      </c>
      <c r="I31" s="70" t="s">
        <v>596</v>
      </c>
      <c r="J31" s="70">
        <v>1</v>
      </c>
      <c r="P31" s="96" t="s">
        <v>636</v>
      </c>
      <c r="Q31">
        <v>1</v>
      </c>
    </row>
    <row r="32" spans="1:21" x14ac:dyDescent="0.2">
      <c r="A32" s="67">
        <v>30</v>
      </c>
      <c r="B32" s="71" t="s">
        <v>597</v>
      </c>
      <c r="C32" s="71">
        <v>4</v>
      </c>
      <c r="D32" s="72">
        <v>2</v>
      </c>
      <c r="E32" s="71">
        <v>402</v>
      </c>
      <c r="F32" s="72">
        <v>58.35</v>
      </c>
      <c r="G32" s="69" t="s">
        <v>654</v>
      </c>
      <c r="H32" s="69" t="s">
        <v>493</v>
      </c>
      <c r="I32" s="70" t="s">
        <v>599</v>
      </c>
      <c r="J32" s="70">
        <v>1</v>
      </c>
      <c r="P32" s="96" t="s">
        <v>644</v>
      </c>
      <c r="Q32">
        <v>1</v>
      </c>
    </row>
    <row r="33" spans="1:17" x14ac:dyDescent="0.2">
      <c r="A33" s="67">
        <v>31</v>
      </c>
      <c r="B33" s="71" t="s">
        <v>597</v>
      </c>
      <c r="C33" s="71">
        <v>4</v>
      </c>
      <c r="D33" s="72">
        <v>2</v>
      </c>
      <c r="E33" s="71">
        <v>403</v>
      </c>
      <c r="F33" s="72">
        <v>58.35</v>
      </c>
      <c r="G33" s="69" t="s">
        <v>655</v>
      </c>
      <c r="H33" s="69" t="s">
        <v>493</v>
      </c>
      <c r="I33" s="70" t="s">
        <v>601</v>
      </c>
      <c r="J33" s="70">
        <v>1</v>
      </c>
      <c r="P33" s="96" t="s">
        <v>648</v>
      </c>
      <c r="Q33">
        <v>1</v>
      </c>
    </row>
    <row r="34" spans="1:17" x14ac:dyDescent="0.2">
      <c r="A34" s="67">
        <v>32</v>
      </c>
      <c r="B34" s="71" t="s">
        <v>597</v>
      </c>
      <c r="C34" s="71">
        <v>4</v>
      </c>
      <c r="D34" s="72">
        <v>2</v>
      </c>
      <c r="E34" s="71">
        <v>404</v>
      </c>
      <c r="F34" s="72">
        <v>58.72</v>
      </c>
      <c r="G34" s="69" t="s">
        <v>656</v>
      </c>
      <c r="H34" s="69" t="s">
        <v>493</v>
      </c>
      <c r="I34" s="70" t="s">
        <v>596</v>
      </c>
      <c r="J34" s="70">
        <v>1</v>
      </c>
      <c r="P34" s="96" t="s">
        <v>655</v>
      </c>
      <c r="Q34">
        <v>1</v>
      </c>
    </row>
    <row r="35" spans="1:17" x14ac:dyDescent="0.2">
      <c r="A35" s="67">
        <v>33</v>
      </c>
      <c r="B35" s="71" t="s">
        <v>597</v>
      </c>
      <c r="C35" s="71">
        <v>4</v>
      </c>
      <c r="D35" s="72">
        <v>2</v>
      </c>
      <c r="E35" s="71">
        <v>501</v>
      </c>
      <c r="F35" s="72">
        <v>60.55</v>
      </c>
      <c r="G35" s="69" t="s">
        <v>657</v>
      </c>
      <c r="H35" s="69" t="s">
        <v>493</v>
      </c>
      <c r="I35" s="70" t="s">
        <v>596</v>
      </c>
      <c r="J35" s="70">
        <v>1</v>
      </c>
      <c r="P35" s="96" t="s">
        <v>659</v>
      </c>
      <c r="Q35">
        <v>1</v>
      </c>
    </row>
    <row r="36" spans="1:17" x14ac:dyDescent="0.2">
      <c r="A36" s="67">
        <v>34</v>
      </c>
      <c r="B36" s="71" t="s">
        <v>597</v>
      </c>
      <c r="C36" s="71">
        <v>4</v>
      </c>
      <c r="D36" s="72">
        <v>2</v>
      </c>
      <c r="E36" s="71">
        <v>502</v>
      </c>
      <c r="F36" s="72">
        <v>58.35</v>
      </c>
      <c r="G36" s="69" t="s">
        <v>658</v>
      </c>
      <c r="H36" s="69" t="s">
        <v>493</v>
      </c>
      <c r="I36" s="70" t="s">
        <v>599</v>
      </c>
      <c r="J36" s="70">
        <v>1</v>
      </c>
      <c r="P36" s="96" t="s">
        <v>744</v>
      </c>
      <c r="Q36">
        <v>1</v>
      </c>
    </row>
    <row r="37" spans="1:17" x14ac:dyDescent="0.2">
      <c r="A37" s="67">
        <v>35</v>
      </c>
      <c r="B37" s="71" t="s">
        <v>597</v>
      </c>
      <c r="C37" s="71">
        <v>4</v>
      </c>
      <c r="D37" s="72">
        <v>2</v>
      </c>
      <c r="E37" s="71">
        <v>503</v>
      </c>
      <c r="F37" s="72">
        <v>58.35</v>
      </c>
      <c r="G37" s="69" t="s">
        <v>659</v>
      </c>
      <c r="H37" s="69" t="s">
        <v>493</v>
      </c>
      <c r="I37" s="70" t="s">
        <v>601</v>
      </c>
      <c r="J37" s="70">
        <v>1</v>
      </c>
      <c r="P37" s="96" t="s">
        <v>745</v>
      </c>
      <c r="Q37">
        <v>1</v>
      </c>
    </row>
    <row r="38" spans="1:17" x14ac:dyDescent="0.2">
      <c r="A38" s="67">
        <v>36</v>
      </c>
      <c r="B38" s="71" t="s">
        <v>597</v>
      </c>
      <c r="C38" s="71">
        <v>4</v>
      </c>
      <c r="D38" s="72">
        <v>2</v>
      </c>
      <c r="E38" s="71">
        <v>504</v>
      </c>
      <c r="F38" s="72">
        <v>58.72</v>
      </c>
      <c r="G38" s="73" t="s">
        <v>660</v>
      </c>
      <c r="H38" s="69" t="s">
        <v>493</v>
      </c>
      <c r="I38" s="70" t="s">
        <v>596</v>
      </c>
      <c r="J38" s="70">
        <v>1</v>
      </c>
      <c r="P38" s="96" t="s">
        <v>746</v>
      </c>
      <c r="Q38">
        <v>1</v>
      </c>
    </row>
    <row r="39" spans="1:17" x14ac:dyDescent="0.2">
      <c r="A39" s="67">
        <v>37</v>
      </c>
      <c r="B39" s="71" t="s">
        <v>597</v>
      </c>
      <c r="C39" s="71">
        <v>4</v>
      </c>
      <c r="D39" s="72">
        <v>2</v>
      </c>
      <c r="E39" s="71">
        <v>601</v>
      </c>
      <c r="F39" s="72">
        <v>60.55</v>
      </c>
      <c r="G39" s="69" t="str">
        <f t="shared" ref="G39:G63" si="1">C39&amp;"-"&amp;D39&amp;"-"&amp;E39</f>
        <v>4-2-601</v>
      </c>
      <c r="H39" s="69" t="s">
        <v>493</v>
      </c>
      <c r="I39" s="70" t="s">
        <v>596</v>
      </c>
      <c r="J39" s="70">
        <v>1</v>
      </c>
      <c r="P39" s="96" t="s">
        <v>747</v>
      </c>
      <c r="Q39">
        <v>1</v>
      </c>
    </row>
    <row r="40" spans="1:17" x14ac:dyDescent="0.2">
      <c r="A40" s="67">
        <v>38</v>
      </c>
      <c r="B40" s="68" t="s">
        <v>597</v>
      </c>
      <c r="C40" s="68">
        <v>4</v>
      </c>
      <c r="D40" s="67">
        <v>2</v>
      </c>
      <c r="E40" s="68">
        <v>602</v>
      </c>
      <c r="F40" s="67">
        <v>58.35</v>
      </c>
      <c r="G40" s="69" t="str">
        <f t="shared" si="1"/>
        <v>4-2-602</v>
      </c>
      <c r="H40" s="69" t="s">
        <v>493</v>
      </c>
      <c r="I40" s="70" t="s">
        <v>599</v>
      </c>
      <c r="J40" s="70">
        <v>1</v>
      </c>
      <c r="P40" s="96" t="s">
        <v>748</v>
      </c>
      <c r="Q40">
        <v>1</v>
      </c>
    </row>
    <row r="41" spans="1:17" x14ac:dyDescent="0.2">
      <c r="A41" s="67">
        <v>39</v>
      </c>
      <c r="B41" s="68" t="s">
        <v>597</v>
      </c>
      <c r="C41" s="68">
        <v>4</v>
      </c>
      <c r="D41" s="67">
        <v>2</v>
      </c>
      <c r="E41" s="68">
        <v>603</v>
      </c>
      <c r="F41" s="67">
        <v>58.35</v>
      </c>
      <c r="G41" s="69" t="str">
        <f t="shared" si="1"/>
        <v>4-2-603</v>
      </c>
      <c r="H41" s="69" t="s">
        <v>493</v>
      </c>
      <c r="I41" s="70" t="s">
        <v>601</v>
      </c>
      <c r="J41" s="70">
        <v>1</v>
      </c>
      <c r="P41" s="96" t="s">
        <v>749</v>
      </c>
      <c r="Q41">
        <v>1</v>
      </c>
    </row>
    <row r="42" spans="1:17" x14ac:dyDescent="0.2">
      <c r="A42" s="67">
        <v>40</v>
      </c>
      <c r="B42" s="68" t="s">
        <v>597</v>
      </c>
      <c r="C42" s="68">
        <v>4</v>
      </c>
      <c r="D42" s="67">
        <v>2</v>
      </c>
      <c r="E42" s="68">
        <v>604</v>
      </c>
      <c r="F42" s="67">
        <v>58.72</v>
      </c>
      <c r="G42" s="69" t="str">
        <f t="shared" si="1"/>
        <v>4-2-604</v>
      </c>
      <c r="H42" s="69" t="s">
        <v>493</v>
      </c>
      <c r="I42" s="70" t="s">
        <v>596</v>
      </c>
      <c r="J42" s="70">
        <v>1</v>
      </c>
      <c r="P42" s="94" t="s">
        <v>614</v>
      </c>
      <c r="Q42">
        <v>30</v>
      </c>
    </row>
    <row r="43" spans="1:17" x14ac:dyDescent="0.2">
      <c r="A43" s="67">
        <v>41</v>
      </c>
      <c r="B43" s="71" t="s">
        <v>597</v>
      </c>
      <c r="C43" s="71">
        <v>4</v>
      </c>
      <c r="D43" s="72">
        <v>3</v>
      </c>
      <c r="E43" s="71">
        <v>201</v>
      </c>
      <c r="F43" s="72">
        <v>60.55</v>
      </c>
      <c r="G43" s="69" t="str">
        <f t="shared" si="1"/>
        <v>4-3-201</v>
      </c>
      <c r="H43" s="69" t="s">
        <v>493</v>
      </c>
      <c r="I43" s="70" t="s">
        <v>596</v>
      </c>
      <c r="J43" s="70">
        <v>1</v>
      </c>
      <c r="P43" s="95">
        <v>58.66</v>
      </c>
      <c r="Q43">
        <v>5</v>
      </c>
    </row>
    <row r="44" spans="1:17" x14ac:dyDescent="0.2">
      <c r="A44" s="67">
        <v>42</v>
      </c>
      <c r="B44" s="68" t="s">
        <v>597</v>
      </c>
      <c r="C44" s="68">
        <v>4</v>
      </c>
      <c r="D44" s="67">
        <v>3</v>
      </c>
      <c r="E44" s="68">
        <v>202</v>
      </c>
      <c r="F44" s="67">
        <v>58.35</v>
      </c>
      <c r="G44" s="69" t="str">
        <f t="shared" si="1"/>
        <v>4-3-202</v>
      </c>
      <c r="H44" s="69" t="s">
        <v>493</v>
      </c>
      <c r="I44" s="70" t="s">
        <v>599</v>
      </c>
      <c r="J44" s="70">
        <v>1</v>
      </c>
      <c r="P44" s="96" t="s">
        <v>602</v>
      </c>
      <c r="Q44">
        <v>1</v>
      </c>
    </row>
    <row r="45" spans="1:17" x14ac:dyDescent="0.2">
      <c r="A45" s="67">
        <v>43</v>
      </c>
      <c r="B45" s="71" t="s">
        <v>597</v>
      </c>
      <c r="C45" s="71">
        <v>4</v>
      </c>
      <c r="D45" s="72">
        <v>3</v>
      </c>
      <c r="E45" s="71">
        <v>203</v>
      </c>
      <c r="F45" s="72">
        <v>58.35</v>
      </c>
      <c r="G45" s="69" t="str">
        <f t="shared" si="1"/>
        <v>4-3-203</v>
      </c>
      <c r="H45" s="69" t="s">
        <v>493</v>
      </c>
      <c r="I45" s="70" t="s">
        <v>601</v>
      </c>
      <c r="J45" s="70">
        <v>1</v>
      </c>
      <c r="P45" s="96" t="s">
        <v>613</v>
      </c>
      <c r="Q45">
        <v>1</v>
      </c>
    </row>
    <row r="46" spans="1:17" x14ac:dyDescent="0.2">
      <c r="A46" s="67">
        <v>44</v>
      </c>
      <c r="B46" s="68" t="s">
        <v>597</v>
      </c>
      <c r="C46" s="68">
        <v>4</v>
      </c>
      <c r="D46" s="67">
        <v>3</v>
      </c>
      <c r="E46" s="68">
        <v>204</v>
      </c>
      <c r="F46" s="67">
        <v>58.87</v>
      </c>
      <c r="G46" s="69" t="str">
        <f t="shared" si="1"/>
        <v>4-3-204</v>
      </c>
      <c r="H46" s="69" t="s">
        <v>493</v>
      </c>
      <c r="I46" s="70" t="s">
        <v>596</v>
      </c>
      <c r="J46" s="70">
        <v>1</v>
      </c>
      <c r="P46" s="96" t="s">
        <v>619</v>
      </c>
      <c r="Q46">
        <v>1</v>
      </c>
    </row>
    <row r="47" spans="1:17" x14ac:dyDescent="0.2">
      <c r="A47" s="67">
        <v>45</v>
      </c>
      <c r="B47" s="68" t="s">
        <v>597</v>
      </c>
      <c r="C47" s="68">
        <v>4</v>
      </c>
      <c r="D47" s="67">
        <v>3</v>
      </c>
      <c r="E47" s="68">
        <v>301</v>
      </c>
      <c r="F47" s="67">
        <v>60.55</v>
      </c>
      <c r="G47" s="69" t="str">
        <f t="shared" si="1"/>
        <v>4-3-301</v>
      </c>
      <c r="H47" s="69" t="s">
        <v>493</v>
      </c>
      <c r="I47" s="70" t="s">
        <v>596</v>
      </c>
      <c r="J47" s="70">
        <v>1</v>
      </c>
      <c r="P47" s="96" t="s">
        <v>631</v>
      </c>
      <c r="Q47">
        <v>1</v>
      </c>
    </row>
    <row r="48" spans="1:17" x14ac:dyDescent="0.2">
      <c r="A48" s="67">
        <v>46</v>
      </c>
      <c r="B48" s="68" t="s">
        <v>597</v>
      </c>
      <c r="C48" s="68">
        <v>4</v>
      </c>
      <c r="D48" s="67">
        <v>3</v>
      </c>
      <c r="E48" s="68">
        <v>302</v>
      </c>
      <c r="F48" s="67">
        <v>58.35</v>
      </c>
      <c r="G48" s="78" t="str">
        <f t="shared" si="1"/>
        <v>4-3-302</v>
      </c>
      <c r="H48" s="69" t="s">
        <v>493</v>
      </c>
      <c r="I48" s="70" t="s">
        <v>599</v>
      </c>
      <c r="J48" s="70">
        <v>1</v>
      </c>
      <c r="P48" s="96" t="s">
        <v>638</v>
      </c>
      <c r="Q48">
        <v>1</v>
      </c>
    </row>
    <row r="49" spans="1:17" x14ac:dyDescent="0.2">
      <c r="A49" s="67">
        <v>47</v>
      </c>
      <c r="B49" s="68" t="s">
        <v>597</v>
      </c>
      <c r="C49" s="68">
        <v>4</v>
      </c>
      <c r="D49" s="67">
        <v>3</v>
      </c>
      <c r="E49" s="68">
        <v>303</v>
      </c>
      <c r="F49" s="67">
        <v>58.35</v>
      </c>
      <c r="G49" s="69" t="str">
        <f t="shared" si="1"/>
        <v>4-3-303</v>
      </c>
      <c r="H49" s="69" t="s">
        <v>493</v>
      </c>
      <c r="I49" s="70" t="s">
        <v>601</v>
      </c>
      <c r="J49" s="70">
        <v>1</v>
      </c>
      <c r="P49" s="95">
        <v>58.72</v>
      </c>
      <c r="Q49">
        <v>5</v>
      </c>
    </row>
    <row r="50" spans="1:17" x14ac:dyDescent="0.2">
      <c r="A50" s="67">
        <v>48</v>
      </c>
      <c r="B50" s="68" t="s">
        <v>597</v>
      </c>
      <c r="C50" s="68">
        <v>4</v>
      </c>
      <c r="D50" s="67">
        <v>3</v>
      </c>
      <c r="E50" s="68">
        <v>304</v>
      </c>
      <c r="F50" s="67">
        <v>58.87</v>
      </c>
      <c r="G50" s="69" t="str">
        <f t="shared" si="1"/>
        <v>4-3-304</v>
      </c>
      <c r="H50" s="69" t="s">
        <v>493</v>
      </c>
      <c r="I50" s="70" t="s">
        <v>596</v>
      </c>
      <c r="J50" s="70">
        <v>1</v>
      </c>
      <c r="P50" s="96" t="s">
        <v>645</v>
      </c>
      <c r="Q50">
        <v>1</v>
      </c>
    </row>
    <row r="51" spans="1:17" x14ac:dyDescent="0.2">
      <c r="A51" s="67">
        <v>49</v>
      </c>
      <c r="B51" s="71" t="s">
        <v>597</v>
      </c>
      <c r="C51" s="71">
        <v>4</v>
      </c>
      <c r="D51" s="72">
        <v>3</v>
      </c>
      <c r="E51" s="71">
        <v>401</v>
      </c>
      <c r="F51" s="72">
        <v>60.55</v>
      </c>
      <c r="G51" s="69" t="str">
        <f t="shared" si="1"/>
        <v>4-3-401</v>
      </c>
      <c r="H51" s="69" t="s">
        <v>493</v>
      </c>
      <c r="I51" s="70" t="s">
        <v>596</v>
      </c>
      <c r="J51" s="70">
        <v>1</v>
      </c>
      <c r="P51" s="96" t="s">
        <v>650</v>
      </c>
      <c r="Q51">
        <v>1</v>
      </c>
    </row>
    <row r="52" spans="1:17" x14ac:dyDescent="0.2">
      <c r="A52" s="67">
        <v>50</v>
      </c>
      <c r="B52" s="68" t="s">
        <v>597</v>
      </c>
      <c r="C52" s="68">
        <v>4</v>
      </c>
      <c r="D52" s="67">
        <v>3</v>
      </c>
      <c r="E52" s="68">
        <v>402</v>
      </c>
      <c r="F52" s="67">
        <v>58.35</v>
      </c>
      <c r="G52" s="69" t="str">
        <f t="shared" si="1"/>
        <v>4-3-402</v>
      </c>
      <c r="H52" s="69" t="s">
        <v>493</v>
      </c>
      <c r="I52" s="70" t="s">
        <v>599</v>
      </c>
      <c r="J52" s="70">
        <v>1</v>
      </c>
      <c r="P52" s="96" t="s">
        <v>656</v>
      </c>
      <c r="Q52">
        <v>1</v>
      </c>
    </row>
    <row r="53" spans="1:17" x14ac:dyDescent="0.2">
      <c r="A53" s="67">
        <v>51</v>
      </c>
      <c r="B53" s="68" t="s">
        <v>597</v>
      </c>
      <c r="C53" s="68">
        <v>4</v>
      </c>
      <c r="D53" s="67">
        <v>3</v>
      </c>
      <c r="E53" s="68">
        <v>403</v>
      </c>
      <c r="F53" s="67">
        <v>58.35</v>
      </c>
      <c r="G53" s="69" t="str">
        <f t="shared" si="1"/>
        <v>4-3-403</v>
      </c>
      <c r="H53" s="69" t="s">
        <v>493</v>
      </c>
      <c r="I53" s="70" t="s">
        <v>601</v>
      </c>
      <c r="J53" s="70">
        <v>1</v>
      </c>
      <c r="P53" s="96" t="s">
        <v>660</v>
      </c>
      <c r="Q53">
        <v>1</v>
      </c>
    </row>
    <row r="54" spans="1:17" x14ac:dyDescent="0.2">
      <c r="A54" s="67">
        <v>52</v>
      </c>
      <c r="B54" s="68" t="s">
        <v>597</v>
      </c>
      <c r="C54" s="68">
        <v>4</v>
      </c>
      <c r="D54" s="67">
        <v>3</v>
      </c>
      <c r="E54" s="68">
        <v>404</v>
      </c>
      <c r="F54" s="67">
        <v>58.87</v>
      </c>
      <c r="G54" s="69" t="str">
        <f t="shared" si="1"/>
        <v>4-3-404</v>
      </c>
      <c r="H54" s="69" t="s">
        <v>493</v>
      </c>
      <c r="I54" s="70" t="s">
        <v>596</v>
      </c>
      <c r="J54" s="70">
        <v>1</v>
      </c>
      <c r="P54" s="96" t="s">
        <v>721</v>
      </c>
      <c r="Q54">
        <v>1</v>
      </c>
    </row>
    <row r="55" spans="1:17" x14ac:dyDescent="0.2">
      <c r="A55" s="67">
        <v>53</v>
      </c>
      <c r="B55" s="68" t="s">
        <v>597</v>
      </c>
      <c r="C55" s="68">
        <v>4</v>
      </c>
      <c r="D55" s="67">
        <v>3</v>
      </c>
      <c r="E55" s="68">
        <v>501</v>
      </c>
      <c r="F55" s="67">
        <v>60.55</v>
      </c>
      <c r="G55" s="69" t="str">
        <f t="shared" si="1"/>
        <v>4-3-501</v>
      </c>
      <c r="H55" s="69" t="s">
        <v>493</v>
      </c>
      <c r="I55" s="70" t="s">
        <v>596</v>
      </c>
      <c r="J55" s="70">
        <v>1</v>
      </c>
      <c r="P55" s="95">
        <v>58.87</v>
      </c>
      <c r="Q55">
        <v>5</v>
      </c>
    </row>
    <row r="56" spans="1:17" x14ac:dyDescent="0.2">
      <c r="A56" s="67">
        <v>54</v>
      </c>
      <c r="B56" s="71" t="s">
        <v>597</v>
      </c>
      <c r="C56" s="71">
        <v>4</v>
      </c>
      <c r="D56" s="72">
        <v>3</v>
      </c>
      <c r="E56" s="71">
        <v>502</v>
      </c>
      <c r="F56" s="72">
        <v>58.35</v>
      </c>
      <c r="G56" s="73" t="str">
        <f t="shared" si="1"/>
        <v>4-3-502</v>
      </c>
      <c r="H56" s="69" t="s">
        <v>493</v>
      </c>
      <c r="I56" s="70" t="s">
        <v>599</v>
      </c>
      <c r="J56" s="70">
        <v>1</v>
      </c>
      <c r="P56" s="96" t="s">
        <v>722</v>
      </c>
      <c r="Q56">
        <v>1</v>
      </c>
    </row>
    <row r="57" spans="1:17" x14ac:dyDescent="0.2">
      <c r="A57" s="67">
        <v>55</v>
      </c>
      <c r="B57" s="68" t="s">
        <v>597</v>
      </c>
      <c r="C57" s="68">
        <v>4</v>
      </c>
      <c r="D57" s="67">
        <v>3</v>
      </c>
      <c r="E57" s="68">
        <v>503</v>
      </c>
      <c r="F57" s="67">
        <v>58.35</v>
      </c>
      <c r="G57" s="69" t="str">
        <f t="shared" si="1"/>
        <v>4-3-503</v>
      </c>
      <c r="H57" s="69" t="s">
        <v>493</v>
      </c>
      <c r="I57" s="70" t="s">
        <v>601</v>
      </c>
      <c r="J57" s="70">
        <v>1</v>
      </c>
      <c r="P57" s="96" t="s">
        <v>723</v>
      </c>
      <c r="Q57">
        <v>1</v>
      </c>
    </row>
    <row r="58" spans="1:17" x14ac:dyDescent="0.2">
      <c r="A58" s="67">
        <v>56</v>
      </c>
      <c r="B58" s="68" t="s">
        <v>597</v>
      </c>
      <c r="C58" s="68">
        <v>4</v>
      </c>
      <c r="D58" s="67">
        <v>3</v>
      </c>
      <c r="E58" s="68">
        <v>504</v>
      </c>
      <c r="F58" s="67">
        <v>58.87</v>
      </c>
      <c r="G58" s="69" t="str">
        <f t="shared" si="1"/>
        <v>4-3-504</v>
      </c>
      <c r="H58" s="69" t="s">
        <v>493</v>
      </c>
      <c r="I58" s="70" t="s">
        <v>596</v>
      </c>
      <c r="J58" s="70">
        <v>1</v>
      </c>
      <c r="P58" s="96" t="s">
        <v>724</v>
      </c>
      <c r="Q58">
        <v>1</v>
      </c>
    </row>
    <row r="59" spans="1:17" x14ac:dyDescent="0.2">
      <c r="A59" s="67">
        <v>57</v>
      </c>
      <c r="B59" s="71" t="s">
        <v>597</v>
      </c>
      <c r="C59" s="71">
        <v>4</v>
      </c>
      <c r="D59" s="72">
        <v>3</v>
      </c>
      <c r="E59" s="71">
        <v>601</v>
      </c>
      <c r="F59" s="72">
        <v>60.55</v>
      </c>
      <c r="G59" s="69" t="str">
        <f t="shared" si="1"/>
        <v>4-3-601</v>
      </c>
      <c r="H59" s="69" t="s">
        <v>493</v>
      </c>
      <c r="I59" s="70" t="s">
        <v>596</v>
      </c>
      <c r="J59" s="70">
        <v>1</v>
      </c>
      <c r="P59" s="96" t="s">
        <v>725</v>
      </c>
      <c r="Q59">
        <v>1</v>
      </c>
    </row>
    <row r="60" spans="1:17" x14ac:dyDescent="0.2">
      <c r="A60" s="67">
        <v>58</v>
      </c>
      <c r="B60" s="68" t="s">
        <v>597</v>
      </c>
      <c r="C60" s="68">
        <v>4</v>
      </c>
      <c r="D60" s="67">
        <v>3</v>
      </c>
      <c r="E60" s="68">
        <v>602</v>
      </c>
      <c r="F60" s="67">
        <v>58.35</v>
      </c>
      <c r="G60" s="69" t="str">
        <f t="shared" si="1"/>
        <v>4-3-602</v>
      </c>
      <c r="H60" s="69" t="s">
        <v>493</v>
      </c>
      <c r="I60" s="70" t="s">
        <v>599</v>
      </c>
      <c r="J60" s="70">
        <v>1</v>
      </c>
      <c r="P60" s="96" t="s">
        <v>726</v>
      </c>
      <c r="Q60">
        <v>1</v>
      </c>
    </row>
    <row r="61" spans="1:17" x14ac:dyDescent="0.2">
      <c r="A61" s="67">
        <v>59</v>
      </c>
      <c r="B61" s="67" t="s">
        <v>597</v>
      </c>
      <c r="C61" s="68">
        <v>4</v>
      </c>
      <c r="D61" s="67">
        <v>3</v>
      </c>
      <c r="E61" s="67">
        <v>603</v>
      </c>
      <c r="F61" s="67">
        <v>58.35</v>
      </c>
      <c r="G61" s="69" t="str">
        <f t="shared" si="1"/>
        <v>4-3-603</v>
      </c>
      <c r="H61" s="69" t="s">
        <v>493</v>
      </c>
      <c r="I61" s="70" t="s">
        <v>601</v>
      </c>
      <c r="J61" s="70">
        <v>1</v>
      </c>
      <c r="P61" s="95">
        <v>60.55</v>
      </c>
      <c r="Q61">
        <v>10</v>
      </c>
    </row>
    <row r="62" spans="1:17" x14ac:dyDescent="0.2">
      <c r="A62" s="67">
        <v>60</v>
      </c>
      <c r="B62" s="68" t="s">
        <v>597</v>
      </c>
      <c r="C62" s="68">
        <v>4</v>
      </c>
      <c r="D62" s="67">
        <v>3</v>
      </c>
      <c r="E62" s="68">
        <v>604</v>
      </c>
      <c r="F62" s="67">
        <v>58.87</v>
      </c>
      <c r="G62" s="69" t="str">
        <f t="shared" si="1"/>
        <v>4-3-604</v>
      </c>
      <c r="H62" s="69" t="s">
        <v>493</v>
      </c>
      <c r="I62" s="70" t="s">
        <v>596</v>
      </c>
      <c r="J62" s="70">
        <v>1</v>
      </c>
      <c r="P62" s="96" t="s">
        <v>640</v>
      </c>
      <c r="Q62">
        <v>1</v>
      </c>
    </row>
    <row r="63" spans="1:17" x14ac:dyDescent="0.2">
      <c r="A63" s="67">
        <v>61</v>
      </c>
      <c r="B63" s="68" t="s">
        <v>661</v>
      </c>
      <c r="C63" s="68">
        <v>3</v>
      </c>
      <c r="D63" s="68">
        <v>1</v>
      </c>
      <c r="E63" s="68">
        <v>201</v>
      </c>
      <c r="F63" s="67">
        <v>45.44</v>
      </c>
      <c r="G63" s="69" t="str">
        <f t="shared" si="1"/>
        <v>3-1-201</v>
      </c>
      <c r="H63" s="69" t="s">
        <v>495</v>
      </c>
      <c r="I63" s="70" t="s">
        <v>596</v>
      </c>
      <c r="J63" s="70">
        <v>1</v>
      </c>
      <c r="P63" s="96" t="s">
        <v>646</v>
      </c>
      <c r="Q63">
        <v>1</v>
      </c>
    </row>
    <row r="64" spans="1:17" x14ac:dyDescent="0.2">
      <c r="A64" s="67">
        <v>62</v>
      </c>
      <c r="B64" s="71" t="s">
        <v>661</v>
      </c>
      <c r="C64" s="71">
        <v>3</v>
      </c>
      <c r="D64" s="71">
        <v>1</v>
      </c>
      <c r="E64" s="71">
        <v>202</v>
      </c>
      <c r="F64" s="72">
        <v>45.44</v>
      </c>
      <c r="G64" s="76" t="s">
        <v>662</v>
      </c>
      <c r="H64" s="69" t="s">
        <v>495</v>
      </c>
      <c r="I64" s="70" t="s">
        <v>596</v>
      </c>
      <c r="J64" s="70">
        <v>1</v>
      </c>
      <c r="P64" s="96" t="s">
        <v>652</v>
      </c>
      <c r="Q64">
        <v>1</v>
      </c>
    </row>
    <row r="65" spans="1:18" x14ac:dyDescent="0.2">
      <c r="A65" s="67">
        <v>63</v>
      </c>
      <c r="B65" s="68" t="s">
        <v>661</v>
      </c>
      <c r="C65" s="68">
        <v>3</v>
      </c>
      <c r="D65" s="68">
        <v>1</v>
      </c>
      <c r="E65" s="67">
        <v>204</v>
      </c>
      <c r="F65" s="67">
        <v>64.03</v>
      </c>
      <c r="G65" s="76" t="s">
        <v>663</v>
      </c>
      <c r="H65" s="69" t="s">
        <v>493</v>
      </c>
      <c r="I65" s="70" t="s">
        <v>627</v>
      </c>
      <c r="J65" s="70">
        <v>1</v>
      </c>
      <c r="P65" s="96" t="s">
        <v>657</v>
      </c>
      <c r="Q65">
        <v>1</v>
      </c>
    </row>
    <row r="66" spans="1:18" x14ac:dyDescent="0.2">
      <c r="A66" s="67">
        <v>64</v>
      </c>
      <c r="B66" s="68" t="s">
        <v>661</v>
      </c>
      <c r="C66" s="68">
        <v>3</v>
      </c>
      <c r="D66" s="68">
        <v>1</v>
      </c>
      <c r="E66" s="67">
        <v>205</v>
      </c>
      <c r="F66" s="67">
        <v>59.39</v>
      </c>
      <c r="G66" s="76" t="str">
        <f t="shared" ref="G66:G94" si="2">C66&amp;"-"&amp;D66&amp;"-"&amp;E66</f>
        <v>3-1-205</v>
      </c>
      <c r="H66" s="69" t="s">
        <v>493</v>
      </c>
      <c r="I66" s="70" t="s">
        <v>621</v>
      </c>
      <c r="J66" s="70">
        <v>1</v>
      </c>
      <c r="P66" s="96" t="s">
        <v>727</v>
      </c>
      <c r="Q66">
        <v>1</v>
      </c>
    </row>
    <row r="67" spans="1:18" x14ac:dyDescent="0.2">
      <c r="A67" s="67">
        <v>65</v>
      </c>
      <c r="B67" s="71" t="s">
        <v>661</v>
      </c>
      <c r="C67" s="71">
        <v>3</v>
      </c>
      <c r="D67" s="71">
        <v>1</v>
      </c>
      <c r="E67" s="72">
        <v>206</v>
      </c>
      <c r="F67" s="72">
        <v>59.39</v>
      </c>
      <c r="G67" s="69" t="str">
        <f t="shared" si="2"/>
        <v>3-1-206</v>
      </c>
      <c r="H67" s="69" t="s">
        <v>493</v>
      </c>
      <c r="I67" s="70" t="s">
        <v>621</v>
      </c>
      <c r="J67" s="70">
        <v>1</v>
      </c>
      <c r="P67" s="96" t="s">
        <v>728</v>
      </c>
      <c r="Q67">
        <v>1</v>
      </c>
    </row>
    <row r="68" spans="1:18" x14ac:dyDescent="0.2">
      <c r="A68" s="67">
        <v>66</v>
      </c>
      <c r="B68" s="71" t="s">
        <v>661</v>
      </c>
      <c r="C68" s="71">
        <v>3</v>
      </c>
      <c r="D68" s="71">
        <v>1</v>
      </c>
      <c r="E68" s="71">
        <v>301</v>
      </c>
      <c r="F68" s="72">
        <v>45.44</v>
      </c>
      <c r="G68" s="73" t="str">
        <f t="shared" si="2"/>
        <v>3-1-301</v>
      </c>
      <c r="H68" s="69" t="s">
        <v>495</v>
      </c>
      <c r="I68" s="70" t="s">
        <v>596</v>
      </c>
      <c r="J68" s="70">
        <v>1</v>
      </c>
      <c r="P68" s="96" t="s">
        <v>729</v>
      </c>
      <c r="Q68">
        <v>1</v>
      </c>
    </row>
    <row r="69" spans="1:18" x14ac:dyDescent="0.2">
      <c r="A69" s="67">
        <v>67</v>
      </c>
      <c r="B69" s="71" t="s">
        <v>661</v>
      </c>
      <c r="C69" s="71">
        <v>3</v>
      </c>
      <c r="D69" s="71">
        <v>1</v>
      </c>
      <c r="E69" s="71">
        <v>302</v>
      </c>
      <c r="F69" s="72">
        <v>45.44</v>
      </c>
      <c r="G69" s="69" t="str">
        <f t="shared" si="2"/>
        <v>3-1-302</v>
      </c>
      <c r="H69" s="69" t="s">
        <v>495</v>
      </c>
      <c r="I69" s="70" t="s">
        <v>596</v>
      </c>
      <c r="J69" s="70">
        <v>1</v>
      </c>
      <c r="P69" s="96" t="s">
        <v>730</v>
      </c>
      <c r="Q69">
        <v>1</v>
      </c>
    </row>
    <row r="70" spans="1:18" x14ac:dyDescent="0.2">
      <c r="A70" s="67">
        <v>68</v>
      </c>
      <c r="B70" s="71" t="s">
        <v>661</v>
      </c>
      <c r="C70" s="71">
        <v>3</v>
      </c>
      <c r="D70" s="71">
        <v>1</v>
      </c>
      <c r="E70" s="72">
        <v>303</v>
      </c>
      <c r="F70" s="72">
        <v>45.44</v>
      </c>
      <c r="G70" s="73" t="str">
        <f t="shared" si="2"/>
        <v>3-1-303</v>
      </c>
      <c r="H70" s="69" t="s">
        <v>495</v>
      </c>
      <c r="I70" s="70" t="s">
        <v>596</v>
      </c>
      <c r="J70" s="70">
        <v>1</v>
      </c>
      <c r="P70" s="96" t="s">
        <v>731</v>
      </c>
      <c r="Q70">
        <v>1</v>
      </c>
    </row>
    <row r="71" spans="1:18" x14ac:dyDescent="0.2">
      <c r="A71" s="67">
        <v>69</v>
      </c>
      <c r="B71" s="68" t="s">
        <v>661</v>
      </c>
      <c r="C71" s="68">
        <v>3</v>
      </c>
      <c r="D71" s="68">
        <v>1</v>
      </c>
      <c r="E71" s="67">
        <v>305</v>
      </c>
      <c r="F71" s="67">
        <v>64.03</v>
      </c>
      <c r="G71" s="69" t="str">
        <f t="shared" si="2"/>
        <v>3-1-305</v>
      </c>
      <c r="H71" s="69" t="s">
        <v>493</v>
      </c>
      <c r="I71" s="70" t="s">
        <v>627</v>
      </c>
      <c r="J71" s="70">
        <v>1</v>
      </c>
      <c r="P71" s="96" t="s">
        <v>732</v>
      </c>
      <c r="Q71">
        <v>1</v>
      </c>
    </row>
    <row r="72" spans="1:18" x14ac:dyDescent="0.2">
      <c r="A72" s="67">
        <v>70</v>
      </c>
      <c r="B72" s="71" t="s">
        <v>661</v>
      </c>
      <c r="C72" s="71">
        <v>3</v>
      </c>
      <c r="D72" s="71">
        <v>1</v>
      </c>
      <c r="E72" s="72">
        <v>306</v>
      </c>
      <c r="F72" s="72">
        <v>59.39</v>
      </c>
      <c r="G72" s="69" t="str">
        <f t="shared" si="2"/>
        <v>3-1-306</v>
      </c>
      <c r="H72" s="69" t="s">
        <v>493</v>
      </c>
      <c r="I72" s="70" t="s">
        <v>621</v>
      </c>
      <c r="J72" s="70">
        <v>1</v>
      </c>
      <c r="P72" s="95">
        <v>60.77</v>
      </c>
      <c r="Q72">
        <v>5</v>
      </c>
    </row>
    <row r="73" spans="1:18" x14ac:dyDescent="0.2">
      <c r="A73" s="67">
        <v>71</v>
      </c>
      <c r="B73" s="68" t="s">
        <v>661</v>
      </c>
      <c r="C73" s="68">
        <v>3</v>
      </c>
      <c r="D73" s="68">
        <v>1</v>
      </c>
      <c r="E73" s="67">
        <v>307</v>
      </c>
      <c r="F73" s="67">
        <v>59.39</v>
      </c>
      <c r="G73" s="69" t="str">
        <f t="shared" si="2"/>
        <v>3-1-307</v>
      </c>
      <c r="H73" s="69" t="s">
        <v>493</v>
      </c>
      <c r="I73" s="70" t="s">
        <v>621</v>
      </c>
      <c r="J73" s="70">
        <v>1</v>
      </c>
      <c r="P73" s="96" t="s">
        <v>594</v>
      </c>
      <c r="Q73">
        <v>1</v>
      </c>
    </row>
    <row r="74" spans="1:18" x14ac:dyDescent="0.2">
      <c r="A74" s="67">
        <v>72</v>
      </c>
      <c r="B74" s="68" t="s">
        <v>661</v>
      </c>
      <c r="C74" s="68">
        <v>3</v>
      </c>
      <c r="D74" s="68">
        <v>1</v>
      </c>
      <c r="E74" s="68">
        <v>308</v>
      </c>
      <c r="F74" s="67">
        <v>63.62</v>
      </c>
      <c r="G74" s="73" t="str">
        <f t="shared" si="2"/>
        <v>3-1-308</v>
      </c>
      <c r="H74" s="69" t="s">
        <v>493</v>
      </c>
      <c r="I74" s="70" t="s">
        <v>624</v>
      </c>
      <c r="J74" s="70">
        <v>1</v>
      </c>
      <c r="P74" s="96" t="s">
        <v>605</v>
      </c>
      <c r="Q74">
        <v>1</v>
      </c>
    </row>
    <row r="75" spans="1:18" s="80" customFormat="1" x14ac:dyDescent="0.2">
      <c r="A75" s="67">
        <v>73</v>
      </c>
      <c r="B75" s="68" t="s">
        <v>661</v>
      </c>
      <c r="C75" s="68">
        <v>3</v>
      </c>
      <c r="D75" s="68">
        <v>1</v>
      </c>
      <c r="E75" s="68">
        <v>401</v>
      </c>
      <c r="F75" s="67">
        <v>45.44</v>
      </c>
      <c r="G75" s="79" t="str">
        <f t="shared" si="2"/>
        <v>3-1-401</v>
      </c>
      <c r="H75" s="79" t="s">
        <v>495</v>
      </c>
      <c r="I75" s="70" t="s">
        <v>596</v>
      </c>
      <c r="J75" s="70">
        <v>1</v>
      </c>
      <c r="P75" s="96" t="s">
        <v>733</v>
      </c>
      <c r="Q75">
        <v>1</v>
      </c>
      <c r="R75" s="60"/>
    </row>
    <row r="76" spans="1:18" s="80" customFormat="1" x14ac:dyDescent="0.2">
      <c r="A76" s="67">
        <v>74</v>
      </c>
      <c r="B76" s="71" t="s">
        <v>661</v>
      </c>
      <c r="C76" s="71">
        <v>3</v>
      </c>
      <c r="D76" s="71">
        <v>1</v>
      </c>
      <c r="E76" s="71">
        <v>402</v>
      </c>
      <c r="F76" s="72">
        <v>45.44</v>
      </c>
      <c r="G76" s="79" t="str">
        <f t="shared" si="2"/>
        <v>3-1-402</v>
      </c>
      <c r="H76" s="79" t="s">
        <v>495</v>
      </c>
      <c r="I76" s="70" t="s">
        <v>596</v>
      </c>
      <c r="J76" s="70">
        <v>1</v>
      </c>
      <c r="P76" s="96" t="s">
        <v>622</v>
      </c>
      <c r="Q76">
        <v>1</v>
      </c>
      <c r="R76" s="60"/>
    </row>
    <row r="77" spans="1:18" s="80" customFormat="1" x14ac:dyDescent="0.2">
      <c r="A77" s="67">
        <v>75</v>
      </c>
      <c r="B77" s="71" t="s">
        <v>661</v>
      </c>
      <c r="C77" s="71">
        <v>3</v>
      </c>
      <c r="D77" s="71">
        <v>1</v>
      </c>
      <c r="E77" s="72">
        <v>403</v>
      </c>
      <c r="F77" s="72">
        <v>45.44</v>
      </c>
      <c r="G77" s="79" t="str">
        <f t="shared" si="2"/>
        <v>3-1-403</v>
      </c>
      <c r="H77" s="79" t="s">
        <v>495</v>
      </c>
      <c r="I77" s="70" t="s">
        <v>596</v>
      </c>
      <c r="J77" s="70">
        <v>1</v>
      </c>
      <c r="P77" s="96" t="s">
        <v>633</v>
      </c>
      <c r="Q77">
        <v>1</v>
      </c>
      <c r="R77" s="60"/>
    </row>
    <row r="78" spans="1:18" s="80" customFormat="1" x14ac:dyDescent="0.2">
      <c r="A78" s="67">
        <v>76</v>
      </c>
      <c r="B78" s="71" t="s">
        <v>661</v>
      </c>
      <c r="C78" s="71">
        <v>3</v>
      </c>
      <c r="D78" s="71">
        <v>1</v>
      </c>
      <c r="E78" s="72">
        <v>404</v>
      </c>
      <c r="F78" s="72">
        <v>34.090000000000003</v>
      </c>
      <c r="G78" s="79" t="str">
        <f t="shared" si="2"/>
        <v>3-1-404</v>
      </c>
      <c r="H78" s="79" t="s">
        <v>495</v>
      </c>
      <c r="I78" s="81" t="s">
        <v>630</v>
      </c>
      <c r="J78" s="70">
        <v>1</v>
      </c>
      <c r="P78" s="94" t="s">
        <v>615</v>
      </c>
      <c r="Q78">
        <v>10</v>
      </c>
      <c r="R78" s="60"/>
    </row>
    <row r="79" spans="1:18" s="80" customFormat="1" x14ac:dyDescent="0.2">
      <c r="A79" s="67">
        <v>77</v>
      </c>
      <c r="B79" s="68" t="s">
        <v>661</v>
      </c>
      <c r="C79" s="68">
        <v>3</v>
      </c>
      <c r="D79" s="68">
        <v>1</v>
      </c>
      <c r="E79" s="67">
        <v>405</v>
      </c>
      <c r="F79" s="67">
        <v>64.03</v>
      </c>
      <c r="G79" s="79" t="str">
        <f t="shared" si="2"/>
        <v>3-1-405</v>
      </c>
      <c r="H79" s="79" t="s">
        <v>493</v>
      </c>
      <c r="I79" s="81" t="s">
        <v>627</v>
      </c>
      <c r="J79" s="70">
        <v>1</v>
      </c>
      <c r="P79" s="94" t="s">
        <v>617</v>
      </c>
      <c r="Q79">
        <v>4</v>
      </c>
      <c r="R79" s="60"/>
    </row>
    <row r="80" spans="1:18" s="80" customFormat="1" x14ac:dyDescent="0.2">
      <c r="A80" s="67">
        <v>78</v>
      </c>
      <c r="B80" s="68" t="s">
        <v>661</v>
      </c>
      <c r="C80" s="68">
        <v>3</v>
      </c>
      <c r="D80" s="68">
        <v>1</v>
      </c>
      <c r="E80" s="67">
        <v>406</v>
      </c>
      <c r="F80" s="67">
        <v>59.39</v>
      </c>
      <c r="G80" s="79" t="str">
        <f t="shared" si="2"/>
        <v>3-1-406</v>
      </c>
      <c r="H80" s="79" t="s">
        <v>493</v>
      </c>
      <c r="I80" s="70" t="s">
        <v>621</v>
      </c>
      <c r="J80" s="70">
        <v>1</v>
      </c>
      <c r="P80" s="95">
        <v>63.62</v>
      </c>
      <c r="Q80">
        <v>4</v>
      </c>
      <c r="R80" s="60"/>
    </row>
    <row r="81" spans="1:18" s="80" customFormat="1" x14ac:dyDescent="0.2">
      <c r="A81" s="67">
        <v>79</v>
      </c>
      <c r="B81" s="68" t="s">
        <v>661</v>
      </c>
      <c r="C81" s="68">
        <v>3</v>
      </c>
      <c r="D81" s="67">
        <v>1</v>
      </c>
      <c r="E81" s="67">
        <v>407</v>
      </c>
      <c r="F81" s="67">
        <v>59.39</v>
      </c>
      <c r="G81" s="79" t="str">
        <f t="shared" si="2"/>
        <v>3-1-407</v>
      </c>
      <c r="H81" s="79" t="s">
        <v>493</v>
      </c>
      <c r="I81" s="70" t="s">
        <v>621</v>
      </c>
      <c r="J81" s="70">
        <v>1</v>
      </c>
      <c r="P81" s="96" t="s">
        <v>620</v>
      </c>
      <c r="Q81">
        <v>1</v>
      </c>
      <c r="R81" s="60"/>
    </row>
    <row r="82" spans="1:18" s="80" customFormat="1" x14ac:dyDescent="0.2">
      <c r="A82" s="67">
        <v>80</v>
      </c>
      <c r="B82" s="68" t="s">
        <v>661</v>
      </c>
      <c r="C82" s="68">
        <v>3</v>
      </c>
      <c r="D82" s="67">
        <v>1</v>
      </c>
      <c r="E82" s="67">
        <v>408</v>
      </c>
      <c r="F82" s="67">
        <v>63.62</v>
      </c>
      <c r="G82" s="82" t="str">
        <f t="shared" si="2"/>
        <v>3-1-408</v>
      </c>
      <c r="H82" s="79" t="s">
        <v>493</v>
      </c>
      <c r="I82" s="81" t="s">
        <v>624</v>
      </c>
      <c r="J82" s="70">
        <v>1</v>
      </c>
      <c r="P82" s="96" t="s">
        <v>623</v>
      </c>
      <c r="Q82">
        <v>1</v>
      </c>
      <c r="R82" s="60"/>
    </row>
    <row r="83" spans="1:18" x14ac:dyDescent="0.2">
      <c r="A83" s="67">
        <v>81</v>
      </c>
      <c r="B83" s="68" t="s">
        <v>661</v>
      </c>
      <c r="C83" s="68">
        <v>3</v>
      </c>
      <c r="D83" s="68">
        <v>1</v>
      </c>
      <c r="E83" s="68">
        <v>501</v>
      </c>
      <c r="F83" s="67">
        <v>45.44</v>
      </c>
      <c r="G83" s="69" t="str">
        <f t="shared" si="2"/>
        <v>3-1-501</v>
      </c>
      <c r="H83" s="69" t="s">
        <v>495</v>
      </c>
      <c r="I83" s="70" t="s">
        <v>596</v>
      </c>
      <c r="J83" s="70">
        <v>1</v>
      </c>
      <c r="P83" s="96" t="s">
        <v>626</v>
      </c>
      <c r="Q83">
        <v>1</v>
      </c>
    </row>
    <row r="84" spans="1:18" x14ac:dyDescent="0.2">
      <c r="A84" s="67">
        <v>82</v>
      </c>
      <c r="B84" s="68" t="s">
        <v>661</v>
      </c>
      <c r="C84" s="68">
        <v>3</v>
      </c>
      <c r="D84" s="68">
        <v>1</v>
      </c>
      <c r="E84" s="68">
        <v>502</v>
      </c>
      <c r="F84" s="67">
        <v>45.44</v>
      </c>
      <c r="G84" s="69" t="str">
        <f t="shared" si="2"/>
        <v>3-1-502</v>
      </c>
      <c r="H84" s="69" t="s">
        <v>495</v>
      </c>
      <c r="I84" s="70" t="s">
        <v>596</v>
      </c>
      <c r="J84" s="70">
        <v>1</v>
      </c>
      <c r="P84" s="96" t="s">
        <v>629</v>
      </c>
      <c r="Q84">
        <v>1</v>
      </c>
    </row>
    <row r="85" spans="1:18" x14ac:dyDescent="0.2">
      <c r="A85" s="67">
        <v>83</v>
      </c>
      <c r="B85" s="68" t="s">
        <v>661</v>
      </c>
      <c r="C85" s="68">
        <v>3</v>
      </c>
      <c r="D85" s="67">
        <v>1</v>
      </c>
      <c r="E85" s="67">
        <v>503</v>
      </c>
      <c r="F85" s="67">
        <v>45.44</v>
      </c>
      <c r="G85" s="69" t="str">
        <f t="shared" si="2"/>
        <v>3-1-503</v>
      </c>
      <c r="H85" s="69" t="s">
        <v>495</v>
      </c>
      <c r="I85" s="70" t="s">
        <v>596</v>
      </c>
      <c r="J85" s="70">
        <v>1</v>
      </c>
      <c r="P85" s="94" t="s">
        <v>632</v>
      </c>
      <c r="Q85">
        <v>5</v>
      </c>
    </row>
    <row r="86" spans="1:18" x14ac:dyDescent="0.2">
      <c r="A86" s="67">
        <v>84</v>
      </c>
      <c r="B86" s="71" t="s">
        <v>661</v>
      </c>
      <c r="C86" s="71">
        <v>3</v>
      </c>
      <c r="D86" s="72">
        <v>1</v>
      </c>
      <c r="E86" s="72">
        <v>504</v>
      </c>
      <c r="F86" s="72">
        <v>34.090000000000003</v>
      </c>
      <c r="G86" s="69" t="str">
        <f t="shared" si="2"/>
        <v>3-1-504</v>
      </c>
      <c r="H86" s="69" t="s">
        <v>609</v>
      </c>
      <c r="I86" s="70" t="s">
        <v>630</v>
      </c>
      <c r="J86" s="70">
        <v>1</v>
      </c>
      <c r="P86" s="95">
        <v>64.03</v>
      </c>
      <c r="Q86">
        <v>5</v>
      </c>
    </row>
    <row r="87" spans="1:18" x14ac:dyDescent="0.2">
      <c r="A87" s="67">
        <v>85</v>
      </c>
      <c r="B87" s="71" t="s">
        <v>661</v>
      </c>
      <c r="C87" s="71">
        <v>3</v>
      </c>
      <c r="D87" s="71">
        <v>1</v>
      </c>
      <c r="E87" s="72">
        <v>505</v>
      </c>
      <c r="F87" s="72">
        <v>64.03</v>
      </c>
      <c r="G87" s="69" t="str">
        <f t="shared" si="2"/>
        <v>3-1-505</v>
      </c>
      <c r="H87" s="69" t="s">
        <v>493</v>
      </c>
      <c r="I87" s="70" t="s">
        <v>627</v>
      </c>
      <c r="J87" s="70">
        <v>1</v>
      </c>
      <c r="P87" s="96" t="s">
        <v>635</v>
      </c>
      <c r="Q87">
        <v>1</v>
      </c>
    </row>
    <row r="88" spans="1:18" x14ac:dyDescent="0.2">
      <c r="A88" s="67">
        <v>86</v>
      </c>
      <c r="B88" s="71" t="s">
        <v>661</v>
      </c>
      <c r="C88" s="71">
        <v>3</v>
      </c>
      <c r="D88" s="72">
        <v>1</v>
      </c>
      <c r="E88" s="72">
        <v>506</v>
      </c>
      <c r="F88" s="72">
        <v>59.39</v>
      </c>
      <c r="G88" s="69" t="str">
        <f t="shared" si="2"/>
        <v>3-1-506</v>
      </c>
      <c r="H88" s="69" t="s">
        <v>493</v>
      </c>
      <c r="I88" s="70" t="s">
        <v>621</v>
      </c>
      <c r="J88" s="70">
        <v>1</v>
      </c>
      <c r="P88" s="96" t="s">
        <v>637</v>
      </c>
      <c r="Q88">
        <v>1</v>
      </c>
    </row>
    <row r="89" spans="1:18" x14ac:dyDescent="0.2">
      <c r="A89" s="67">
        <v>87</v>
      </c>
      <c r="B89" s="68" t="s">
        <v>661</v>
      </c>
      <c r="C89" s="68">
        <v>3</v>
      </c>
      <c r="D89" s="68">
        <v>1</v>
      </c>
      <c r="E89" s="68">
        <v>507</v>
      </c>
      <c r="F89" s="67">
        <v>59.39</v>
      </c>
      <c r="G89" s="69" t="str">
        <f t="shared" si="2"/>
        <v>3-1-507</v>
      </c>
      <c r="H89" s="69" t="s">
        <v>493</v>
      </c>
      <c r="I89" s="70" t="s">
        <v>621</v>
      </c>
      <c r="J89" s="70">
        <v>1</v>
      </c>
      <c r="P89" s="96" t="s">
        <v>639</v>
      </c>
      <c r="Q89">
        <v>1</v>
      </c>
    </row>
    <row r="90" spans="1:18" x14ac:dyDescent="0.2">
      <c r="A90" s="67">
        <v>88</v>
      </c>
      <c r="B90" s="68" t="s">
        <v>661</v>
      </c>
      <c r="C90" s="68">
        <v>3</v>
      </c>
      <c r="D90" s="68">
        <v>1</v>
      </c>
      <c r="E90" s="68">
        <v>508</v>
      </c>
      <c r="F90" s="67">
        <v>63.62</v>
      </c>
      <c r="G90" s="69" t="str">
        <f t="shared" si="2"/>
        <v>3-1-508</v>
      </c>
      <c r="H90" s="69" t="s">
        <v>493</v>
      </c>
      <c r="I90" s="70" t="s">
        <v>624</v>
      </c>
      <c r="J90" s="70">
        <v>1</v>
      </c>
      <c r="P90" s="96" t="s">
        <v>641</v>
      </c>
      <c r="Q90">
        <v>1</v>
      </c>
    </row>
    <row r="91" spans="1:18" x14ac:dyDescent="0.2">
      <c r="A91" s="67">
        <v>89</v>
      </c>
      <c r="B91" s="71" t="s">
        <v>661</v>
      </c>
      <c r="C91" s="71">
        <v>3</v>
      </c>
      <c r="D91" s="71">
        <v>1</v>
      </c>
      <c r="E91" s="71">
        <v>601</v>
      </c>
      <c r="F91" s="72">
        <v>63.62</v>
      </c>
      <c r="G91" s="69" t="str">
        <f t="shared" si="2"/>
        <v>3-1-601</v>
      </c>
      <c r="H91" s="69" t="s">
        <v>493</v>
      </c>
      <c r="I91" s="70" t="s">
        <v>624</v>
      </c>
      <c r="J91" s="70">
        <v>1</v>
      </c>
      <c r="P91" s="96" t="s">
        <v>643</v>
      </c>
      <c r="Q91">
        <v>1</v>
      </c>
    </row>
    <row r="92" spans="1:18" x14ac:dyDescent="0.2">
      <c r="A92" s="67">
        <v>90</v>
      </c>
      <c r="B92" s="68" t="s">
        <v>661</v>
      </c>
      <c r="C92" s="68">
        <v>3</v>
      </c>
      <c r="D92" s="68">
        <v>1</v>
      </c>
      <c r="E92" s="68">
        <v>602</v>
      </c>
      <c r="F92" s="67">
        <v>59.39</v>
      </c>
      <c r="G92" s="69" t="str">
        <f t="shared" si="2"/>
        <v>3-1-602</v>
      </c>
      <c r="H92" s="69" t="s">
        <v>493</v>
      </c>
      <c r="I92" s="70" t="s">
        <v>621</v>
      </c>
      <c r="J92" s="70">
        <v>1</v>
      </c>
      <c r="P92" s="93" t="s">
        <v>495</v>
      </c>
      <c r="Q92">
        <v>13</v>
      </c>
    </row>
    <row r="93" spans="1:18" x14ac:dyDescent="0.2">
      <c r="A93" s="67">
        <v>91</v>
      </c>
      <c r="B93" s="71" t="s">
        <v>661</v>
      </c>
      <c r="C93" s="71">
        <v>3</v>
      </c>
      <c r="D93" s="72">
        <v>1</v>
      </c>
      <c r="E93" s="72">
        <v>603</v>
      </c>
      <c r="F93" s="72">
        <v>59.39</v>
      </c>
      <c r="G93" s="69" t="str">
        <f t="shared" si="2"/>
        <v>3-1-603</v>
      </c>
      <c r="H93" s="69" t="s">
        <v>493</v>
      </c>
      <c r="I93" s="70" t="s">
        <v>621</v>
      </c>
      <c r="J93" s="70">
        <v>1</v>
      </c>
      <c r="P93" s="94" t="s">
        <v>614</v>
      </c>
      <c r="Q93">
        <v>11</v>
      </c>
    </row>
    <row r="94" spans="1:18" x14ac:dyDescent="0.2">
      <c r="A94" s="67">
        <v>92</v>
      </c>
      <c r="B94" s="68" t="s">
        <v>597</v>
      </c>
      <c r="C94" s="68">
        <v>3</v>
      </c>
      <c r="D94" s="68">
        <v>1</v>
      </c>
      <c r="E94" s="67">
        <v>604</v>
      </c>
      <c r="F94" s="67">
        <v>64.03</v>
      </c>
      <c r="G94" s="69" t="str">
        <f t="shared" si="2"/>
        <v>3-1-604</v>
      </c>
      <c r="H94" s="69" t="s">
        <v>493</v>
      </c>
      <c r="I94" s="70" t="s">
        <v>627</v>
      </c>
      <c r="J94" s="70">
        <v>1</v>
      </c>
      <c r="P94" s="95">
        <v>45.44</v>
      </c>
      <c r="Q94">
        <v>11</v>
      </c>
    </row>
    <row r="95" spans="1:18" x14ac:dyDescent="0.2">
      <c r="F95" s="83"/>
      <c r="P95" s="96" t="s">
        <v>734</v>
      </c>
      <c r="Q95">
        <v>1</v>
      </c>
    </row>
    <row r="96" spans="1:18" x14ac:dyDescent="0.2">
      <c r="P96" s="96" t="s">
        <v>662</v>
      </c>
      <c r="Q96">
        <v>1</v>
      </c>
    </row>
    <row r="97" spans="16:17" x14ac:dyDescent="0.2">
      <c r="P97" s="96" t="s">
        <v>735</v>
      </c>
      <c r="Q97">
        <v>1</v>
      </c>
    </row>
    <row r="98" spans="16:17" x14ac:dyDescent="0.2">
      <c r="P98" s="96" t="s">
        <v>736</v>
      </c>
      <c r="Q98">
        <v>1</v>
      </c>
    </row>
    <row r="99" spans="16:17" x14ac:dyDescent="0.2">
      <c r="P99" s="96" t="s">
        <v>737</v>
      </c>
      <c r="Q99">
        <v>1</v>
      </c>
    </row>
    <row r="100" spans="16:17" x14ac:dyDescent="0.2">
      <c r="P100" s="96" t="s">
        <v>738</v>
      </c>
      <c r="Q100">
        <v>1</v>
      </c>
    </row>
    <row r="101" spans="16:17" x14ac:dyDescent="0.2">
      <c r="P101" s="96" t="s">
        <v>739</v>
      </c>
      <c r="Q101">
        <v>1</v>
      </c>
    </row>
    <row r="102" spans="16:17" x14ac:dyDescent="0.2">
      <c r="P102" s="96" t="s">
        <v>740</v>
      </c>
      <c r="Q102">
        <v>1</v>
      </c>
    </row>
    <row r="103" spans="16:17" x14ac:dyDescent="0.2">
      <c r="P103" s="96" t="s">
        <v>741</v>
      </c>
      <c r="Q103">
        <v>1</v>
      </c>
    </row>
    <row r="104" spans="16:17" x14ac:dyDescent="0.2">
      <c r="P104" s="96" t="s">
        <v>742</v>
      </c>
      <c r="Q104">
        <v>1</v>
      </c>
    </row>
    <row r="105" spans="16:17" x14ac:dyDescent="0.2">
      <c r="P105" s="96" t="s">
        <v>743</v>
      </c>
      <c r="Q105">
        <v>1</v>
      </c>
    </row>
    <row r="106" spans="16:17" x14ac:dyDescent="0.2">
      <c r="P106" s="94" t="s">
        <v>496</v>
      </c>
      <c r="Q106">
        <v>2</v>
      </c>
    </row>
    <row r="107" spans="16:17" x14ac:dyDescent="0.2">
      <c r="P107" s="95">
        <v>34.090000000000003</v>
      </c>
      <c r="Q107">
        <v>2</v>
      </c>
    </row>
    <row r="108" spans="16:17" x14ac:dyDescent="0.2">
      <c r="P108" s="96" t="s">
        <v>649</v>
      </c>
      <c r="Q108">
        <v>1</v>
      </c>
    </row>
    <row r="109" spans="16:17" x14ac:dyDescent="0.2">
      <c r="P109" s="96" t="s">
        <v>651</v>
      </c>
      <c r="Q109">
        <v>1</v>
      </c>
    </row>
    <row r="110" spans="16:17" x14ac:dyDescent="0.2">
      <c r="P110" s="93" t="s">
        <v>653</v>
      </c>
      <c r="Q110">
        <v>92</v>
      </c>
    </row>
  </sheetData>
  <autoFilter ref="A2:I95" xr:uid="{00000000-0009-0000-0000-000000000000}">
    <sortState xmlns:xlrd2="http://schemas.microsoft.com/office/spreadsheetml/2017/richdata2" ref="A3:I95">
      <sortCondition ref="A2"/>
    </sortState>
  </autoFilter>
  <mergeCells count="1">
    <mergeCell ref="A1:H1"/>
  </mergeCells>
  <phoneticPr fontId="6" type="noConversion"/>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topLeftCell="A7"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4" t="s">
        <v>664</v>
      </c>
      <c r="B1" s="84" t="s">
        <v>149</v>
      </c>
      <c r="C1" s="84" t="s">
        <v>665</v>
      </c>
      <c r="D1" s="84" t="s">
        <v>666</v>
      </c>
      <c r="E1" s="84" t="s">
        <v>667</v>
      </c>
    </row>
    <row r="2" spans="1:7" x14ac:dyDescent="0.2">
      <c r="A2" s="84" t="s">
        <v>668</v>
      </c>
      <c r="B2" s="84" t="s">
        <v>669</v>
      </c>
      <c r="C2" s="84">
        <v>2023</v>
      </c>
      <c r="D2" s="84" t="s">
        <v>13</v>
      </c>
      <c r="E2" s="84">
        <v>33.121781253000002</v>
      </c>
      <c r="F2" s="43"/>
      <c r="G2" s="43"/>
    </row>
    <row r="3" spans="1:7" x14ac:dyDescent="0.2">
      <c r="A3" s="84" t="s">
        <v>668</v>
      </c>
      <c r="B3" s="84" t="s">
        <v>669</v>
      </c>
      <c r="C3" s="84">
        <v>2023</v>
      </c>
      <c r="D3" s="84" t="s">
        <v>14</v>
      </c>
      <c r="E3" s="84">
        <v>33.453103704999997</v>
      </c>
      <c r="F3" s="43"/>
      <c r="G3" s="43"/>
    </row>
    <row r="4" spans="1:7" x14ac:dyDescent="0.2">
      <c r="A4" s="84" t="s">
        <v>668</v>
      </c>
      <c r="B4" s="84" t="s">
        <v>669</v>
      </c>
      <c r="C4" s="84">
        <v>2023</v>
      </c>
      <c r="D4" s="84" t="s">
        <v>15</v>
      </c>
      <c r="E4" s="84">
        <v>37.051740109000001</v>
      </c>
      <c r="F4" s="43"/>
      <c r="G4" s="43"/>
    </row>
    <row r="5" spans="1:7" x14ac:dyDescent="0.2">
      <c r="A5" s="84" t="s">
        <v>668</v>
      </c>
      <c r="B5" s="84" t="s">
        <v>669</v>
      </c>
      <c r="C5" s="84">
        <v>2024</v>
      </c>
      <c r="D5" s="84" t="s">
        <v>15</v>
      </c>
      <c r="E5" s="84">
        <v>37.958157639</v>
      </c>
      <c r="F5" s="43"/>
      <c r="G5" s="43"/>
    </row>
    <row r="6" spans="1:7" x14ac:dyDescent="0.2">
      <c r="A6" s="84" t="s">
        <v>668</v>
      </c>
      <c r="B6" s="84" t="s">
        <v>669</v>
      </c>
      <c r="C6" s="84">
        <v>2024</v>
      </c>
      <c r="D6" s="84" t="s">
        <v>27</v>
      </c>
      <c r="E6" s="84">
        <v>39.698292973000001</v>
      </c>
      <c r="F6" s="43"/>
      <c r="G6" s="43"/>
    </row>
    <row r="7" spans="1:7" x14ac:dyDescent="0.2">
      <c r="A7" s="84" t="s">
        <v>668</v>
      </c>
      <c r="B7" s="84" t="s">
        <v>669</v>
      </c>
      <c r="C7" s="84">
        <v>2024</v>
      </c>
      <c r="D7" s="84" t="s">
        <v>16</v>
      </c>
      <c r="E7" s="84">
        <v>35.085701139000001</v>
      </c>
      <c r="F7" s="43"/>
      <c r="G7" s="43"/>
    </row>
    <row r="8" spans="1:7" x14ac:dyDescent="0.2">
      <c r="A8" s="84" t="s">
        <v>668</v>
      </c>
      <c r="B8" s="84" t="s">
        <v>669</v>
      </c>
      <c r="C8" s="84">
        <v>2024</v>
      </c>
      <c r="D8" s="84" t="s">
        <v>17</v>
      </c>
      <c r="E8" s="84">
        <v>37.470836376999998</v>
      </c>
      <c r="F8" s="43"/>
      <c r="G8" s="43"/>
    </row>
    <row r="9" spans="1:7" x14ac:dyDescent="0.2">
      <c r="A9" s="84" t="s">
        <v>668</v>
      </c>
      <c r="B9" s="84" t="s">
        <v>669</v>
      </c>
      <c r="C9" s="84">
        <v>2024</v>
      </c>
      <c r="D9" s="84" t="s">
        <v>19</v>
      </c>
      <c r="E9" s="84">
        <v>37.789617147999998</v>
      </c>
      <c r="F9" s="43"/>
      <c r="G9" s="43"/>
    </row>
    <row r="10" spans="1:7" x14ac:dyDescent="0.2">
      <c r="A10" s="84" t="s">
        <v>668</v>
      </c>
      <c r="B10" s="84" t="s">
        <v>669</v>
      </c>
      <c r="C10" s="84">
        <v>2024</v>
      </c>
      <c r="D10" s="84" t="s">
        <v>20</v>
      </c>
      <c r="E10" s="84">
        <v>46.669495120999997</v>
      </c>
      <c r="F10" s="43"/>
      <c r="G10" s="43"/>
    </row>
    <row r="11" spans="1:7" x14ac:dyDescent="0.2">
      <c r="A11" s="84" t="s">
        <v>668</v>
      </c>
      <c r="B11" s="84" t="s">
        <v>669</v>
      </c>
      <c r="C11" s="84">
        <v>2024</v>
      </c>
      <c r="D11" s="84" t="s">
        <v>21</v>
      </c>
      <c r="E11" s="84">
        <v>32.224800205999998</v>
      </c>
      <c r="F11" s="43"/>
      <c r="G11" s="43"/>
    </row>
    <row r="12" spans="1:7" x14ac:dyDescent="0.2">
      <c r="A12" s="84" t="s">
        <v>668</v>
      </c>
      <c r="B12" s="84" t="s">
        <v>669</v>
      </c>
      <c r="C12" s="84">
        <v>2024</v>
      </c>
      <c r="D12" s="84" t="s">
        <v>29</v>
      </c>
      <c r="E12" s="84">
        <v>33.739004698999999</v>
      </c>
    </row>
    <row r="13" spans="1:7" s="37" customFormat="1" x14ac:dyDescent="0.2">
      <c r="A13" s="85" t="s">
        <v>668</v>
      </c>
      <c r="B13" s="85" t="s">
        <v>670</v>
      </c>
      <c r="C13" s="85">
        <v>2023</v>
      </c>
      <c r="D13" s="85" t="s">
        <v>13</v>
      </c>
      <c r="E13" s="85">
        <v>43.638275499000002</v>
      </c>
    </row>
    <row r="14" spans="1:7" s="37" customFormat="1" x14ac:dyDescent="0.2">
      <c r="A14" s="85" t="s">
        <v>668</v>
      </c>
      <c r="B14" s="85" t="s">
        <v>670</v>
      </c>
      <c r="C14" s="85">
        <v>2023</v>
      </c>
      <c r="D14" s="85" t="s">
        <v>15</v>
      </c>
      <c r="E14" s="85">
        <v>43.116097429</v>
      </c>
    </row>
    <row r="15" spans="1:7" s="37" customFormat="1" x14ac:dyDescent="0.2">
      <c r="A15" s="85" t="s">
        <v>668</v>
      </c>
      <c r="B15" s="85" t="s">
        <v>670</v>
      </c>
      <c r="C15" s="85">
        <v>2024</v>
      </c>
      <c r="D15" s="85" t="s">
        <v>15</v>
      </c>
      <c r="E15" s="85">
        <v>49.461739889</v>
      </c>
    </row>
    <row r="16" spans="1:7" s="37" customFormat="1" x14ac:dyDescent="0.2">
      <c r="A16" s="85" t="s">
        <v>668</v>
      </c>
      <c r="B16" s="85" t="s">
        <v>670</v>
      </c>
      <c r="C16" s="85">
        <v>2024</v>
      </c>
      <c r="D16" s="85" t="s">
        <v>27</v>
      </c>
      <c r="E16" s="85">
        <v>53.248042351000002</v>
      </c>
    </row>
    <row r="17" spans="1:5" s="37" customFormat="1" x14ac:dyDescent="0.2">
      <c r="A17" s="85" t="s">
        <v>668</v>
      </c>
      <c r="B17" s="85" t="s">
        <v>670</v>
      </c>
      <c r="C17" s="85">
        <v>2024</v>
      </c>
      <c r="D17" s="85" t="s">
        <v>16</v>
      </c>
      <c r="E17" s="85">
        <v>48.555474629999999</v>
      </c>
    </row>
    <row r="18" spans="1:5" s="37" customFormat="1" x14ac:dyDescent="0.2">
      <c r="A18" s="85" t="s">
        <v>668</v>
      </c>
      <c r="B18" s="85" t="s">
        <v>670</v>
      </c>
      <c r="C18" s="85">
        <v>2024</v>
      </c>
      <c r="D18" s="85" t="s">
        <v>17</v>
      </c>
      <c r="E18" s="85">
        <v>40.322580645000002</v>
      </c>
    </row>
    <row r="19" spans="1:5" s="37" customFormat="1" x14ac:dyDescent="0.2">
      <c r="A19" s="85" t="s">
        <v>668</v>
      </c>
      <c r="B19" s="85" t="s">
        <v>670</v>
      </c>
      <c r="C19" s="85">
        <v>2024</v>
      </c>
      <c r="D19" s="85" t="s">
        <v>18</v>
      </c>
      <c r="E19" s="85">
        <v>47.304302747999998</v>
      </c>
    </row>
    <row r="20" spans="1:5" s="37" customFormat="1" x14ac:dyDescent="0.2">
      <c r="A20" s="85" t="s">
        <v>668</v>
      </c>
      <c r="B20" s="85" t="s">
        <v>670</v>
      </c>
      <c r="C20" s="85">
        <v>2024</v>
      </c>
      <c r="D20" s="85" t="s">
        <v>28</v>
      </c>
      <c r="E20" s="85">
        <v>42.958071502000003</v>
      </c>
    </row>
    <row r="21" spans="1:5" s="37" customFormat="1" x14ac:dyDescent="0.2">
      <c r="A21" s="85" t="s">
        <v>668</v>
      </c>
      <c r="B21" s="85" t="s">
        <v>670</v>
      </c>
      <c r="C21" s="85">
        <v>2024</v>
      </c>
      <c r="D21" s="85" t="s">
        <v>19</v>
      </c>
      <c r="E21" s="85">
        <v>49.756744802999997</v>
      </c>
    </row>
    <row r="22" spans="1:5" s="37" customFormat="1" x14ac:dyDescent="0.2">
      <c r="A22" s="85" t="s">
        <v>668</v>
      </c>
      <c r="B22" s="85" t="s">
        <v>670</v>
      </c>
      <c r="C22" s="85">
        <v>2024</v>
      </c>
      <c r="D22" s="85" t="s">
        <v>20</v>
      </c>
      <c r="E22" s="85">
        <v>46.871815773000002</v>
      </c>
    </row>
    <row r="23" spans="1:5" s="37" customFormat="1" x14ac:dyDescent="0.2">
      <c r="A23" s="85" t="s">
        <v>668</v>
      </c>
      <c r="B23" s="85" t="s">
        <v>670</v>
      </c>
      <c r="C23" s="85">
        <v>2024</v>
      </c>
      <c r="D23" s="85" t="s">
        <v>21</v>
      </c>
      <c r="E23" s="85">
        <v>47.315021033999997</v>
      </c>
    </row>
    <row r="24" spans="1:5" s="37" customFormat="1" x14ac:dyDescent="0.2">
      <c r="A24" s="85" t="s">
        <v>668</v>
      </c>
      <c r="B24" s="85" t="s">
        <v>670</v>
      </c>
      <c r="C24" s="85">
        <v>2024</v>
      </c>
      <c r="D24" s="85" t="s">
        <v>29</v>
      </c>
      <c r="E24" s="85">
        <v>41.974738139000003</v>
      </c>
    </row>
    <row r="25" spans="1:5" s="44" customFormat="1" x14ac:dyDescent="0.2">
      <c r="A25" s="85" t="s">
        <v>668</v>
      </c>
      <c r="B25" s="85" t="s">
        <v>671</v>
      </c>
      <c r="C25" s="85">
        <v>2023</v>
      </c>
      <c r="D25" s="85" t="s">
        <v>13</v>
      </c>
      <c r="E25" s="85">
        <v>41.421001566999998</v>
      </c>
    </row>
    <row r="26" spans="1:5" s="44" customFormat="1" x14ac:dyDescent="0.2">
      <c r="A26" s="85" t="s">
        <v>668</v>
      </c>
      <c r="B26" s="85" t="s">
        <v>671</v>
      </c>
      <c r="C26" s="85">
        <v>2024</v>
      </c>
      <c r="D26" s="85" t="s">
        <v>15</v>
      </c>
      <c r="E26" s="85">
        <v>46.968403074000001</v>
      </c>
    </row>
    <row r="27" spans="1:5" s="44" customFormat="1" x14ac:dyDescent="0.2">
      <c r="A27" s="85" t="s">
        <v>668</v>
      </c>
      <c r="B27" s="85" t="s">
        <v>671</v>
      </c>
      <c r="C27" s="85">
        <v>2024</v>
      </c>
      <c r="D27" s="85" t="s">
        <v>27</v>
      </c>
      <c r="E27" s="85">
        <v>44.604927781999997</v>
      </c>
    </row>
    <row r="28" spans="1:5" x14ac:dyDescent="0.2">
      <c r="A28" s="85" t="s">
        <v>668</v>
      </c>
      <c r="B28" s="85" t="s">
        <v>671</v>
      </c>
      <c r="C28" s="85">
        <v>2024</v>
      </c>
      <c r="D28" s="85" t="s">
        <v>16</v>
      </c>
      <c r="E28" s="85">
        <v>45.773421562999999</v>
      </c>
    </row>
    <row r="29" spans="1:5" x14ac:dyDescent="0.2">
      <c r="A29" s="85" t="s">
        <v>668</v>
      </c>
      <c r="B29" s="85" t="s">
        <v>671</v>
      </c>
      <c r="C29" s="85">
        <v>2024</v>
      </c>
      <c r="D29" s="85" t="s">
        <v>17</v>
      </c>
      <c r="E29" s="85">
        <v>43.110881186</v>
      </c>
    </row>
    <row r="30" spans="1:5" x14ac:dyDescent="0.2">
      <c r="A30" s="85" t="s">
        <v>668</v>
      </c>
      <c r="B30" s="85" t="s">
        <v>671</v>
      </c>
      <c r="C30" s="85">
        <v>2024</v>
      </c>
      <c r="D30" s="85" t="s">
        <v>18</v>
      </c>
      <c r="E30" s="85">
        <v>43.039285483</v>
      </c>
    </row>
    <row r="31" spans="1:5" x14ac:dyDescent="0.2">
      <c r="A31" s="85" t="s">
        <v>668</v>
      </c>
      <c r="B31" s="85" t="s">
        <v>671</v>
      </c>
      <c r="C31" s="85">
        <v>2024</v>
      </c>
      <c r="D31" s="85" t="s">
        <v>28</v>
      </c>
      <c r="E31" s="85">
        <v>48</v>
      </c>
    </row>
    <row r="32" spans="1:5" x14ac:dyDescent="0.2">
      <c r="A32" s="85" t="s">
        <v>668</v>
      </c>
      <c r="B32" s="85" t="s">
        <v>671</v>
      </c>
      <c r="C32" s="85">
        <v>2024</v>
      </c>
      <c r="D32" s="85" t="s">
        <v>19</v>
      </c>
      <c r="E32" s="85">
        <v>39.735099337999998</v>
      </c>
    </row>
    <row r="33" spans="1:9" x14ac:dyDescent="0.2">
      <c r="A33" s="85" t="s">
        <v>668</v>
      </c>
      <c r="B33" s="85" t="s">
        <v>671</v>
      </c>
      <c r="C33" s="85">
        <v>2024</v>
      </c>
      <c r="D33" s="85" t="s">
        <v>20</v>
      </c>
      <c r="E33" s="85">
        <v>41.563737599</v>
      </c>
      <c r="F33" s="44"/>
      <c r="G33" s="44"/>
      <c r="H33" s="44"/>
      <c r="I33" s="44"/>
    </row>
    <row r="34" spans="1:9" x14ac:dyDescent="0.2">
      <c r="A34" s="85" t="s">
        <v>668</v>
      </c>
      <c r="B34" s="85" t="s">
        <v>671</v>
      </c>
      <c r="C34" s="85">
        <v>2024</v>
      </c>
      <c r="D34" s="85" t="s">
        <v>21</v>
      </c>
      <c r="E34" s="85">
        <v>39.692604240999998</v>
      </c>
      <c r="F34" s="44"/>
      <c r="G34" s="44"/>
      <c r="H34" s="44"/>
      <c r="I34" s="44"/>
    </row>
    <row r="35" spans="1:9" x14ac:dyDescent="0.2">
      <c r="A35" s="85" t="s">
        <v>668</v>
      </c>
      <c r="B35" s="85" t="s">
        <v>672</v>
      </c>
      <c r="C35" s="85">
        <v>2023</v>
      </c>
      <c r="D35" s="85" t="s">
        <v>13</v>
      </c>
      <c r="E35" s="85">
        <v>43.256195220000002</v>
      </c>
      <c r="F35" s="44"/>
      <c r="G35" s="44"/>
      <c r="H35" s="44"/>
      <c r="I35" s="44"/>
    </row>
    <row r="36" spans="1:9" x14ac:dyDescent="0.2">
      <c r="A36" s="85" t="s">
        <v>668</v>
      </c>
      <c r="B36" s="85" t="s">
        <v>672</v>
      </c>
      <c r="C36" s="85">
        <v>2023</v>
      </c>
      <c r="D36" s="85" t="s">
        <v>15</v>
      </c>
      <c r="E36" s="85">
        <v>40.687029555999999</v>
      </c>
      <c r="F36" s="44"/>
      <c r="G36" s="44"/>
      <c r="H36" s="44"/>
      <c r="I36" s="44"/>
    </row>
    <row r="37" spans="1:9" x14ac:dyDescent="0.2">
      <c r="A37" s="85" t="s">
        <v>668</v>
      </c>
      <c r="B37" s="85" t="s">
        <v>672</v>
      </c>
      <c r="C37" s="85">
        <v>2024</v>
      </c>
      <c r="D37" s="85" t="s">
        <v>15</v>
      </c>
      <c r="E37" s="85">
        <v>31.901928454</v>
      </c>
      <c r="F37" s="44"/>
      <c r="G37" s="44"/>
      <c r="H37" s="44"/>
      <c r="I37" s="44"/>
    </row>
    <row r="38" spans="1:9" x14ac:dyDescent="0.2">
      <c r="A38" s="85" t="s">
        <v>668</v>
      </c>
      <c r="B38" s="85" t="s">
        <v>672</v>
      </c>
      <c r="C38" s="85">
        <v>2024</v>
      </c>
      <c r="D38" s="85" t="s">
        <v>27</v>
      </c>
      <c r="E38" s="85">
        <v>43.948738782</v>
      </c>
      <c r="F38" s="44"/>
      <c r="G38" s="44"/>
      <c r="H38" s="44"/>
      <c r="I38" s="44"/>
    </row>
    <row r="39" spans="1:9" x14ac:dyDescent="0.2">
      <c r="A39" s="85" t="s">
        <v>668</v>
      </c>
      <c r="B39" s="85" t="s">
        <v>672</v>
      </c>
      <c r="C39" s="85">
        <v>2024</v>
      </c>
      <c r="D39" s="85" t="s">
        <v>16</v>
      </c>
      <c r="E39" s="85">
        <v>40.436885109000002</v>
      </c>
      <c r="F39" s="44"/>
      <c r="G39" s="44"/>
      <c r="H39" s="44"/>
      <c r="I39" s="44"/>
    </row>
    <row r="40" spans="1:9" x14ac:dyDescent="0.2">
      <c r="A40" s="85" t="s">
        <v>668</v>
      </c>
      <c r="B40" s="85" t="s">
        <v>672</v>
      </c>
      <c r="C40" s="85">
        <v>2024</v>
      </c>
      <c r="D40" s="85" t="s">
        <v>17</v>
      </c>
      <c r="E40" s="85">
        <v>49.530866185999997</v>
      </c>
      <c r="F40" s="44"/>
      <c r="G40" s="44"/>
      <c r="H40" s="44"/>
      <c r="I40" s="44"/>
    </row>
    <row r="41" spans="1:9" x14ac:dyDescent="0.2">
      <c r="A41" s="85" t="s">
        <v>668</v>
      </c>
      <c r="B41" s="85" t="s">
        <v>672</v>
      </c>
      <c r="C41" s="85">
        <v>2024</v>
      </c>
      <c r="D41" s="85" t="s">
        <v>18</v>
      </c>
      <c r="E41" s="85">
        <v>40.290088638</v>
      </c>
      <c r="F41" s="44"/>
      <c r="G41" s="44"/>
      <c r="H41" s="44"/>
      <c r="I41" s="44"/>
    </row>
    <row r="42" spans="1:9" x14ac:dyDescent="0.2">
      <c r="A42" s="85" t="s">
        <v>668</v>
      </c>
      <c r="B42" s="85" t="s">
        <v>672</v>
      </c>
      <c r="C42" s="85">
        <v>2024</v>
      </c>
      <c r="D42" s="85" t="s">
        <v>28</v>
      </c>
      <c r="E42" s="85">
        <v>40.861825719000002</v>
      </c>
      <c r="F42" s="44"/>
      <c r="G42" s="44"/>
      <c r="H42" s="44"/>
      <c r="I42" s="44"/>
    </row>
    <row r="43" spans="1:9" x14ac:dyDescent="0.2">
      <c r="A43" s="85" t="s">
        <v>668</v>
      </c>
      <c r="B43" s="85" t="s">
        <v>672</v>
      </c>
      <c r="C43" s="85">
        <v>2024</v>
      </c>
      <c r="D43" s="85" t="s">
        <v>19</v>
      </c>
      <c r="E43" s="85">
        <v>39.237567271000003</v>
      </c>
      <c r="F43" s="44"/>
      <c r="G43" s="44"/>
      <c r="H43" s="44"/>
      <c r="I43" s="44"/>
    </row>
    <row r="44" spans="1:9" x14ac:dyDescent="0.2">
      <c r="A44" s="85" t="s">
        <v>668</v>
      </c>
      <c r="B44" s="85" t="s">
        <v>672</v>
      </c>
      <c r="C44" s="85">
        <v>2024</v>
      </c>
      <c r="D44" s="85" t="s">
        <v>20</v>
      </c>
      <c r="E44" s="85">
        <v>37.054464181</v>
      </c>
      <c r="F44" s="44"/>
      <c r="G44" s="44"/>
      <c r="H44" s="44"/>
      <c r="I44" s="44"/>
    </row>
    <row r="45" spans="1:9" x14ac:dyDescent="0.2">
      <c r="A45" s="85" t="s">
        <v>668</v>
      </c>
      <c r="B45" s="85" t="s">
        <v>672</v>
      </c>
      <c r="C45" s="85">
        <v>2024</v>
      </c>
      <c r="D45" s="85" t="s">
        <v>21</v>
      </c>
      <c r="E45" s="85">
        <v>33.206247693999998</v>
      </c>
      <c r="F45" s="44"/>
      <c r="G45" s="44"/>
      <c r="H45" s="44"/>
      <c r="I45" s="44"/>
    </row>
    <row r="46" spans="1:9" x14ac:dyDescent="0.2">
      <c r="A46" s="85" t="s">
        <v>668</v>
      </c>
      <c r="B46" s="85" t="s">
        <v>672</v>
      </c>
      <c r="C46" s="85">
        <v>2024</v>
      </c>
      <c r="D46" s="85" t="s">
        <v>29</v>
      </c>
      <c r="E46" s="85">
        <v>39.131435586999999</v>
      </c>
      <c r="F46" s="44"/>
      <c r="G46" s="44"/>
      <c r="H46" s="44"/>
      <c r="I46" s="44"/>
    </row>
    <row r="47" spans="1:9" x14ac:dyDescent="0.2">
      <c r="A47" s="84" t="s">
        <v>668</v>
      </c>
      <c r="B47" s="84" t="s">
        <v>673</v>
      </c>
      <c r="C47" s="84">
        <v>2023</v>
      </c>
      <c r="D47" s="84" t="s">
        <v>13</v>
      </c>
      <c r="E47" s="84">
        <v>37.399626003999998</v>
      </c>
      <c r="F47" s="44"/>
      <c r="G47" s="44"/>
      <c r="H47" s="44"/>
      <c r="I47" s="44"/>
    </row>
    <row r="48" spans="1:9" x14ac:dyDescent="0.2">
      <c r="A48" s="84" t="s">
        <v>668</v>
      </c>
      <c r="B48" s="84" t="s">
        <v>673</v>
      </c>
      <c r="C48" s="84">
        <v>2023</v>
      </c>
      <c r="D48" s="84" t="s">
        <v>15</v>
      </c>
      <c r="E48" s="84">
        <v>40.351958750999998</v>
      </c>
      <c r="F48" s="44"/>
      <c r="G48" s="44"/>
      <c r="H48" s="44"/>
      <c r="I48" s="44"/>
    </row>
    <row r="49" spans="1:8" x14ac:dyDescent="0.2">
      <c r="A49" s="84" t="s">
        <v>668</v>
      </c>
      <c r="B49" s="84" t="s">
        <v>673</v>
      </c>
      <c r="C49" s="84">
        <v>2024</v>
      </c>
      <c r="D49" s="84" t="s">
        <v>15</v>
      </c>
      <c r="E49" s="84">
        <v>40.243902439000003</v>
      </c>
    </row>
    <row r="50" spans="1:8" x14ac:dyDescent="0.2">
      <c r="A50" s="84" t="s">
        <v>668</v>
      </c>
      <c r="B50" s="84" t="s">
        <v>673</v>
      </c>
      <c r="C50" s="84">
        <v>2024</v>
      </c>
      <c r="D50" s="84" t="s">
        <v>27</v>
      </c>
      <c r="E50" s="84">
        <v>38.578120693999999</v>
      </c>
    </row>
    <row r="51" spans="1:8" x14ac:dyDescent="0.2">
      <c r="A51" s="84" t="s">
        <v>668</v>
      </c>
      <c r="B51" s="84" t="s">
        <v>673</v>
      </c>
      <c r="C51" s="84">
        <v>2024</v>
      </c>
      <c r="D51" s="84" t="s">
        <v>16</v>
      </c>
      <c r="E51" s="84">
        <v>40.212792694999997</v>
      </c>
    </row>
    <row r="52" spans="1:8" x14ac:dyDescent="0.2">
      <c r="A52" s="84" t="s">
        <v>668</v>
      </c>
      <c r="B52" s="84" t="s">
        <v>673</v>
      </c>
      <c r="C52" s="84">
        <v>2024</v>
      </c>
      <c r="D52" s="84" t="s">
        <v>17</v>
      </c>
      <c r="E52" s="84">
        <v>40.114223551999999</v>
      </c>
    </row>
    <row r="53" spans="1:8" x14ac:dyDescent="0.2">
      <c r="A53" s="84" t="s">
        <v>668</v>
      </c>
      <c r="B53" s="84" t="s">
        <v>673</v>
      </c>
      <c r="C53" s="84">
        <v>2024</v>
      </c>
      <c r="D53" s="84" t="s">
        <v>18</v>
      </c>
      <c r="E53" s="84">
        <v>44.634778937</v>
      </c>
    </row>
    <row r="54" spans="1:8" x14ac:dyDescent="0.2">
      <c r="A54" s="84" t="s">
        <v>668</v>
      </c>
      <c r="B54" s="84" t="s">
        <v>673</v>
      </c>
      <c r="C54" s="84">
        <v>2024</v>
      </c>
      <c r="D54" s="84" t="s">
        <v>28</v>
      </c>
      <c r="E54" s="84">
        <v>37.824623354000003</v>
      </c>
    </row>
    <row r="55" spans="1:8" x14ac:dyDescent="0.2">
      <c r="A55" s="84" t="s">
        <v>668</v>
      </c>
      <c r="B55" s="84" t="s">
        <v>673</v>
      </c>
      <c r="C55" s="84">
        <v>2024</v>
      </c>
      <c r="D55" s="84" t="s">
        <v>19</v>
      </c>
      <c r="E55" s="84">
        <v>38.527311136000002</v>
      </c>
    </row>
    <row r="56" spans="1:8" x14ac:dyDescent="0.2">
      <c r="A56" s="84" t="s">
        <v>668</v>
      </c>
      <c r="B56" s="84" t="s">
        <v>673</v>
      </c>
      <c r="C56" s="84">
        <v>2024</v>
      </c>
      <c r="D56" s="84" t="s">
        <v>20</v>
      </c>
      <c r="E56" s="84">
        <v>40.626195150999997</v>
      </c>
    </row>
    <row r="57" spans="1:8" x14ac:dyDescent="0.2">
      <c r="A57" s="84" t="s">
        <v>668</v>
      </c>
      <c r="B57" s="84" t="s">
        <v>673</v>
      </c>
      <c r="C57" s="84">
        <v>2024</v>
      </c>
      <c r="D57" s="84" t="s">
        <v>29</v>
      </c>
      <c r="E57" s="84">
        <v>38.457312383000001</v>
      </c>
    </row>
    <row r="58" spans="1:8" x14ac:dyDescent="0.2">
      <c r="A58" s="84" t="s">
        <v>668</v>
      </c>
      <c r="B58" s="84" t="s">
        <v>674</v>
      </c>
      <c r="C58" s="84">
        <v>2023</v>
      </c>
      <c r="D58" s="84" t="s">
        <v>13</v>
      </c>
      <c r="E58" s="84">
        <v>54.348243425</v>
      </c>
    </row>
    <row r="59" spans="1:8" x14ac:dyDescent="0.2">
      <c r="A59" s="84" t="s">
        <v>668</v>
      </c>
      <c r="B59" s="84" t="s">
        <v>674</v>
      </c>
      <c r="C59" s="84">
        <v>2023</v>
      </c>
      <c r="D59" s="84" t="s">
        <v>15</v>
      </c>
      <c r="E59" s="84">
        <v>29.898804047999999</v>
      </c>
    </row>
    <row r="60" spans="1:8" x14ac:dyDescent="0.2">
      <c r="A60" s="84" t="s">
        <v>668</v>
      </c>
      <c r="B60" s="84" t="s">
        <v>675</v>
      </c>
      <c r="C60" s="84">
        <v>2024</v>
      </c>
      <c r="D60" s="84" t="s">
        <v>15</v>
      </c>
      <c r="E60" s="84">
        <v>54.692609548999997</v>
      </c>
    </row>
    <row r="61" spans="1:8" x14ac:dyDescent="0.2">
      <c r="A61" s="84" t="s">
        <v>668</v>
      </c>
      <c r="B61" s="84" t="s">
        <v>674</v>
      </c>
      <c r="C61" s="84">
        <v>2024</v>
      </c>
      <c r="D61" s="84" t="s">
        <v>15</v>
      </c>
      <c r="E61" s="84">
        <v>48.560819934000001</v>
      </c>
      <c r="F61" s="43"/>
      <c r="G61" s="43"/>
      <c r="H61" s="43"/>
    </row>
    <row r="62" spans="1:8" x14ac:dyDescent="0.2">
      <c r="A62" s="84" t="s">
        <v>668</v>
      </c>
      <c r="B62" s="84" t="s">
        <v>676</v>
      </c>
      <c r="C62" s="84">
        <v>2024</v>
      </c>
      <c r="D62" s="84" t="s">
        <v>27</v>
      </c>
      <c r="E62" s="84">
        <v>34.732000374999998</v>
      </c>
      <c r="F62" s="43"/>
      <c r="G62" s="43"/>
      <c r="H62" s="43"/>
    </row>
    <row r="63" spans="1:8" x14ac:dyDescent="0.2">
      <c r="A63" s="84" t="s">
        <v>668</v>
      </c>
      <c r="B63" s="84" t="s">
        <v>674</v>
      </c>
      <c r="C63" s="84">
        <v>2024</v>
      </c>
      <c r="D63" s="84" t="s">
        <v>27</v>
      </c>
      <c r="E63" s="84">
        <v>45.601332518</v>
      </c>
      <c r="F63" s="43"/>
      <c r="G63" s="43"/>
      <c r="H63" s="43"/>
    </row>
    <row r="64" spans="1:8" x14ac:dyDescent="0.2">
      <c r="A64" s="84" t="s">
        <v>668</v>
      </c>
      <c r="B64" s="84" t="s">
        <v>674</v>
      </c>
      <c r="C64" s="84">
        <v>2024</v>
      </c>
      <c r="D64" s="84" t="s">
        <v>16</v>
      </c>
      <c r="E64" s="84">
        <v>50.486532224000001</v>
      </c>
      <c r="F64" s="43"/>
      <c r="G64" s="43"/>
      <c r="H64" s="43"/>
    </row>
    <row r="65" spans="1:8" x14ac:dyDescent="0.2">
      <c r="A65" s="84" t="s">
        <v>668</v>
      </c>
      <c r="B65" s="84" t="s">
        <v>674</v>
      </c>
      <c r="C65" s="84">
        <v>2024</v>
      </c>
      <c r="D65" s="84" t="s">
        <v>17</v>
      </c>
      <c r="E65" s="84">
        <v>49.852551548999998</v>
      </c>
      <c r="F65" s="43"/>
      <c r="G65" s="43"/>
      <c r="H65" s="43"/>
    </row>
    <row r="66" spans="1:8" x14ac:dyDescent="0.2">
      <c r="A66" s="84" t="s">
        <v>668</v>
      </c>
      <c r="B66" s="84" t="s">
        <v>674</v>
      </c>
      <c r="C66" s="84">
        <v>2024</v>
      </c>
      <c r="D66" s="84" t="s">
        <v>18</v>
      </c>
      <c r="E66" s="84">
        <v>48.677300682000002</v>
      </c>
      <c r="F66" s="43"/>
      <c r="G66" s="43"/>
      <c r="H66" s="43"/>
    </row>
    <row r="67" spans="1:8" x14ac:dyDescent="0.2">
      <c r="A67" s="84" t="s">
        <v>668</v>
      </c>
      <c r="B67" s="84" t="s">
        <v>674</v>
      </c>
      <c r="C67" s="84">
        <v>2024</v>
      </c>
      <c r="D67" s="84" t="s">
        <v>28</v>
      </c>
      <c r="E67" s="84">
        <v>53.616561777999998</v>
      </c>
      <c r="F67" s="43"/>
      <c r="G67" s="43"/>
      <c r="H67" s="43"/>
    </row>
    <row r="68" spans="1:8" x14ac:dyDescent="0.2">
      <c r="A68" s="84" t="s">
        <v>668</v>
      </c>
      <c r="B68" s="84" t="s">
        <v>674</v>
      </c>
      <c r="C68" s="84">
        <v>2024</v>
      </c>
      <c r="D68" s="84" t="s">
        <v>19</v>
      </c>
      <c r="E68" s="84">
        <v>46.532341541999998</v>
      </c>
      <c r="F68" s="43"/>
      <c r="G68" s="43"/>
      <c r="H68" s="43"/>
    </row>
    <row r="69" spans="1:8" x14ac:dyDescent="0.2">
      <c r="A69" s="84" t="s">
        <v>668</v>
      </c>
      <c r="B69" s="84" t="s">
        <v>674</v>
      </c>
      <c r="C69" s="84">
        <v>2024</v>
      </c>
      <c r="D69" s="84" t="s">
        <v>20</v>
      </c>
      <c r="E69" s="84">
        <v>47.789257210000002</v>
      </c>
      <c r="F69" s="43"/>
      <c r="G69" s="43"/>
      <c r="H69" s="43"/>
    </row>
    <row r="70" spans="1:8" x14ac:dyDescent="0.2">
      <c r="A70" s="84" t="s">
        <v>668</v>
      </c>
      <c r="B70" s="84" t="s">
        <v>676</v>
      </c>
      <c r="C70" s="84">
        <v>2024</v>
      </c>
      <c r="D70" s="84" t="s">
        <v>21</v>
      </c>
      <c r="E70" s="84">
        <v>45.781556573000003</v>
      </c>
      <c r="F70" s="43"/>
      <c r="G70" s="43"/>
      <c r="H70" s="43"/>
    </row>
    <row r="71" spans="1:8" x14ac:dyDescent="0.2">
      <c r="A71" s="84" t="s">
        <v>668</v>
      </c>
      <c r="B71" s="84" t="s">
        <v>674</v>
      </c>
      <c r="C71" s="84">
        <v>2024</v>
      </c>
      <c r="D71" s="84" t="s">
        <v>21</v>
      </c>
      <c r="E71" s="84">
        <v>47.978259850999997</v>
      </c>
      <c r="F71" s="43"/>
      <c r="G71" s="43"/>
      <c r="H71" s="43"/>
    </row>
    <row r="72" spans="1:8" x14ac:dyDescent="0.2">
      <c r="A72" s="84" t="s">
        <v>668</v>
      </c>
      <c r="B72" s="84" t="s">
        <v>674</v>
      </c>
      <c r="C72" s="84">
        <v>2024</v>
      </c>
      <c r="D72" s="84" t="s">
        <v>29</v>
      </c>
      <c r="E72" s="84">
        <v>59.188228486</v>
      </c>
      <c r="F72" s="43"/>
      <c r="G72" s="43"/>
      <c r="H72" s="43"/>
    </row>
    <row r="73" spans="1:8" hidden="1" x14ac:dyDescent="0.2">
      <c r="A73" s="84" t="s">
        <v>668</v>
      </c>
      <c r="B73" s="84" t="s">
        <v>677</v>
      </c>
      <c r="C73" s="84">
        <v>2023</v>
      </c>
      <c r="D73" s="84" t="s">
        <v>13</v>
      </c>
      <c r="E73" s="84">
        <v>48.387096774</v>
      </c>
      <c r="F73" s="43"/>
      <c r="G73" s="43"/>
      <c r="H73" s="43"/>
    </row>
    <row r="74" spans="1:8" hidden="1" x14ac:dyDescent="0.2">
      <c r="A74" s="84" t="s">
        <v>668</v>
      </c>
      <c r="B74" s="84" t="s">
        <v>677</v>
      </c>
      <c r="C74" s="84">
        <v>2023</v>
      </c>
      <c r="D74" s="84" t="s">
        <v>14</v>
      </c>
      <c r="E74" s="84">
        <v>54.014598540000001</v>
      </c>
      <c r="F74" s="43"/>
      <c r="G74" s="43"/>
      <c r="H74" s="43"/>
    </row>
    <row r="75" spans="1:8" hidden="1" x14ac:dyDescent="0.2">
      <c r="A75" s="84" t="s">
        <v>668</v>
      </c>
      <c r="B75" s="84" t="s">
        <v>677</v>
      </c>
      <c r="C75" s="84">
        <v>2024</v>
      </c>
      <c r="D75" s="84" t="s">
        <v>15</v>
      </c>
      <c r="E75" s="84">
        <v>52.049839228000003</v>
      </c>
      <c r="F75" s="43"/>
      <c r="G75" s="43"/>
      <c r="H75" s="43"/>
    </row>
    <row r="76" spans="1:8" hidden="1" x14ac:dyDescent="0.2">
      <c r="A76" s="84" t="s">
        <v>668</v>
      </c>
      <c r="B76" s="84" t="s">
        <v>677</v>
      </c>
      <c r="C76" s="84">
        <v>2024</v>
      </c>
      <c r="D76" s="84" t="s">
        <v>27</v>
      </c>
      <c r="E76" s="84">
        <v>47.450177314000001</v>
      </c>
      <c r="F76" s="43"/>
      <c r="G76" s="43"/>
      <c r="H76" s="43"/>
    </row>
    <row r="77" spans="1:8" hidden="1" x14ac:dyDescent="0.2">
      <c r="A77" s="84" t="s">
        <v>668</v>
      </c>
      <c r="B77" s="84" t="s">
        <v>677</v>
      </c>
      <c r="C77" s="84">
        <v>2024</v>
      </c>
      <c r="D77" s="84" t="s">
        <v>16</v>
      </c>
      <c r="E77" s="84">
        <v>44.943820225000003</v>
      </c>
      <c r="F77" s="43"/>
      <c r="G77" s="43"/>
      <c r="H77" s="43"/>
    </row>
    <row r="78" spans="1:8" hidden="1" x14ac:dyDescent="0.2">
      <c r="A78" s="84" t="s">
        <v>668</v>
      </c>
      <c r="B78" s="84" t="s">
        <v>677</v>
      </c>
      <c r="C78" s="84">
        <v>2024</v>
      </c>
      <c r="D78" s="84" t="s">
        <v>17</v>
      </c>
      <c r="E78" s="84">
        <v>48.338368580000001</v>
      </c>
      <c r="F78" s="43"/>
      <c r="G78" s="43"/>
      <c r="H78" s="43"/>
    </row>
    <row r="79" spans="1:8" hidden="1" x14ac:dyDescent="0.2">
      <c r="A79" s="84" t="s">
        <v>668</v>
      </c>
      <c r="B79" s="84" t="s">
        <v>677</v>
      </c>
      <c r="C79" s="84">
        <v>2024</v>
      </c>
      <c r="D79" s="84" t="s">
        <v>18</v>
      </c>
      <c r="E79" s="84">
        <v>44.001426109999997</v>
      </c>
      <c r="F79" s="43"/>
      <c r="G79" s="43"/>
      <c r="H79" s="43"/>
    </row>
    <row r="80" spans="1:8" hidden="1" x14ac:dyDescent="0.2">
      <c r="A80" s="84" t="s">
        <v>668</v>
      </c>
      <c r="B80" s="84" t="s">
        <v>677</v>
      </c>
      <c r="C80" s="84">
        <v>2024</v>
      </c>
      <c r="D80" s="84" t="s">
        <v>28</v>
      </c>
      <c r="E80" s="84">
        <v>49.884675213000001</v>
      </c>
      <c r="F80" s="43"/>
      <c r="G80" s="43"/>
      <c r="H80" s="43"/>
    </row>
    <row r="81" spans="1:8" hidden="1" x14ac:dyDescent="0.2">
      <c r="A81" s="84" t="s">
        <v>668</v>
      </c>
      <c r="B81" s="84" t="s">
        <v>677</v>
      </c>
      <c r="C81" s="84">
        <v>2024</v>
      </c>
      <c r="D81" s="84" t="s">
        <v>19</v>
      </c>
      <c r="E81" s="84">
        <v>47.336009068999999</v>
      </c>
      <c r="F81" s="43"/>
      <c r="G81" s="43"/>
      <c r="H81" s="43"/>
    </row>
    <row r="82" spans="1:8" x14ac:dyDescent="0.2">
      <c r="A82" s="84" t="s">
        <v>668</v>
      </c>
      <c r="B82" s="84" t="s">
        <v>677</v>
      </c>
      <c r="C82" s="84">
        <v>2024</v>
      </c>
      <c r="D82" s="84" t="s">
        <v>20</v>
      </c>
      <c r="E82" s="84">
        <v>46.489061397</v>
      </c>
      <c r="F82" s="43"/>
      <c r="G82" s="43"/>
      <c r="H82" s="43"/>
    </row>
    <row r="83" spans="1:8" x14ac:dyDescent="0.2">
      <c r="A83" s="84" t="s">
        <v>668</v>
      </c>
      <c r="B83" s="84" t="s">
        <v>677</v>
      </c>
      <c r="C83" s="84">
        <v>2024</v>
      </c>
      <c r="D83" s="84" t="s">
        <v>21</v>
      </c>
      <c r="E83" s="84">
        <v>62.724014337</v>
      </c>
      <c r="F83" s="43"/>
      <c r="G83" s="43"/>
      <c r="H83" s="43"/>
    </row>
    <row r="84" spans="1:8" x14ac:dyDescent="0.2">
      <c r="A84" s="84" t="s">
        <v>668</v>
      </c>
      <c r="B84" s="84" t="s">
        <v>677</v>
      </c>
      <c r="C84" s="84">
        <v>2024</v>
      </c>
      <c r="D84" s="84" t="s">
        <v>29</v>
      </c>
      <c r="E84" s="84">
        <v>56.149248325000002</v>
      </c>
      <c r="F84" s="43"/>
      <c r="G84" s="43"/>
      <c r="H84" s="43"/>
    </row>
    <row r="85" spans="1:8" x14ac:dyDescent="0.2">
      <c r="A85" s="43"/>
      <c r="B85" s="43"/>
      <c r="C85" s="43"/>
      <c r="D85" s="43"/>
      <c r="E85" s="43"/>
      <c r="F85" s="43"/>
      <c r="G85" s="43"/>
      <c r="H85" s="43"/>
    </row>
    <row r="86" spans="1:8" x14ac:dyDescent="0.2">
      <c r="A86" s="43"/>
      <c r="B86" s="43"/>
      <c r="C86" s="43"/>
      <c r="D86" s="43"/>
      <c r="E86" s="43"/>
      <c r="F86" s="43"/>
      <c r="G86" s="43"/>
      <c r="H86" s="43"/>
    </row>
    <row r="87" spans="1:8" x14ac:dyDescent="0.2">
      <c r="A87" s="43"/>
      <c r="B87" s="43"/>
      <c r="C87" s="43"/>
      <c r="D87" s="43"/>
      <c r="E87" s="43"/>
      <c r="F87" s="43"/>
      <c r="G87" s="43"/>
      <c r="H87" s="43"/>
    </row>
    <row r="88" spans="1:8" x14ac:dyDescent="0.2">
      <c r="A88" s="43"/>
      <c r="B88" s="43"/>
      <c r="C88" s="43"/>
      <c r="D88" s="43"/>
      <c r="E88" s="43"/>
      <c r="F88" s="43"/>
      <c r="G88" s="43"/>
      <c r="H88" s="43"/>
    </row>
    <row r="89" spans="1:8" x14ac:dyDescent="0.2">
      <c r="A89" s="43"/>
      <c r="B89" s="43"/>
      <c r="C89" s="43"/>
      <c r="D89" s="43"/>
      <c r="E89" s="43"/>
      <c r="F89" s="43"/>
      <c r="G89" s="43"/>
      <c r="H89" s="43"/>
    </row>
    <row r="90" spans="1:8" x14ac:dyDescent="0.2">
      <c r="A90" s="43"/>
      <c r="B90" s="43"/>
      <c r="C90" s="43"/>
      <c r="D90" s="43"/>
      <c r="E90" s="43"/>
      <c r="F90" s="43"/>
      <c r="G90" s="43"/>
      <c r="H90" s="43"/>
    </row>
    <row r="91" spans="1:8" x14ac:dyDescent="0.2">
      <c r="A91" s="43"/>
      <c r="B91" s="43"/>
      <c r="C91" s="43"/>
      <c r="D91" s="43"/>
      <c r="E91" s="43"/>
      <c r="F91" s="43"/>
      <c r="G91" s="43"/>
      <c r="H91" s="43"/>
    </row>
    <row r="92" spans="1:8" x14ac:dyDescent="0.2">
      <c r="A92" s="43"/>
      <c r="B92" s="43"/>
      <c r="C92" s="43"/>
      <c r="D92" s="43"/>
      <c r="E92" s="43"/>
      <c r="F92" s="43"/>
      <c r="G92" s="43"/>
      <c r="H92" s="43"/>
    </row>
    <row r="93" spans="1:8" x14ac:dyDescent="0.2">
      <c r="A93" s="43"/>
      <c r="B93" s="43"/>
      <c r="C93" s="43"/>
      <c r="D93" s="43"/>
      <c r="E93" s="43"/>
      <c r="F93" s="43"/>
      <c r="G93" s="43"/>
      <c r="H93" s="43"/>
    </row>
    <row r="94" spans="1:8" x14ac:dyDescent="0.2">
      <c r="A94" s="43"/>
      <c r="B94" s="43"/>
      <c r="C94" s="43"/>
      <c r="D94" s="43"/>
      <c r="E94" s="43"/>
      <c r="F94" s="43"/>
      <c r="G94" s="43"/>
      <c r="H94" s="43"/>
    </row>
    <row r="95" spans="1:8" x14ac:dyDescent="0.2">
      <c r="A95" s="43"/>
      <c r="B95" s="43"/>
      <c r="C95" s="43"/>
      <c r="D95" s="43"/>
      <c r="E95" s="43"/>
      <c r="F95" s="43"/>
      <c r="G95" s="43"/>
      <c r="H95" s="43"/>
    </row>
    <row r="96" spans="1:8" x14ac:dyDescent="0.2">
      <c r="A96" s="43"/>
      <c r="B96" s="43"/>
      <c r="C96" s="43"/>
      <c r="D96" s="43"/>
      <c r="E96" s="43"/>
      <c r="F96" s="43"/>
      <c r="G96" s="43"/>
      <c r="H96" s="43"/>
    </row>
    <row r="97" spans="1:8" x14ac:dyDescent="0.2">
      <c r="A97" s="43"/>
      <c r="B97" s="43"/>
      <c r="C97" s="43"/>
      <c r="D97" s="43"/>
      <c r="E97" s="43"/>
      <c r="F97" s="43"/>
      <c r="G97" s="43"/>
      <c r="H97" s="43"/>
    </row>
    <row r="98" spans="1:8" x14ac:dyDescent="0.2">
      <c r="A98" s="43"/>
      <c r="B98" s="43"/>
      <c r="C98" s="43"/>
      <c r="D98" s="43"/>
      <c r="E98" s="43"/>
      <c r="F98" s="43"/>
      <c r="G98" s="43"/>
      <c r="H98" s="43"/>
    </row>
    <row r="99" spans="1:8" x14ac:dyDescent="0.2">
      <c r="A99" s="43"/>
      <c r="B99" s="43"/>
      <c r="C99" s="43"/>
      <c r="D99" s="43"/>
      <c r="E99" s="43"/>
      <c r="F99" s="43"/>
      <c r="G99" s="43"/>
      <c r="H99" s="43"/>
    </row>
    <row r="100" spans="1:8" x14ac:dyDescent="0.2">
      <c r="A100" s="43"/>
      <c r="B100" s="43"/>
      <c r="C100" s="43"/>
      <c r="D100" s="43"/>
      <c r="E100" s="43"/>
      <c r="F100" s="43"/>
      <c r="G100" s="43"/>
      <c r="H100" s="43"/>
    </row>
    <row r="101" spans="1:8" x14ac:dyDescent="0.2">
      <c r="A101" s="43"/>
      <c r="B101" s="43"/>
      <c r="C101" s="43"/>
      <c r="D101" s="43"/>
      <c r="E101" s="43"/>
      <c r="F101" s="43"/>
      <c r="G101" s="43"/>
      <c r="H101" s="43"/>
    </row>
  </sheetData>
  <phoneticPr fontId="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S19" sqref="S19"/>
    </sheetView>
  </sheetViews>
  <sheetFormatPr defaultColWidth="9" defaultRowHeight="18" x14ac:dyDescent="0.2"/>
  <cols>
    <col min="1" max="1" width="9" style="34"/>
    <col min="2" max="2" width="12.25" style="34" customWidth="1"/>
    <col min="3" max="3" width="10.875" style="34" customWidth="1"/>
    <col min="4" max="4" width="10.75" style="34" customWidth="1"/>
    <col min="5" max="5" width="10" style="34" customWidth="1"/>
    <col min="6" max="6" width="10.625" style="34" customWidth="1"/>
    <col min="7" max="9" width="13.25" style="34" customWidth="1"/>
    <col min="10" max="10" width="15.125" style="34" customWidth="1"/>
    <col min="11" max="11" width="11.875" style="34" customWidth="1"/>
    <col min="12" max="12" width="12.875" style="34" customWidth="1"/>
    <col min="13" max="16384" width="9" style="34"/>
  </cols>
  <sheetData>
    <row r="1" spans="1:12" x14ac:dyDescent="0.2">
      <c r="A1" s="114" t="s">
        <v>143</v>
      </c>
      <c r="B1" s="114"/>
      <c r="C1" s="114"/>
      <c r="D1" s="114"/>
      <c r="E1" s="35"/>
      <c r="F1" s="35"/>
      <c r="G1" s="35"/>
      <c r="H1" s="35"/>
      <c r="I1" s="38"/>
      <c r="J1" s="38"/>
      <c r="K1" s="38"/>
      <c r="L1" s="38"/>
    </row>
    <row r="2" spans="1:12" ht="16.5" customHeight="1" x14ac:dyDescent="0.2">
      <c r="A2" s="35" t="s">
        <v>129</v>
      </c>
      <c r="B2" s="41" t="s">
        <v>483</v>
      </c>
      <c r="C2" s="41" t="s">
        <v>484</v>
      </c>
      <c r="D2" s="41" t="s">
        <v>485</v>
      </c>
      <c r="E2" s="41" t="s">
        <v>486</v>
      </c>
      <c r="F2" s="41" t="s">
        <v>487</v>
      </c>
      <c r="G2" s="41" t="s">
        <v>488</v>
      </c>
      <c r="H2" s="45" t="s">
        <v>756</v>
      </c>
      <c r="I2" s="35" t="s">
        <v>498</v>
      </c>
      <c r="J2" s="41" t="s">
        <v>489</v>
      </c>
      <c r="K2" s="41" t="s">
        <v>490</v>
      </c>
      <c r="L2" s="35" t="s">
        <v>497</v>
      </c>
    </row>
    <row r="3" spans="1:12" ht="16.5" customHeight="1" x14ac:dyDescent="0.2">
      <c r="A3" s="36">
        <v>1</v>
      </c>
      <c r="B3" s="35" t="s">
        <v>577</v>
      </c>
      <c r="C3" s="41">
        <v>5341.27</v>
      </c>
      <c r="D3" s="41">
        <f>C7</f>
        <v>2014</v>
      </c>
      <c r="E3" s="41">
        <f>D3+60</f>
        <v>2074</v>
      </c>
      <c r="F3" s="41">
        <f>D3</f>
        <v>2014</v>
      </c>
      <c r="G3" s="41">
        <f>E3-F3</f>
        <v>60</v>
      </c>
      <c r="H3" s="41">
        <f>ROUND(I3*10000/C3,0)</f>
        <v>14821</v>
      </c>
      <c r="I3" s="41">
        <v>7916.1572999999999</v>
      </c>
      <c r="J3" s="41">
        <f>ROUND(I3/G3,2)</f>
        <v>131.94</v>
      </c>
      <c r="K3" s="41">
        <f>测算表!B30</f>
        <v>2.57</v>
      </c>
      <c r="L3" s="41">
        <f>ROUND(K3*C3*12/10000,2)</f>
        <v>16.47</v>
      </c>
    </row>
    <row r="6" spans="1:12" x14ac:dyDescent="0.2">
      <c r="B6" s="35" t="s">
        <v>130</v>
      </c>
      <c r="C6" s="35" t="s">
        <v>131</v>
      </c>
      <c r="D6" s="35" t="s">
        <v>147</v>
      </c>
      <c r="E6" s="35" t="s">
        <v>491</v>
      </c>
      <c r="F6" s="35" t="s">
        <v>148</v>
      </c>
    </row>
    <row r="7" spans="1:12" x14ac:dyDescent="0.2">
      <c r="B7" s="35" t="str">
        <f>B3</f>
        <v>众美光合原筑</v>
      </c>
      <c r="C7" s="35">
        <v>2014</v>
      </c>
      <c r="D7" s="35">
        <v>2024</v>
      </c>
      <c r="E7" s="35">
        <f>D7-C7</f>
        <v>10</v>
      </c>
      <c r="F7" s="42">
        <f>ROUND(1-E7/60,2)</f>
        <v>0.83</v>
      </c>
    </row>
  </sheetData>
  <mergeCells count="1">
    <mergeCell ref="A1:D1"/>
  </mergeCells>
  <phoneticPr fontId="16" type="noConversion"/>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abSelected="1" topLeftCell="B1" zoomScaleNormal="100" zoomScaleSheetLayoutView="100" workbookViewId="0">
      <selection activeCell="K10" sqref="K10"/>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31" t="s">
        <v>71</v>
      </c>
      <c r="B1" s="131"/>
      <c r="C1" s="131"/>
      <c r="D1" s="131"/>
      <c r="E1" s="131"/>
      <c r="F1" s="131"/>
      <c r="G1" s="131"/>
      <c r="H1" s="131"/>
      <c r="I1" s="47"/>
    </row>
    <row r="2" spans="1:11" x14ac:dyDescent="0.15">
      <c r="A2" s="12"/>
      <c r="B2" s="12"/>
      <c r="C2" s="12"/>
      <c r="D2" s="12"/>
      <c r="E2" s="12"/>
      <c r="F2" s="12"/>
      <c r="G2" s="12"/>
      <c r="H2" s="12"/>
      <c r="I2" s="12"/>
      <c r="J2" s="12"/>
    </row>
    <row r="3" spans="1:11" x14ac:dyDescent="0.2">
      <c r="A3" s="127" t="s">
        <v>70</v>
      </c>
      <c r="B3" s="126"/>
      <c r="C3" s="123" t="s">
        <v>69</v>
      </c>
      <c r="D3" s="123"/>
      <c r="E3" s="123" t="s">
        <v>68</v>
      </c>
      <c r="F3" s="123"/>
      <c r="G3" s="123" t="s">
        <v>67</v>
      </c>
      <c r="H3" s="123"/>
      <c r="I3" s="123" t="s">
        <v>66</v>
      </c>
      <c r="J3" s="123"/>
    </row>
    <row r="4" spans="1:11" x14ac:dyDescent="0.2">
      <c r="A4" s="123" t="s">
        <v>65</v>
      </c>
      <c r="B4" s="123"/>
      <c r="C4" s="130" t="s">
        <v>578</v>
      </c>
      <c r="D4" s="126"/>
      <c r="E4" s="125" t="str">
        <f>案例汇总!B3</f>
        <v>义和庄北里</v>
      </c>
      <c r="F4" s="126"/>
      <c r="G4" s="125" t="str">
        <f>案例汇总!B16</f>
        <v>锦华园</v>
      </c>
      <c r="H4" s="126"/>
      <c r="I4" s="125" t="str">
        <f>案例汇总!B29</f>
        <v>义和庄东里</v>
      </c>
      <c r="J4" s="126"/>
    </row>
    <row r="5" spans="1:11" ht="30" customHeight="1" x14ac:dyDescent="0.2">
      <c r="A5" s="123" t="s">
        <v>64</v>
      </c>
      <c r="B5" s="123"/>
      <c r="C5" s="127" t="s">
        <v>63</v>
      </c>
      <c r="D5" s="126"/>
      <c r="E5" s="128">
        <f>'案例汇总 -月'!K59</f>
        <v>43.73</v>
      </c>
      <c r="F5" s="129"/>
      <c r="G5" s="128">
        <f>'案例汇总 -月'!K60</f>
        <v>40.549999999999997</v>
      </c>
      <c r="H5" s="129"/>
      <c r="I5" s="128">
        <f>'案例汇总 -月'!K61</f>
        <v>38.36</v>
      </c>
      <c r="J5" s="129"/>
    </row>
    <row r="6" spans="1:11" x14ac:dyDescent="0.2">
      <c r="A6" s="123" t="s">
        <v>62</v>
      </c>
      <c r="B6" s="123"/>
      <c r="C6" s="11" t="s">
        <v>61</v>
      </c>
      <c r="D6" s="10">
        <v>100</v>
      </c>
      <c r="E6" s="11" t="s">
        <v>61</v>
      </c>
      <c r="F6" s="10">
        <v>100</v>
      </c>
      <c r="G6" s="11" t="s">
        <v>61</v>
      </c>
      <c r="H6" s="10">
        <v>100</v>
      </c>
      <c r="I6" s="11" t="s">
        <v>61</v>
      </c>
      <c r="J6" s="10">
        <v>100</v>
      </c>
    </row>
    <row r="7" spans="1:11" x14ac:dyDescent="0.2">
      <c r="A7" s="123" t="s">
        <v>60</v>
      </c>
      <c r="B7" s="123"/>
      <c r="C7" s="6" t="s">
        <v>59</v>
      </c>
      <c r="D7" s="6">
        <v>100</v>
      </c>
      <c r="E7" s="6" t="s">
        <v>59</v>
      </c>
      <c r="F7" s="6">
        <v>100</v>
      </c>
      <c r="G7" s="6" t="s">
        <v>59</v>
      </c>
      <c r="H7" s="6">
        <f>IF(G7=C7,100,"请调整")</f>
        <v>100</v>
      </c>
      <c r="I7" s="6" t="s">
        <v>59</v>
      </c>
      <c r="J7" s="6">
        <f>IF(I7=G7,100,"请调整")</f>
        <v>100</v>
      </c>
    </row>
    <row r="8" spans="1:11" ht="72" x14ac:dyDescent="0.2">
      <c r="A8" s="116" t="s">
        <v>58</v>
      </c>
      <c r="B8" s="5" t="s">
        <v>57</v>
      </c>
      <c r="C8" s="5" t="s">
        <v>683</v>
      </c>
      <c r="D8" s="6">
        <v>100</v>
      </c>
      <c r="E8" s="5" t="s">
        <v>684</v>
      </c>
      <c r="F8" s="6">
        <v>100</v>
      </c>
      <c r="G8" s="5" t="s">
        <v>685</v>
      </c>
      <c r="H8" s="6">
        <v>100</v>
      </c>
      <c r="I8" s="5" t="s">
        <v>686</v>
      </c>
      <c r="J8" s="6">
        <v>100</v>
      </c>
      <c r="K8" s="9">
        <v>3</v>
      </c>
    </row>
    <row r="9" spans="1:11" ht="120" x14ac:dyDescent="0.2">
      <c r="A9" s="117"/>
      <c r="B9" s="5" t="s">
        <v>56</v>
      </c>
      <c r="C9" s="5" t="s">
        <v>579</v>
      </c>
      <c r="D9" s="6">
        <v>100</v>
      </c>
      <c r="E9" s="5" t="s">
        <v>687</v>
      </c>
      <c r="F9" s="50">
        <f>D9+$K$9</f>
        <v>101</v>
      </c>
      <c r="G9" s="5" t="s">
        <v>688</v>
      </c>
      <c r="H9" s="50">
        <f>F9</f>
        <v>101</v>
      </c>
      <c r="I9" s="5" t="s">
        <v>687</v>
      </c>
      <c r="J9" s="50">
        <f>F9</f>
        <v>101</v>
      </c>
      <c r="K9" s="9">
        <v>1</v>
      </c>
    </row>
    <row r="10" spans="1:11" ht="48" x14ac:dyDescent="0.2">
      <c r="A10" s="117"/>
      <c r="B10" s="5" t="s">
        <v>55</v>
      </c>
      <c r="C10" s="5" t="s">
        <v>581</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117"/>
      <c r="B11" s="5" t="s">
        <v>54</v>
      </c>
      <c r="C11" s="5" t="s">
        <v>580</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118"/>
      <c r="B12" s="5" t="s">
        <v>53</v>
      </c>
      <c r="C12" s="5" t="s">
        <v>121</v>
      </c>
      <c r="D12" s="6">
        <v>100</v>
      </c>
      <c r="E12" s="6" t="s">
        <v>52</v>
      </c>
      <c r="F12" s="6">
        <v>100</v>
      </c>
      <c r="G12" s="6" t="s">
        <v>52</v>
      </c>
      <c r="H12" s="6">
        <v>100</v>
      </c>
      <c r="I12" s="6" t="s">
        <v>52</v>
      </c>
      <c r="J12" s="6">
        <v>100</v>
      </c>
      <c r="K12" s="4">
        <v>5</v>
      </c>
    </row>
    <row r="13" spans="1:11" ht="24" x14ac:dyDescent="0.2">
      <c r="A13" s="119" t="s">
        <v>51</v>
      </c>
      <c r="B13" s="5" t="s">
        <v>50</v>
      </c>
      <c r="C13" s="5" t="s">
        <v>122</v>
      </c>
      <c r="D13" s="6">
        <v>100</v>
      </c>
      <c r="E13" s="5" t="s">
        <v>776</v>
      </c>
      <c r="F13" s="50">
        <f>100-$K$13</f>
        <v>98.5</v>
      </c>
      <c r="G13" s="6" t="s">
        <v>49</v>
      </c>
      <c r="H13" s="6">
        <v>100</v>
      </c>
      <c r="I13" s="5" t="s">
        <v>776</v>
      </c>
      <c r="J13" s="50">
        <f>F13</f>
        <v>98.5</v>
      </c>
      <c r="K13" s="4">
        <v>1.5</v>
      </c>
    </row>
    <row r="14" spans="1:11" x14ac:dyDescent="0.2">
      <c r="A14" s="120"/>
      <c r="B14" s="5" t="s">
        <v>48</v>
      </c>
      <c r="C14" s="6" t="s">
        <v>47</v>
      </c>
      <c r="D14" s="6">
        <v>100</v>
      </c>
      <c r="E14" s="5" t="s">
        <v>89</v>
      </c>
      <c r="F14" s="6">
        <v>100</v>
      </c>
      <c r="G14" s="5" t="s">
        <v>90</v>
      </c>
      <c r="H14" s="8">
        <v>100</v>
      </c>
      <c r="I14" s="5" t="s">
        <v>46</v>
      </c>
      <c r="J14" s="6">
        <v>100</v>
      </c>
      <c r="K14" s="4">
        <v>5</v>
      </c>
    </row>
    <row r="15" spans="1:11" x14ac:dyDescent="0.2">
      <c r="A15" s="120"/>
      <c r="B15" s="6" t="s">
        <v>45</v>
      </c>
      <c r="C15" s="6" t="s">
        <v>44</v>
      </c>
      <c r="D15" s="6">
        <v>100</v>
      </c>
      <c r="E15" s="6" t="s">
        <v>44</v>
      </c>
      <c r="F15" s="6">
        <v>100</v>
      </c>
      <c r="G15" s="6" t="s">
        <v>44</v>
      </c>
      <c r="H15" s="6">
        <v>100</v>
      </c>
      <c r="I15" s="6" t="s">
        <v>44</v>
      </c>
      <c r="J15" s="6">
        <v>100</v>
      </c>
      <c r="K15" s="4">
        <v>1</v>
      </c>
    </row>
    <row r="16" spans="1:11" ht="48" x14ac:dyDescent="0.2">
      <c r="A16" s="120"/>
      <c r="B16" s="5" t="s">
        <v>43</v>
      </c>
      <c r="C16" s="49" t="s">
        <v>791</v>
      </c>
      <c r="D16" s="6">
        <v>100</v>
      </c>
      <c r="E16" s="49" t="s">
        <v>792</v>
      </c>
      <c r="F16" s="50">
        <f>D16-$K$16*2</f>
        <v>98</v>
      </c>
      <c r="G16" s="49" t="s">
        <v>793</v>
      </c>
      <c r="H16" s="50">
        <f>F16</f>
        <v>98</v>
      </c>
      <c r="I16" s="49" t="s">
        <v>793</v>
      </c>
      <c r="J16" s="50">
        <f>F16</f>
        <v>98</v>
      </c>
      <c r="K16" s="4">
        <v>1</v>
      </c>
    </row>
    <row r="17" spans="1:12" s="44" customFormat="1" ht="36" x14ac:dyDescent="0.2">
      <c r="A17" s="120"/>
      <c r="B17" s="59" t="s">
        <v>42</v>
      </c>
      <c r="C17" s="59" t="s">
        <v>582</v>
      </c>
      <c r="D17" s="8">
        <v>100</v>
      </c>
      <c r="E17" s="59" t="s">
        <v>576</v>
      </c>
      <c r="F17" s="50">
        <f>D17+K17</f>
        <v>101</v>
      </c>
      <c r="G17" s="59" t="s">
        <v>576</v>
      </c>
      <c r="H17" s="50">
        <f>F17</f>
        <v>101</v>
      </c>
      <c r="I17" s="59" t="s">
        <v>576</v>
      </c>
      <c r="J17" s="50">
        <f>F17</f>
        <v>101</v>
      </c>
      <c r="K17" s="51">
        <v>1</v>
      </c>
    </row>
    <row r="18" spans="1:12" s="44" customFormat="1" x14ac:dyDescent="0.2">
      <c r="A18" s="120"/>
      <c r="B18" s="59" t="s">
        <v>760</v>
      </c>
      <c r="C18" s="105">
        <f>C47</f>
        <v>0.88</v>
      </c>
      <c r="D18" s="8">
        <v>100</v>
      </c>
      <c r="E18" s="105">
        <f>E47</f>
        <v>0.69</v>
      </c>
      <c r="F18" s="50">
        <f>H41</f>
        <v>96</v>
      </c>
      <c r="G18" s="105">
        <f>G47</f>
        <v>0.8</v>
      </c>
      <c r="H18" s="50">
        <f>G41</f>
        <v>98</v>
      </c>
      <c r="I18" s="105">
        <f>I47</f>
        <v>0.69</v>
      </c>
      <c r="J18" s="50">
        <f>F18</f>
        <v>96</v>
      </c>
      <c r="K18" s="51">
        <v>2</v>
      </c>
    </row>
    <row r="19" spans="1:12" x14ac:dyDescent="0.2">
      <c r="A19" s="120"/>
      <c r="B19" s="59" t="s">
        <v>85</v>
      </c>
      <c r="C19" s="59" t="s">
        <v>583</v>
      </c>
      <c r="D19" s="8">
        <v>100</v>
      </c>
      <c r="E19" s="59" t="s">
        <v>583</v>
      </c>
      <c r="F19" s="6">
        <v>100</v>
      </c>
      <c r="G19" s="59" t="s">
        <v>583</v>
      </c>
      <c r="H19" s="6">
        <v>100</v>
      </c>
      <c r="I19" s="59" t="s">
        <v>583</v>
      </c>
      <c r="J19" s="6">
        <v>100</v>
      </c>
      <c r="K19" s="51">
        <v>1</v>
      </c>
    </row>
    <row r="20" spans="1:12" x14ac:dyDescent="0.2">
      <c r="A20" s="120"/>
      <c r="B20" s="59" t="s">
        <v>91</v>
      </c>
      <c r="C20" s="59" t="s">
        <v>584</v>
      </c>
      <c r="D20" s="8">
        <v>100</v>
      </c>
      <c r="E20" s="59" t="s">
        <v>712</v>
      </c>
      <c r="F20" s="50">
        <f>100-K20</f>
        <v>97</v>
      </c>
      <c r="G20" s="59" t="s">
        <v>712</v>
      </c>
      <c r="H20" s="50">
        <f>F20</f>
        <v>97</v>
      </c>
      <c r="I20" s="59" t="s">
        <v>712</v>
      </c>
      <c r="J20" s="50">
        <f>F20</f>
        <v>97</v>
      </c>
      <c r="K20" s="51">
        <v>3</v>
      </c>
    </row>
    <row r="21" spans="1:12" x14ac:dyDescent="0.2">
      <c r="A21" s="120"/>
      <c r="B21" s="59" t="s">
        <v>41</v>
      </c>
      <c r="C21" s="59" t="s">
        <v>40</v>
      </c>
      <c r="D21" s="8">
        <v>100</v>
      </c>
      <c r="E21" s="59" t="s">
        <v>40</v>
      </c>
      <c r="F21" s="6">
        <v>100</v>
      </c>
      <c r="G21" s="59" t="s">
        <v>40</v>
      </c>
      <c r="H21" s="6">
        <v>100</v>
      </c>
      <c r="I21" s="59" t="s">
        <v>40</v>
      </c>
      <c r="J21" s="6">
        <v>100</v>
      </c>
      <c r="K21" s="4">
        <v>1</v>
      </c>
    </row>
    <row r="22" spans="1:12" x14ac:dyDescent="0.2">
      <c r="A22" s="120"/>
      <c r="B22" s="59" t="s">
        <v>125</v>
      </c>
      <c r="C22" s="59" t="s">
        <v>714</v>
      </c>
      <c r="D22" s="8">
        <v>100</v>
      </c>
      <c r="E22" s="59" t="s">
        <v>713</v>
      </c>
      <c r="F22" s="50">
        <f>H39</f>
        <v>97</v>
      </c>
      <c r="G22" s="59" t="s">
        <v>711</v>
      </c>
      <c r="H22" s="50">
        <f>I39</f>
        <v>95.5</v>
      </c>
      <c r="I22" s="59" t="s">
        <v>711</v>
      </c>
      <c r="J22" s="50">
        <f>H22</f>
        <v>95.5</v>
      </c>
      <c r="K22" s="4">
        <v>1.5</v>
      </c>
    </row>
    <row r="23" spans="1:12" ht="24" x14ac:dyDescent="0.2">
      <c r="A23" s="120"/>
      <c r="B23" s="5" t="s">
        <v>39</v>
      </c>
      <c r="C23" s="5" t="s">
        <v>719</v>
      </c>
      <c r="D23" s="6">
        <v>100</v>
      </c>
      <c r="E23" s="5" t="s">
        <v>719</v>
      </c>
      <c r="F23" s="6">
        <v>100</v>
      </c>
      <c r="G23" s="5" t="s">
        <v>719</v>
      </c>
      <c r="H23" s="6">
        <f>F23</f>
        <v>100</v>
      </c>
      <c r="I23" s="5" t="s">
        <v>719</v>
      </c>
      <c r="J23" s="6">
        <f>F23</f>
        <v>100</v>
      </c>
      <c r="K23" s="4">
        <v>1</v>
      </c>
    </row>
    <row r="24" spans="1:12" ht="36" x14ac:dyDescent="0.2">
      <c r="A24" s="120"/>
      <c r="B24" s="5" t="s">
        <v>38</v>
      </c>
      <c r="C24" s="5" t="s">
        <v>123</v>
      </c>
      <c r="D24" s="6">
        <v>100</v>
      </c>
      <c r="E24" s="5" t="s">
        <v>124</v>
      </c>
      <c r="F24" s="50">
        <f>D24+$K$24*2</f>
        <v>102</v>
      </c>
      <c r="G24" s="5" t="str">
        <f>E24</f>
        <v>使用品牌家具、家电；虽然使用较长时间，但功能正常，一般</v>
      </c>
      <c r="H24" s="50">
        <f>F24</f>
        <v>102</v>
      </c>
      <c r="I24" s="5" t="str">
        <f>G24</f>
        <v>使用品牌家具、家电；虽然使用较长时间，但功能正常，一般</v>
      </c>
      <c r="J24" s="50">
        <f>F24</f>
        <v>102</v>
      </c>
      <c r="K24" s="4">
        <v>1</v>
      </c>
    </row>
    <row r="25" spans="1:12" x14ac:dyDescent="0.2">
      <c r="A25" s="122" t="s">
        <v>37</v>
      </c>
      <c r="B25" s="122"/>
      <c r="C25" s="123" t="s">
        <v>35</v>
      </c>
      <c r="D25" s="123"/>
      <c r="E25" s="121">
        <f>E5</f>
        <v>43.73</v>
      </c>
      <c r="F25" s="121"/>
      <c r="G25" s="121">
        <f>G5</f>
        <v>40.549999999999997</v>
      </c>
      <c r="H25" s="121"/>
      <c r="I25" s="121">
        <f>I5</f>
        <v>38.36</v>
      </c>
      <c r="J25" s="121"/>
    </row>
    <row r="26" spans="1:12" x14ac:dyDescent="0.2">
      <c r="A26" s="122" t="s">
        <v>36</v>
      </c>
      <c r="B26" s="122"/>
      <c r="C26" s="123" t="s">
        <v>35</v>
      </c>
      <c r="D26" s="123"/>
      <c r="E26" s="124">
        <f>ROUND(E25*POWER(100,COUNT(F6:F24))/PRODUCT(F6:F24),2)</f>
        <v>48.2</v>
      </c>
      <c r="F26" s="124"/>
      <c r="G26" s="124">
        <f>ROUND(G25*POWER(100,COUNT(H6:H24))/PRODUCT(H6:H24),2)</f>
        <v>43.8</v>
      </c>
      <c r="H26" s="124"/>
      <c r="I26" s="124">
        <f>ROUND(I25*POWER(100,COUNT(J6:J24))/PRODUCT(J6:J24),2)</f>
        <v>42.95</v>
      </c>
      <c r="J26" s="124"/>
      <c r="L26" s="56">
        <f>E26-I26</f>
        <v>5.25</v>
      </c>
    </row>
    <row r="27" spans="1:12" x14ac:dyDescent="0.2">
      <c r="A27" s="115" t="str">
        <f>CONCATENATE("估价对象比较价值=(",TEXT(E26,"G/通用格式"),"+",TEXT(G26,"G/通用格式"),"+",TEXT(I26,"G/通用格式"),")","/",3,"=",ROUND((E26+G26+I26)/3,2))</f>
        <v>估价对象比较价值=(48.2+43.8+42.95)/3=44.98</v>
      </c>
      <c r="B27" s="115"/>
      <c r="C27" s="115"/>
      <c r="D27" s="115"/>
      <c r="E27" s="115"/>
      <c r="F27" s="115"/>
      <c r="G27" s="115"/>
      <c r="H27" s="115"/>
      <c r="I27" s="3"/>
      <c r="J27" s="3"/>
      <c r="L27" s="2">
        <f>L26/I26</f>
        <v>0.12223515715948777</v>
      </c>
    </row>
    <row r="28" spans="1:12" x14ac:dyDescent="0.2">
      <c r="E28" s="113">
        <f>ROUND(POWER(100,COUNT(F6:F24))/PRODUCT(F6:F24),4)</f>
        <v>1.1022000000000001</v>
      </c>
      <c r="G28" s="2">
        <f>ROUND(POWER(100,COUNT(H6:H24))/PRODUCT(H6:H24),4)</f>
        <v>1.0803</v>
      </c>
      <c r="I28" s="2">
        <f>ROUND(POWER(100,COUNT(J6:J24))/PRODUCT(J6:J24),4)</f>
        <v>1.1195999999999999</v>
      </c>
    </row>
    <row r="29" spans="1:12" x14ac:dyDescent="0.2">
      <c r="B29" s="52" t="s">
        <v>720</v>
      </c>
      <c r="C29" s="52">
        <f>ROUND((E26+G26+I26)/3,2)</f>
        <v>44.98</v>
      </c>
      <c r="E29" s="2">
        <f>ROUND(E26/E25,4)</f>
        <v>1.1022000000000001</v>
      </c>
      <c r="G29" s="2">
        <f>ROUND(G26/G25,4)</f>
        <v>1.0801000000000001</v>
      </c>
      <c r="I29" s="2">
        <f>ROUND(I26/I25,4)</f>
        <v>1.1196999999999999</v>
      </c>
    </row>
    <row r="30" spans="1:12" x14ac:dyDescent="0.2">
      <c r="B30" s="52">
        <v>2.57</v>
      </c>
      <c r="C30" s="106">
        <f>C29+B30</f>
        <v>47.55</v>
      </c>
    </row>
    <row r="31" spans="1:12" x14ac:dyDescent="0.2">
      <c r="C31" s="106" t="s">
        <v>774</v>
      </c>
      <c r="E31" s="2">
        <f>E25*E29</f>
        <v>48.199205999999997</v>
      </c>
      <c r="G31" s="2">
        <f>G25*G29</f>
        <v>43.798054999999998</v>
      </c>
      <c r="I31" s="2">
        <f>I25*I29</f>
        <v>42.951691999999994</v>
      </c>
    </row>
    <row r="33" spans="2:10" x14ac:dyDescent="0.2">
      <c r="E33" s="2">
        <f>(100^18)/PRODUCT(F6:F24)</f>
        <v>1.1022499122155064E-2</v>
      </c>
      <c r="G33" s="2">
        <f>(100^18)/PRODUCT(H6:H24)</f>
        <v>1.0802638011339388E-2</v>
      </c>
      <c r="I33" s="2">
        <f>(100^18)/PRODUCT(J6:J24)</f>
        <v>1.1195627380618233E-2</v>
      </c>
    </row>
    <row r="38" spans="2:10" x14ac:dyDescent="0.2">
      <c r="C38" s="2" t="s">
        <v>767</v>
      </c>
      <c r="E38" s="7" t="s">
        <v>715</v>
      </c>
      <c r="F38" s="7" t="s">
        <v>714</v>
      </c>
      <c r="G38" s="7" t="s">
        <v>716</v>
      </c>
      <c r="H38" s="7" t="s">
        <v>717</v>
      </c>
      <c r="I38" s="7" t="s">
        <v>711</v>
      </c>
      <c r="J38" s="7" t="s">
        <v>718</v>
      </c>
    </row>
    <row r="39" spans="2:10" x14ac:dyDescent="0.2">
      <c r="E39" s="7">
        <f>F39+K21</f>
        <v>101</v>
      </c>
      <c r="F39" s="7">
        <v>100</v>
      </c>
      <c r="G39" s="7">
        <f>F39-$K$22</f>
        <v>98.5</v>
      </c>
      <c r="H39" s="7">
        <f t="shared" ref="H39:J39" si="0">G39-$K$22</f>
        <v>97</v>
      </c>
      <c r="I39" s="7">
        <f t="shared" si="0"/>
        <v>95.5</v>
      </c>
      <c r="J39" s="7">
        <f t="shared" si="0"/>
        <v>94</v>
      </c>
    </row>
    <row r="40" spans="2:10" x14ac:dyDescent="0.2">
      <c r="C40" s="2" t="s">
        <v>768</v>
      </c>
      <c r="E40" s="7" t="s">
        <v>773</v>
      </c>
      <c r="F40" s="7" t="s">
        <v>769</v>
      </c>
      <c r="G40" s="7" t="s">
        <v>770</v>
      </c>
      <c r="H40" s="2" t="s">
        <v>771</v>
      </c>
      <c r="I40" s="2" t="s">
        <v>772</v>
      </c>
    </row>
    <row r="41" spans="2:10" x14ac:dyDescent="0.2">
      <c r="E41" s="7">
        <f>F41+K18</f>
        <v>102</v>
      </c>
      <c r="F41" s="7">
        <v>100</v>
      </c>
      <c r="G41" s="7">
        <f>F41-$K$18</f>
        <v>98</v>
      </c>
      <c r="H41" s="7">
        <f t="shared" ref="H41:I41" si="1">G41-$K$18</f>
        <v>96</v>
      </c>
      <c r="I41" s="7">
        <f t="shared" si="1"/>
        <v>94</v>
      </c>
      <c r="J41" s="7"/>
    </row>
    <row r="44" spans="2:10" x14ac:dyDescent="0.2">
      <c r="B44" s="2" t="s">
        <v>760</v>
      </c>
      <c r="C44" s="2" t="s">
        <v>761</v>
      </c>
      <c r="E44" s="2" t="s">
        <v>762</v>
      </c>
      <c r="G44" s="2" t="s">
        <v>763</v>
      </c>
      <c r="I44" s="2" t="s">
        <v>764</v>
      </c>
    </row>
    <row r="45" spans="2:10" x14ac:dyDescent="0.2">
      <c r="B45" s="2" t="s">
        <v>765</v>
      </c>
      <c r="C45" s="103">
        <f>项目信息!F7</f>
        <v>0.83</v>
      </c>
      <c r="E45" s="103">
        <f>ROUND((1-(2024-1996)/50)*0.98,2)</f>
        <v>0.43</v>
      </c>
      <c r="G45" s="103">
        <f>ROUND((1-(2024-2005)/60),2)</f>
        <v>0.68</v>
      </c>
      <c r="I45" s="103">
        <f>ROUND((1-(2024-1996)/50)*0.98,2)</f>
        <v>0.43</v>
      </c>
    </row>
    <row r="46" spans="2:10" x14ac:dyDescent="0.2">
      <c r="B46" s="2" t="s">
        <v>766</v>
      </c>
      <c r="C46" s="103">
        <v>0.9</v>
      </c>
      <c r="E46" s="103">
        <v>0.8</v>
      </c>
      <c r="G46" s="103">
        <v>0.85</v>
      </c>
      <c r="I46" s="103">
        <v>0.8</v>
      </c>
    </row>
    <row r="47" spans="2:10" x14ac:dyDescent="0.2">
      <c r="C47" s="104">
        <f>ROUND(C45*0.3+C46*0.7,2)</f>
        <v>0.88</v>
      </c>
      <c r="E47" s="104">
        <f>ROUND(E45*0.3+E46*0.7,2)</f>
        <v>0.69</v>
      </c>
      <c r="G47" s="104">
        <f>ROUND(G45*0.3+G46*0.7,2)</f>
        <v>0.8</v>
      </c>
      <c r="I47" s="104">
        <f>ROUND(I45*0.3+I46*0.7,2)</f>
        <v>0.69</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5:B25"/>
    <mergeCell ref="C25:D25"/>
    <mergeCell ref="E25:F25"/>
    <mergeCell ref="A27:H27"/>
    <mergeCell ref="A8:A12"/>
    <mergeCell ref="A13:A24"/>
    <mergeCell ref="I25:J25"/>
    <mergeCell ref="A26:B26"/>
    <mergeCell ref="C26:D26"/>
    <mergeCell ref="E26:F26"/>
    <mergeCell ref="G26:H26"/>
    <mergeCell ref="I26:J26"/>
    <mergeCell ref="G25:H25"/>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E2" sqref="E2"/>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126</v>
      </c>
      <c r="C1" s="32" t="s">
        <v>127</v>
      </c>
      <c r="D1" s="32" t="s">
        <v>128</v>
      </c>
    </row>
    <row r="2" spans="1:9" ht="62.25" x14ac:dyDescent="0.2">
      <c r="A2" s="33">
        <v>1</v>
      </c>
      <c r="B2" s="32" t="s">
        <v>133</v>
      </c>
      <c r="C2" s="39">
        <f>ROUND(E2/60,2)</f>
        <v>131.94</v>
      </c>
      <c r="D2" s="32" t="s">
        <v>781</v>
      </c>
      <c r="E2" s="2">
        <f>项目信息!I3</f>
        <v>7916.1572999999999</v>
      </c>
      <c r="F2" s="18"/>
    </row>
    <row r="3" spans="1:9" x14ac:dyDescent="0.2">
      <c r="A3" s="33">
        <v>2</v>
      </c>
      <c r="B3" s="32" t="s">
        <v>134</v>
      </c>
      <c r="C3" s="33">
        <f>C4+C5+C6</f>
        <v>26.08</v>
      </c>
      <c r="D3" s="32" t="s">
        <v>782</v>
      </c>
    </row>
    <row r="4" spans="1:9" ht="38.25" x14ac:dyDescent="0.2">
      <c r="A4" s="33">
        <v>2.1</v>
      </c>
      <c r="B4" s="32" t="s">
        <v>135</v>
      </c>
      <c r="C4" s="39">
        <f>F4</f>
        <v>9.61</v>
      </c>
      <c r="D4" s="32" t="s">
        <v>783</v>
      </c>
      <c r="E4" s="2">
        <f>I13</f>
        <v>5341.27</v>
      </c>
      <c r="F4" s="2">
        <f>ROUND(E4*1.5*12/10000,2)</f>
        <v>9.61</v>
      </c>
    </row>
    <row r="5" spans="1:9" ht="48" x14ac:dyDescent="0.2">
      <c r="A5" s="33">
        <v>2.2000000000000002</v>
      </c>
      <c r="B5" s="32" t="s">
        <v>136</v>
      </c>
      <c r="C5" s="97">
        <v>0</v>
      </c>
      <c r="D5" s="32" t="s">
        <v>784</v>
      </c>
      <c r="E5" s="98"/>
      <c r="F5" s="99">
        <v>1E-3</v>
      </c>
    </row>
    <row r="6" spans="1:9" ht="49.5" x14ac:dyDescent="0.2">
      <c r="A6" s="33">
        <v>2.2999999999999998</v>
      </c>
      <c r="B6" s="32" t="s">
        <v>137</v>
      </c>
      <c r="C6" s="33">
        <f>项目信息!L3</f>
        <v>16.47</v>
      </c>
      <c r="D6" s="32" t="s">
        <v>785</v>
      </c>
      <c r="E6" s="2" t="s">
        <v>144</v>
      </c>
    </row>
    <row r="7" spans="1:9" x14ac:dyDescent="0.2">
      <c r="A7" s="33">
        <v>3</v>
      </c>
      <c r="B7" s="32" t="s">
        <v>138</v>
      </c>
      <c r="C7" s="33">
        <f>C8+C9+C10</f>
        <v>19.02</v>
      </c>
      <c r="D7" s="32" t="s">
        <v>786</v>
      </c>
    </row>
    <row r="8" spans="1:9" ht="24.75" x14ac:dyDescent="0.2">
      <c r="A8" s="33">
        <v>3.1</v>
      </c>
      <c r="B8" s="32" t="s">
        <v>139</v>
      </c>
      <c r="C8" s="33">
        <f>E8</f>
        <v>15.06</v>
      </c>
      <c r="D8" s="32" t="s">
        <v>790</v>
      </c>
      <c r="E8" s="2">
        <f>ROUND(测算表!C30*12*I14*5%/10000,2)</f>
        <v>15.06</v>
      </c>
      <c r="F8" s="2">
        <f>测算表!C30</f>
        <v>47.55</v>
      </c>
    </row>
    <row r="9" spans="1:9" ht="57" x14ac:dyDescent="0.2">
      <c r="A9" s="33">
        <v>3.2</v>
      </c>
      <c r="B9" s="32" t="s">
        <v>140</v>
      </c>
      <c r="C9" s="33">
        <v>0</v>
      </c>
      <c r="D9" s="32" t="s">
        <v>787</v>
      </c>
      <c r="G9" s="100" t="s">
        <v>146</v>
      </c>
    </row>
    <row r="10" spans="1:9" ht="57" x14ac:dyDescent="0.2">
      <c r="A10" s="33">
        <v>3.3</v>
      </c>
      <c r="B10" s="32" t="s">
        <v>141</v>
      </c>
      <c r="C10" s="33">
        <f>ROUND(C2*3%,2)</f>
        <v>3.96</v>
      </c>
      <c r="D10" s="32" t="s">
        <v>788</v>
      </c>
      <c r="E10" s="100" t="s">
        <v>145</v>
      </c>
    </row>
    <row r="11" spans="1:9" ht="20.25" customHeight="1" x14ac:dyDescent="0.2">
      <c r="A11" s="33">
        <v>4</v>
      </c>
      <c r="B11" s="32" t="s">
        <v>142</v>
      </c>
      <c r="C11" s="39">
        <f>C2+C3+C7</f>
        <v>177.04</v>
      </c>
      <c r="D11" s="32" t="s">
        <v>789</v>
      </c>
    </row>
    <row r="12" spans="1:9" ht="25.5" x14ac:dyDescent="0.2">
      <c r="A12" s="33">
        <v>5</v>
      </c>
      <c r="B12" s="32" t="s">
        <v>132</v>
      </c>
      <c r="C12" s="33">
        <f>ROUND(C11*10000/I14/12,0)</f>
        <v>28</v>
      </c>
      <c r="D12" s="32" t="s">
        <v>780</v>
      </c>
    </row>
    <row r="13" spans="1:9" x14ac:dyDescent="0.2">
      <c r="H13" s="101" t="s">
        <v>757</v>
      </c>
      <c r="I13" s="102">
        <v>5341.27</v>
      </c>
    </row>
    <row r="14" spans="1:9" x14ac:dyDescent="0.2">
      <c r="H14" s="101" t="s">
        <v>758</v>
      </c>
      <c r="I14" s="102">
        <v>5277.65</v>
      </c>
    </row>
    <row r="15" spans="1:9" x14ac:dyDescent="0.2">
      <c r="H15" s="101" t="s">
        <v>759</v>
      </c>
      <c r="I15" s="102">
        <v>63.62</v>
      </c>
    </row>
    <row r="16" spans="1:9" x14ac:dyDescent="0.2">
      <c r="H16" s="60"/>
    </row>
    <row r="20" spans="4:4" x14ac:dyDescent="0.2">
      <c r="D20" s="2" t="s">
        <v>572</v>
      </c>
    </row>
  </sheetData>
  <phoneticPr fontId="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8"/>
  <sheetViews>
    <sheetView topLeftCell="H1" workbookViewId="0">
      <selection activeCell="T14" sqref="T14"/>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2" t="s">
        <v>78</v>
      </c>
      <c r="B1" s="132"/>
      <c r="C1" s="132"/>
      <c r="D1" s="132"/>
      <c r="E1" s="132"/>
      <c r="F1" s="132"/>
      <c r="H1" s="132" t="s">
        <v>79</v>
      </c>
      <c r="I1" s="132"/>
      <c r="J1" s="132"/>
      <c r="K1" s="132"/>
      <c r="L1" s="132"/>
      <c r="M1" s="132"/>
      <c r="O1" s="132" t="s">
        <v>562</v>
      </c>
      <c r="P1" s="132"/>
      <c r="Q1" s="132"/>
      <c r="R1" s="132"/>
      <c r="S1" s="132"/>
      <c r="T1" s="132"/>
    </row>
    <row r="2" spans="1:20" x14ac:dyDescent="0.2">
      <c r="A2" s="14" t="s">
        <v>34</v>
      </c>
      <c r="B2" s="14" t="s">
        <v>8</v>
      </c>
      <c r="C2" s="14" t="s">
        <v>75</v>
      </c>
      <c r="D2" s="15" t="s">
        <v>74</v>
      </c>
      <c r="E2" s="14" t="s">
        <v>73</v>
      </c>
      <c r="F2" s="14" t="s">
        <v>76</v>
      </c>
      <c r="H2" s="14" t="s">
        <v>34</v>
      </c>
      <c r="I2" s="14" t="s">
        <v>8</v>
      </c>
      <c r="J2" s="14" t="s">
        <v>75</v>
      </c>
      <c r="K2" s="15" t="s">
        <v>74</v>
      </c>
      <c r="L2" s="14" t="s">
        <v>73</v>
      </c>
      <c r="M2" s="14" t="s">
        <v>76</v>
      </c>
      <c r="O2" s="14" t="s">
        <v>34</v>
      </c>
      <c r="P2" s="14" t="s">
        <v>8</v>
      </c>
      <c r="Q2" s="14" t="s">
        <v>75</v>
      </c>
      <c r="R2" s="15" t="s">
        <v>74</v>
      </c>
      <c r="S2" s="14" t="s">
        <v>73</v>
      </c>
      <c r="T2" s="14" t="s">
        <v>76</v>
      </c>
    </row>
    <row r="3" spans="1:20" x14ac:dyDescent="0.2">
      <c r="A3" s="57"/>
      <c r="B3" s="144" t="str">
        <f>'城研数据 整理'!B2</f>
        <v>义和庄北里</v>
      </c>
      <c r="C3" s="133" t="s">
        <v>559</v>
      </c>
      <c r="D3" s="15" t="s">
        <v>694</v>
      </c>
      <c r="E3" s="14" t="s">
        <v>707</v>
      </c>
      <c r="F3" s="133">
        <f>ROUND(AVERAGE(E3:E4),2)</f>
        <v>43.64</v>
      </c>
      <c r="H3" s="139">
        <v>1</v>
      </c>
      <c r="I3" s="144" t="str">
        <f>B3</f>
        <v>义和庄北里</v>
      </c>
      <c r="J3" s="133" t="s">
        <v>559</v>
      </c>
      <c r="K3" s="15" t="s">
        <v>694</v>
      </c>
      <c r="L3" s="14">
        <f>贝壳案例!T2</f>
        <v>51.99</v>
      </c>
      <c r="M3" s="133">
        <f>ROUND(AVERAGE(L3:L4),2)</f>
        <v>51.99</v>
      </c>
      <c r="O3" s="139">
        <v>1</v>
      </c>
      <c r="P3" s="144" t="str">
        <f>B3</f>
        <v>义和庄北里</v>
      </c>
      <c r="Q3" s="133" t="s">
        <v>559</v>
      </c>
      <c r="R3" s="15" t="s">
        <v>694</v>
      </c>
      <c r="S3" s="14">
        <f>中指数据!F13</f>
        <v>48.9</v>
      </c>
      <c r="T3" s="133">
        <f>ROUND(AVERAGE(S3:S4),2)</f>
        <v>48.39</v>
      </c>
    </row>
    <row r="4" spans="1:20" ht="14.25" customHeight="1" x14ac:dyDescent="0.2">
      <c r="A4" s="139">
        <v>1</v>
      </c>
      <c r="B4" s="145"/>
      <c r="C4" s="134"/>
      <c r="D4" s="15" t="s">
        <v>695</v>
      </c>
      <c r="E4" s="14">
        <f>'城研数据 整理'!F12</f>
        <v>43.64</v>
      </c>
      <c r="F4" s="134"/>
      <c r="H4" s="143"/>
      <c r="I4" s="145" t="str">
        <f>B3</f>
        <v>义和庄北里</v>
      </c>
      <c r="J4" s="134"/>
      <c r="K4" s="15" t="s">
        <v>695</v>
      </c>
      <c r="L4" s="14" t="str">
        <f>贝壳案例!T3</f>
        <v>-</v>
      </c>
      <c r="M4" s="134"/>
      <c r="O4" s="143"/>
      <c r="P4" s="145" t="str">
        <f>B3</f>
        <v>义和庄北里</v>
      </c>
      <c r="Q4" s="134"/>
      <c r="R4" s="15" t="s">
        <v>695</v>
      </c>
      <c r="S4" s="14">
        <f>中指数据!F14</f>
        <v>47.87</v>
      </c>
      <c r="T4" s="134"/>
    </row>
    <row r="5" spans="1:20" ht="14.25" customHeight="1" x14ac:dyDescent="0.2">
      <c r="A5" s="143"/>
      <c r="B5" s="145"/>
      <c r="C5" s="132" t="s">
        <v>693</v>
      </c>
      <c r="D5" s="15" t="s">
        <v>696</v>
      </c>
      <c r="E5" s="14">
        <f>'城研数据 整理'!F11</f>
        <v>41.97</v>
      </c>
      <c r="F5" s="146">
        <f>ROUND(AVERAGE(E5:E7),2)</f>
        <v>45.39</v>
      </c>
      <c r="H5" s="143"/>
      <c r="I5" s="145"/>
      <c r="J5" s="132" t="s">
        <v>693</v>
      </c>
      <c r="K5" s="15" t="s">
        <v>696</v>
      </c>
      <c r="L5" s="14">
        <f>贝壳案例!T4</f>
        <v>43.1</v>
      </c>
      <c r="M5" s="146">
        <f>ROUND(AVERAGE(L5:L7),2)</f>
        <v>48.13</v>
      </c>
      <c r="O5" s="143"/>
      <c r="P5" s="145"/>
      <c r="Q5" s="132" t="s">
        <v>693</v>
      </c>
      <c r="R5" s="15" t="s">
        <v>696</v>
      </c>
      <c r="S5" s="14">
        <f>中指数据!F15</f>
        <v>47.5</v>
      </c>
      <c r="T5" s="146">
        <f>ROUND(AVERAGE(S5:S7),2)</f>
        <v>49.22</v>
      </c>
    </row>
    <row r="6" spans="1:20" ht="14.25" customHeight="1" x14ac:dyDescent="0.2">
      <c r="A6" s="143"/>
      <c r="B6" s="145"/>
      <c r="C6" s="132"/>
      <c r="D6" s="15" t="s">
        <v>697</v>
      </c>
      <c r="E6" s="14">
        <f>'城研数据 整理'!F10</f>
        <v>47.32</v>
      </c>
      <c r="F6" s="146"/>
      <c r="H6" s="143"/>
      <c r="I6" s="145"/>
      <c r="J6" s="132"/>
      <c r="K6" s="15" t="s">
        <v>697</v>
      </c>
      <c r="L6" s="14">
        <f>贝壳案例!T5</f>
        <v>45.45</v>
      </c>
      <c r="M6" s="146"/>
      <c r="O6" s="143"/>
      <c r="P6" s="145"/>
      <c r="Q6" s="132"/>
      <c r="R6" s="15" t="s">
        <v>697</v>
      </c>
      <c r="S6" s="14">
        <f>中指数据!F16</f>
        <v>49.48</v>
      </c>
      <c r="T6" s="146"/>
    </row>
    <row r="7" spans="1:20" x14ac:dyDescent="0.2">
      <c r="A7" s="143"/>
      <c r="B7" s="145"/>
      <c r="C7" s="132"/>
      <c r="D7" s="15" t="s">
        <v>698</v>
      </c>
      <c r="E7" s="14">
        <f>'城研数据 整理'!F9</f>
        <v>46.87</v>
      </c>
      <c r="F7" s="146"/>
      <c r="H7" s="143"/>
      <c r="I7" s="145"/>
      <c r="J7" s="132"/>
      <c r="K7" s="15" t="s">
        <v>698</v>
      </c>
      <c r="L7" s="14">
        <f>贝壳案例!T6</f>
        <v>55.83</v>
      </c>
      <c r="M7" s="146"/>
      <c r="N7" s="1">
        <v>2</v>
      </c>
      <c r="O7" s="143"/>
      <c r="P7" s="145"/>
      <c r="Q7" s="132"/>
      <c r="R7" s="15" t="s">
        <v>698</v>
      </c>
      <c r="S7" s="14">
        <f>中指数据!F17</f>
        <v>50.67</v>
      </c>
      <c r="T7" s="146"/>
    </row>
    <row r="8" spans="1:20" x14ac:dyDescent="0.2">
      <c r="A8" s="143"/>
      <c r="B8" s="145"/>
      <c r="C8" s="132" t="s">
        <v>692</v>
      </c>
      <c r="D8" s="15" t="s">
        <v>699</v>
      </c>
      <c r="E8" s="14">
        <f>'城研数据 整理'!F8</f>
        <v>49.76</v>
      </c>
      <c r="F8" s="146">
        <f>ROUND(AVERAGE(E8:E10),2)</f>
        <v>46.67</v>
      </c>
      <c r="H8" s="143"/>
      <c r="I8" s="145"/>
      <c r="J8" s="132" t="s">
        <v>692</v>
      </c>
      <c r="K8" s="15" t="s">
        <v>699</v>
      </c>
      <c r="L8" s="14" t="str">
        <f>贝壳案例!T7</f>
        <v>-</v>
      </c>
      <c r="M8" s="146">
        <f>ROUND(AVERAGE(L8:L10),2)</f>
        <v>37.17</v>
      </c>
      <c r="O8" s="143"/>
      <c r="P8" s="145"/>
      <c r="Q8" s="132" t="s">
        <v>692</v>
      </c>
      <c r="R8" s="15" t="s">
        <v>699</v>
      </c>
      <c r="S8" s="14">
        <f>中指数据!F18</f>
        <v>46.76</v>
      </c>
      <c r="T8" s="146">
        <f>ROUND(AVERAGE(S8:S10),2)</f>
        <v>48.15</v>
      </c>
    </row>
    <row r="9" spans="1:20" x14ac:dyDescent="0.2">
      <c r="A9" s="143"/>
      <c r="B9" s="145"/>
      <c r="C9" s="132"/>
      <c r="D9" s="15" t="s">
        <v>700</v>
      </c>
      <c r="E9" s="14">
        <f>'城研数据 整理'!F7</f>
        <v>42.96</v>
      </c>
      <c r="F9" s="146"/>
      <c r="H9" s="143"/>
      <c r="I9" s="145"/>
      <c r="J9" s="132"/>
      <c r="K9" s="15" t="s">
        <v>700</v>
      </c>
      <c r="L9" s="14">
        <f>贝壳案例!T8</f>
        <v>36.42</v>
      </c>
      <c r="M9" s="146"/>
      <c r="O9" s="143"/>
      <c r="P9" s="145"/>
      <c r="Q9" s="132"/>
      <c r="R9" s="15" t="s">
        <v>700</v>
      </c>
      <c r="S9" s="14">
        <f>中指数据!F19</f>
        <v>47.83</v>
      </c>
      <c r="T9" s="146"/>
    </row>
    <row r="10" spans="1:20" x14ac:dyDescent="0.2">
      <c r="A10" s="143"/>
      <c r="B10" s="145"/>
      <c r="C10" s="132"/>
      <c r="D10" s="15" t="s">
        <v>701</v>
      </c>
      <c r="E10" s="14">
        <f>'城研数据 整理'!F6</f>
        <v>47.3</v>
      </c>
      <c r="F10" s="146"/>
      <c r="H10" s="143"/>
      <c r="I10" s="145"/>
      <c r="J10" s="132"/>
      <c r="K10" s="15" t="s">
        <v>701</v>
      </c>
      <c r="L10" s="14">
        <f>贝壳案例!T9</f>
        <v>37.92</v>
      </c>
      <c r="M10" s="146"/>
      <c r="N10" s="1">
        <v>3</v>
      </c>
      <c r="O10" s="143"/>
      <c r="P10" s="145"/>
      <c r="Q10" s="132"/>
      <c r="R10" s="15" t="s">
        <v>701</v>
      </c>
      <c r="S10" s="14">
        <f>中指数据!F20</f>
        <v>49.86</v>
      </c>
      <c r="T10" s="146"/>
    </row>
    <row r="11" spans="1:20" x14ac:dyDescent="0.2">
      <c r="A11" s="143"/>
      <c r="B11" s="145"/>
      <c r="C11" s="132" t="s">
        <v>691</v>
      </c>
      <c r="D11" s="15" t="s">
        <v>702</v>
      </c>
      <c r="E11" s="14">
        <f>'城研数据 整理'!F5</f>
        <v>40.32</v>
      </c>
      <c r="F11" s="139">
        <f>ROUND(AVERAGE(E11:E13),2)</f>
        <v>47.38</v>
      </c>
      <c r="H11" s="143"/>
      <c r="I11" s="145"/>
      <c r="J11" s="132" t="s">
        <v>691</v>
      </c>
      <c r="K11" s="15" t="s">
        <v>702</v>
      </c>
      <c r="L11" s="14" t="str">
        <f>贝壳案例!T10</f>
        <v>-</v>
      </c>
      <c r="M11" s="139">
        <f>ROUND(AVERAGE(L11:L13),2)</f>
        <v>49.04</v>
      </c>
      <c r="O11" s="143"/>
      <c r="P11" s="145"/>
      <c r="Q11" s="132" t="s">
        <v>691</v>
      </c>
      <c r="R11" s="15" t="s">
        <v>702</v>
      </c>
      <c r="S11" s="14">
        <f>中指数据!F21</f>
        <v>52.81</v>
      </c>
      <c r="T11" s="139">
        <f>ROUND(AVERAGE(S11:S13),2)</f>
        <v>53.96</v>
      </c>
    </row>
    <row r="12" spans="1:20" x14ac:dyDescent="0.2">
      <c r="A12" s="143"/>
      <c r="B12" s="145"/>
      <c r="C12" s="132"/>
      <c r="D12" s="15" t="s">
        <v>703</v>
      </c>
      <c r="E12" s="14">
        <f>'城研数据 整理'!F4</f>
        <v>48.56</v>
      </c>
      <c r="F12" s="143"/>
      <c r="H12" s="143"/>
      <c r="I12" s="145"/>
      <c r="J12" s="132"/>
      <c r="K12" s="15" t="s">
        <v>703</v>
      </c>
      <c r="L12" s="14" t="str">
        <f>贝壳案例!T11</f>
        <v>-</v>
      </c>
      <c r="M12" s="143"/>
      <c r="O12" s="143"/>
      <c r="P12" s="145"/>
      <c r="Q12" s="132"/>
      <c r="R12" s="15" t="s">
        <v>703</v>
      </c>
      <c r="S12" s="14">
        <f>中指数据!F22</f>
        <v>54.77</v>
      </c>
      <c r="T12" s="143"/>
    </row>
    <row r="13" spans="1:20" x14ac:dyDescent="0.2">
      <c r="A13" s="143"/>
      <c r="B13" s="145"/>
      <c r="C13" s="132"/>
      <c r="D13" s="15" t="s">
        <v>704</v>
      </c>
      <c r="E13" s="14">
        <f>'城研数据 整理'!F3</f>
        <v>53.25</v>
      </c>
      <c r="F13" s="140"/>
      <c r="H13" s="143"/>
      <c r="I13" s="145"/>
      <c r="J13" s="132"/>
      <c r="K13" s="15" t="s">
        <v>704</v>
      </c>
      <c r="L13" s="14">
        <f>贝壳案例!T12</f>
        <v>49.04</v>
      </c>
      <c r="M13" s="140"/>
      <c r="N13" s="1">
        <v>2</v>
      </c>
      <c r="O13" s="143"/>
      <c r="P13" s="145"/>
      <c r="Q13" s="132"/>
      <c r="R13" s="15" t="s">
        <v>704</v>
      </c>
      <c r="S13" s="14">
        <f>中指数据!F23</f>
        <v>54.3</v>
      </c>
      <c r="T13" s="140"/>
    </row>
    <row r="14" spans="1:20" x14ac:dyDescent="0.2">
      <c r="A14" s="143"/>
      <c r="B14" s="148"/>
      <c r="C14" s="57" t="s">
        <v>690</v>
      </c>
      <c r="D14" s="15" t="s">
        <v>689</v>
      </c>
      <c r="E14" s="14">
        <f>'城研数据 整理'!F2</f>
        <v>49.46</v>
      </c>
      <c r="F14" s="58">
        <f>ROUND(AVERAGE(E14:E14),2)</f>
        <v>49.46</v>
      </c>
      <c r="H14" s="140"/>
      <c r="I14" s="148"/>
      <c r="J14" s="57" t="s">
        <v>690</v>
      </c>
      <c r="K14" s="15" t="s">
        <v>689</v>
      </c>
      <c r="L14" s="14">
        <f>贝壳案例!T13</f>
        <v>60.66</v>
      </c>
      <c r="M14" s="58">
        <f>ROUND(AVERAGE(L14:L14),2)</f>
        <v>60.66</v>
      </c>
      <c r="O14" s="140"/>
      <c r="P14" s="148"/>
      <c r="Q14" s="57" t="s">
        <v>690</v>
      </c>
      <c r="R14" s="15" t="s">
        <v>689</v>
      </c>
      <c r="S14" s="14">
        <f>中指数据!F24</f>
        <v>52.23</v>
      </c>
      <c r="T14" s="58">
        <f>ROUND(AVERAGE(S14:S14),2)</f>
        <v>52.23</v>
      </c>
    </row>
    <row r="15" spans="1:20" x14ac:dyDescent="0.2">
      <c r="A15" s="141" t="s">
        <v>76</v>
      </c>
      <c r="B15" s="142"/>
      <c r="C15" s="142"/>
      <c r="D15" s="142"/>
      <c r="E15" s="142"/>
      <c r="F15" s="31">
        <f>ROUND(AVERAGE(F3:F14),2)</f>
        <v>46.51</v>
      </c>
      <c r="H15" s="141" t="s">
        <v>76</v>
      </c>
      <c r="I15" s="142"/>
      <c r="J15" s="142"/>
      <c r="K15" s="142"/>
      <c r="L15" s="142"/>
      <c r="M15" s="112">
        <f>ROUND(AVERAGE(M3:M14),2)</f>
        <v>49.4</v>
      </c>
      <c r="O15" s="141" t="s">
        <v>76</v>
      </c>
      <c r="P15" s="142"/>
      <c r="Q15" s="142"/>
      <c r="R15" s="142"/>
      <c r="S15" s="142"/>
      <c r="T15" s="31">
        <f>ROUND(AVERAGE(T3:T14),2)</f>
        <v>50.39</v>
      </c>
    </row>
    <row r="16" spans="1:20" x14ac:dyDescent="0.2">
      <c r="A16" s="139">
        <v>2</v>
      </c>
      <c r="B16" s="133" t="str">
        <f>'城研数据 整理'!B14</f>
        <v>锦华园</v>
      </c>
      <c r="C16" s="133" t="s">
        <v>559</v>
      </c>
      <c r="D16" s="15" t="s">
        <v>694</v>
      </c>
      <c r="E16" s="14" t="s">
        <v>707</v>
      </c>
      <c r="F16" s="133">
        <f>ROUND(AVERAGE(E16:E17),2)</f>
        <v>41.42</v>
      </c>
      <c r="H16" s="139">
        <v>2</v>
      </c>
      <c r="I16" s="133" t="str">
        <f>B16</f>
        <v>锦华园</v>
      </c>
      <c r="J16" s="133" t="s">
        <v>559</v>
      </c>
      <c r="K16" s="15" t="s">
        <v>694</v>
      </c>
      <c r="L16" s="16">
        <f>贝壳案例!T16</f>
        <v>39.770000000000003</v>
      </c>
      <c r="M16" s="133">
        <f>ROUND(AVERAGE(L16:L17),2)</f>
        <v>39.21</v>
      </c>
      <c r="O16" s="139">
        <v>2</v>
      </c>
      <c r="P16" s="133" t="str">
        <f>B16</f>
        <v>锦华园</v>
      </c>
      <c r="Q16" s="133" t="s">
        <v>559</v>
      </c>
      <c r="R16" s="15" t="s">
        <v>694</v>
      </c>
      <c r="S16" s="16">
        <f>中指数据!F28</f>
        <v>44.69</v>
      </c>
      <c r="T16" s="133">
        <f>ROUND(AVERAGE(S16:S17),2)</f>
        <v>50.07</v>
      </c>
    </row>
    <row r="17" spans="1:20" x14ac:dyDescent="0.2">
      <c r="A17" s="143"/>
      <c r="B17" s="147"/>
      <c r="C17" s="134"/>
      <c r="D17" s="15" t="s">
        <v>695</v>
      </c>
      <c r="E17" s="16">
        <f>'城研数据 整理'!F23</f>
        <v>41.42</v>
      </c>
      <c r="F17" s="134"/>
      <c r="H17" s="143"/>
      <c r="I17" s="147"/>
      <c r="J17" s="134"/>
      <c r="K17" s="15" t="s">
        <v>695</v>
      </c>
      <c r="L17" s="14">
        <f>贝壳案例!T17</f>
        <v>38.64</v>
      </c>
      <c r="M17" s="134"/>
      <c r="O17" s="143"/>
      <c r="P17" s="147"/>
      <c r="Q17" s="134"/>
      <c r="R17" s="15" t="s">
        <v>695</v>
      </c>
      <c r="S17" s="14">
        <f>中指数据!F29</f>
        <v>55.45</v>
      </c>
      <c r="T17" s="134"/>
    </row>
    <row r="18" spans="1:20" x14ac:dyDescent="0.2">
      <c r="A18" s="143"/>
      <c r="B18" s="147"/>
      <c r="C18" s="132" t="s">
        <v>693</v>
      </c>
      <c r="D18" s="15" t="s">
        <v>696</v>
      </c>
      <c r="E18" s="16" t="s">
        <v>707</v>
      </c>
      <c r="F18" s="146">
        <f>ROUND(AVERAGE(E18:E20),2)</f>
        <v>40.630000000000003</v>
      </c>
      <c r="H18" s="143"/>
      <c r="I18" s="147"/>
      <c r="J18" s="132" t="s">
        <v>693</v>
      </c>
      <c r="K18" s="15" t="s">
        <v>696</v>
      </c>
      <c r="L18" s="16" t="str">
        <f>贝壳案例!T18</f>
        <v>-</v>
      </c>
      <c r="M18" s="146">
        <f>ROUND(AVERAGE(L18:L20),2)</f>
        <v>37.57</v>
      </c>
      <c r="O18" s="143"/>
      <c r="P18" s="147"/>
      <c r="Q18" s="132" t="s">
        <v>693</v>
      </c>
      <c r="R18" s="15" t="s">
        <v>696</v>
      </c>
      <c r="S18" s="16">
        <f>中指数据!F30</f>
        <v>56.79</v>
      </c>
      <c r="T18" s="146">
        <f>ROUND(AVERAGE(S18:S20),2)</f>
        <v>47.7</v>
      </c>
    </row>
    <row r="19" spans="1:20" x14ac:dyDescent="0.2">
      <c r="A19" s="143"/>
      <c r="B19" s="147"/>
      <c r="C19" s="132"/>
      <c r="D19" s="15" t="s">
        <v>697</v>
      </c>
      <c r="E19" s="14">
        <f>'城研数据 整理'!F22</f>
        <v>39.69</v>
      </c>
      <c r="F19" s="146"/>
      <c r="H19" s="143"/>
      <c r="I19" s="147"/>
      <c r="J19" s="132"/>
      <c r="K19" s="15" t="s">
        <v>697</v>
      </c>
      <c r="L19" s="14">
        <f>贝壳案例!T19</f>
        <v>35.72</v>
      </c>
      <c r="M19" s="146"/>
      <c r="N19" s="1">
        <v>2</v>
      </c>
      <c r="O19" s="143"/>
      <c r="P19" s="147"/>
      <c r="Q19" s="132"/>
      <c r="R19" s="15" t="s">
        <v>697</v>
      </c>
      <c r="S19" s="14">
        <f>中指数据!F31</f>
        <v>46.22</v>
      </c>
      <c r="T19" s="146"/>
    </row>
    <row r="20" spans="1:20" x14ac:dyDescent="0.2">
      <c r="A20" s="143"/>
      <c r="B20" s="147"/>
      <c r="C20" s="132"/>
      <c r="D20" s="15" t="s">
        <v>698</v>
      </c>
      <c r="E20" s="14">
        <f>'城研数据 整理'!F21</f>
        <v>41.56</v>
      </c>
      <c r="F20" s="146"/>
      <c r="H20" s="143"/>
      <c r="I20" s="147"/>
      <c r="J20" s="132"/>
      <c r="K20" s="15" t="s">
        <v>698</v>
      </c>
      <c r="L20" s="16">
        <f>贝壳案例!T20</f>
        <v>39.42</v>
      </c>
      <c r="M20" s="146"/>
      <c r="N20" s="1">
        <v>2</v>
      </c>
      <c r="O20" s="143"/>
      <c r="P20" s="147"/>
      <c r="Q20" s="132"/>
      <c r="R20" s="15" t="s">
        <v>698</v>
      </c>
      <c r="S20" s="16">
        <f>中指数据!F32</f>
        <v>40.08</v>
      </c>
      <c r="T20" s="146"/>
    </row>
    <row r="21" spans="1:20" x14ac:dyDescent="0.2">
      <c r="A21" s="143"/>
      <c r="B21" s="147"/>
      <c r="C21" s="132" t="s">
        <v>692</v>
      </c>
      <c r="D21" s="15" t="s">
        <v>699</v>
      </c>
      <c r="E21" s="14">
        <f>'城研数据 整理'!F20</f>
        <v>39.74</v>
      </c>
      <c r="F21" s="146">
        <f>ROUND(AVERAGE(E21:E23),2)</f>
        <v>43.59</v>
      </c>
      <c r="H21" s="143"/>
      <c r="I21" s="147"/>
      <c r="J21" s="132" t="s">
        <v>692</v>
      </c>
      <c r="K21" s="15" t="s">
        <v>699</v>
      </c>
      <c r="L21" s="14">
        <f>贝壳案例!T21</f>
        <v>39.770000000000003</v>
      </c>
      <c r="M21" s="146">
        <f>ROUND(AVERAGE(L21:L23),2)</f>
        <v>41.61</v>
      </c>
      <c r="O21" s="143"/>
      <c r="P21" s="147"/>
      <c r="Q21" s="132" t="s">
        <v>692</v>
      </c>
      <c r="R21" s="15" t="s">
        <v>699</v>
      </c>
      <c r="S21" s="14">
        <f>中指数据!F33</f>
        <v>53</v>
      </c>
      <c r="T21" s="146">
        <f>ROUND(AVERAGE(S21:S23),2)</f>
        <v>53.08</v>
      </c>
    </row>
    <row r="22" spans="1:20" x14ac:dyDescent="0.2">
      <c r="A22" s="143"/>
      <c r="B22" s="147"/>
      <c r="C22" s="132"/>
      <c r="D22" s="15" t="s">
        <v>700</v>
      </c>
      <c r="E22" s="14">
        <f>'城研数据 整理'!F19</f>
        <v>48</v>
      </c>
      <c r="F22" s="146"/>
      <c r="H22" s="143"/>
      <c r="I22" s="147"/>
      <c r="J22" s="132"/>
      <c r="K22" s="15" t="s">
        <v>700</v>
      </c>
      <c r="L22" s="16">
        <f>贝壳案例!T22</f>
        <v>44.79</v>
      </c>
      <c r="M22" s="146"/>
      <c r="O22" s="143"/>
      <c r="P22" s="147"/>
      <c r="Q22" s="132"/>
      <c r="R22" s="15" t="s">
        <v>700</v>
      </c>
      <c r="S22" s="16">
        <f>中指数据!F34</f>
        <v>53.23</v>
      </c>
      <c r="T22" s="146"/>
    </row>
    <row r="23" spans="1:20" x14ac:dyDescent="0.2">
      <c r="A23" s="143"/>
      <c r="B23" s="147"/>
      <c r="C23" s="132"/>
      <c r="D23" s="15" t="s">
        <v>701</v>
      </c>
      <c r="E23" s="14">
        <f>'城研数据 整理'!F18</f>
        <v>43.04</v>
      </c>
      <c r="F23" s="146"/>
      <c r="H23" s="143"/>
      <c r="I23" s="147"/>
      <c r="J23" s="132"/>
      <c r="K23" s="15" t="s">
        <v>701</v>
      </c>
      <c r="L23" s="14">
        <f>贝壳案例!T23</f>
        <v>40.270000000000003</v>
      </c>
      <c r="M23" s="146"/>
      <c r="O23" s="143"/>
      <c r="P23" s="147"/>
      <c r="Q23" s="132"/>
      <c r="R23" s="15" t="s">
        <v>701</v>
      </c>
      <c r="S23" s="14">
        <f>中指数据!F35</f>
        <v>53.01</v>
      </c>
      <c r="T23" s="146"/>
    </row>
    <row r="24" spans="1:20" x14ac:dyDescent="0.2">
      <c r="A24" s="143"/>
      <c r="B24" s="147"/>
      <c r="C24" s="132" t="s">
        <v>691</v>
      </c>
      <c r="D24" s="15" t="s">
        <v>702</v>
      </c>
      <c r="E24" s="14">
        <f>'城研数据 整理'!F17</f>
        <v>43.11</v>
      </c>
      <c r="F24" s="139">
        <f>ROUND(AVERAGE(E24:E26),2)</f>
        <v>44.49</v>
      </c>
      <c r="H24" s="143"/>
      <c r="I24" s="147"/>
      <c r="J24" s="132" t="s">
        <v>691</v>
      </c>
      <c r="K24" s="15" t="s">
        <v>702</v>
      </c>
      <c r="L24" s="16">
        <f>贝壳案例!T24</f>
        <v>44.78</v>
      </c>
      <c r="M24" s="139">
        <f>ROUND(AVERAGE(L24:L26),2)</f>
        <v>44.78</v>
      </c>
      <c r="O24" s="143"/>
      <c r="P24" s="147"/>
      <c r="Q24" s="132" t="s">
        <v>691</v>
      </c>
      <c r="R24" s="15" t="s">
        <v>702</v>
      </c>
      <c r="S24" s="16">
        <f>中指数据!F36</f>
        <v>55.57</v>
      </c>
      <c r="T24" s="139">
        <f>ROUND(AVERAGE(S24:S26),2)</f>
        <v>57</v>
      </c>
    </row>
    <row r="25" spans="1:20" x14ac:dyDescent="0.2">
      <c r="A25" s="143"/>
      <c r="B25" s="147"/>
      <c r="C25" s="132"/>
      <c r="D25" s="15" t="s">
        <v>703</v>
      </c>
      <c r="E25" s="14">
        <f>'城研数据 整理'!F16</f>
        <v>45.77</v>
      </c>
      <c r="F25" s="143"/>
      <c r="H25" s="143"/>
      <c r="I25" s="147"/>
      <c r="J25" s="132"/>
      <c r="K25" s="15" t="s">
        <v>703</v>
      </c>
      <c r="L25" s="14" t="str">
        <f>贝壳案例!T25</f>
        <v>-</v>
      </c>
      <c r="M25" s="143"/>
      <c r="O25" s="143"/>
      <c r="P25" s="147"/>
      <c r="Q25" s="132"/>
      <c r="R25" s="15" t="s">
        <v>703</v>
      </c>
      <c r="S25" s="14">
        <f>中指数据!F37</f>
        <v>63.36</v>
      </c>
      <c r="T25" s="143"/>
    </row>
    <row r="26" spans="1:20" x14ac:dyDescent="0.2">
      <c r="A26" s="143"/>
      <c r="B26" s="147"/>
      <c r="C26" s="132"/>
      <c r="D26" s="15" t="s">
        <v>704</v>
      </c>
      <c r="E26" s="14">
        <f>'城研数据 整理'!F15</f>
        <v>44.6</v>
      </c>
      <c r="F26" s="140"/>
      <c r="H26" s="143"/>
      <c r="I26" s="147"/>
      <c r="J26" s="132"/>
      <c r="K26" s="15" t="s">
        <v>704</v>
      </c>
      <c r="L26" s="16" t="str">
        <f>贝壳案例!T26</f>
        <v>-</v>
      </c>
      <c r="M26" s="140"/>
      <c r="O26" s="143"/>
      <c r="P26" s="147"/>
      <c r="Q26" s="132"/>
      <c r="R26" s="15" t="s">
        <v>704</v>
      </c>
      <c r="S26" s="16">
        <f>中指数据!F38</f>
        <v>52.06</v>
      </c>
      <c r="T26" s="140"/>
    </row>
    <row r="27" spans="1:20" x14ac:dyDescent="0.2">
      <c r="A27" s="143"/>
      <c r="B27" s="147"/>
      <c r="C27" s="57" t="s">
        <v>690</v>
      </c>
      <c r="D27" s="15" t="s">
        <v>689</v>
      </c>
      <c r="E27" s="14">
        <f>'城研数据 整理'!F14</f>
        <v>46.97</v>
      </c>
      <c r="F27" s="58">
        <f>ROUND(AVERAGE(E27:E27),2)</f>
        <v>46.97</v>
      </c>
      <c r="H27" s="143"/>
      <c r="I27" s="147"/>
      <c r="J27" s="57" t="s">
        <v>690</v>
      </c>
      <c r="K27" s="15" t="s">
        <v>689</v>
      </c>
      <c r="L27" s="14">
        <f>贝壳案例!T27</f>
        <v>49.06</v>
      </c>
      <c r="M27" s="58">
        <f>ROUND(AVERAGE(L27:L27),2)</f>
        <v>49.06</v>
      </c>
      <c r="O27" s="143"/>
      <c r="P27" s="147"/>
      <c r="Q27" s="57" t="s">
        <v>690</v>
      </c>
      <c r="R27" s="15" t="s">
        <v>689</v>
      </c>
      <c r="S27" s="14">
        <f>中指数据!F39</f>
        <v>47.77</v>
      </c>
      <c r="T27" s="58">
        <f>ROUND(AVERAGE(S27:S27),2)</f>
        <v>47.77</v>
      </c>
    </row>
    <row r="28" spans="1:20" x14ac:dyDescent="0.2">
      <c r="A28" s="141" t="s">
        <v>76</v>
      </c>
      <c r="B28" s="142"/>
      <c r="C28" s="142"/>
      <c r="D28" s="142"/>
      <c r="E28" s="142"/>
      <c r="F28" s="31">
        <f>ROUND(AVERAGE(F16:F27),2)</f>
        <v>43.42</v>
      </c>
      <c r="H28" s="141" t="s">
        <v>76</v>
      </c>
      <c r="I28" s="142"/>
      <c r="J28" s="142"/>
      <c r="K28" s="142"/>
      <c r="L28" s="142"/>
      <c r="M28" s="31">
        <f>ROUND(AVERAGE(M16:M27),2)</f>
        <v>42.45</v>
      </c>
      <c r="O28" s="141" t="s">
        <v>76</v>
      </c>
      <c r="P28" s="142"/>
      <c r="Q28" s="142"/>
      <c r="R28" s="142"/>
      <c r="S28" s="142"/>
      <c r="T28" s="31">
        <f>ROUND(AVERAGE(T16:T27),2)</f>
        <v>51.12</v>
      </c>
    </row>
    <row r="29" spans="1:20" ht="14.25" customHeight="1" x14ac:dyDescent="0.2">
      <c r="A29" s="139">
        <v>3</v>
      </c>
      <c r="B29" s="144" t="str">
        <f>'城研数据 整理'!B25</f>
        <v>义和庄东里</v>
      </c>
      <c r="C29" s="133" t="s">
        <v>559</v>
      </c>
      <c r="D29" s="15" t="s">
        <v>694</v>
      </c>
      <c r="E29" s="14" t="s">
        <v>707</v>
      </c>
      <c r="F29" s="133">
        <f>ROUND(AVERAGE(E29:E30),2)</f>
        <v>43.26</v>
      </c>
      <c r="H29" s="139">
        <v>3</v>
      </c>
      <c r="I29" s="144" t="str">
        <f>B29</f>
        <v>义和庄东里</v>
      </c>
      <c r="J29" s="133" t="s">
        <v>559</v>
      </c>
      <c r="K29" s="15" t="s">
        <v>694</v>
      </c>
      <c r="L29" s="14">
        <f>贝壳案例!T30</f>
        <v>39.08</v>
      </c>
      <c r="M29" s="133">
        <f>ROUND(AVERAGE(L29:L30),2)</f>
        <v>39.08</v>
      </c>
      <c r="O29" s="139">
        <v>3</v>
      </c>
      <c r="P29" s="144" t="str">
        <f>B29</f>
        <v>义和庄东里</v>
      </c>
      <c r="Q29" s="133" t="s">
        <v>559</v>
      </c>
      <c r="R29" s="15" t="s">
        <v>694</v>
      </c>
      <c r="S29" s="14">
        <f>中指数据!F44</f>
        <v>45.02</v>
      </c>
      <c r="T29" s="133">
        <f>ROUND(AVERAGE(S29:S30),2)</f>
        <v>46.15</v>
      </c>
    </row>
    <row r="30" spans="1:20" x14ac:dyDescent="0.2">
      <c r="A30" s="143"/>
      <c r="B30" s="145"/>
      <c r="C30" s="134"/>
      <c r="D30" s="15" t="s">
        <v>695</v>
      </c>
      <c r="E30" s="14">
        <f>'城研数据 整理'!F35</f>
        <v>43.26</v>
      </c>
      <c r="F30" s="134"/>
      <c r="H30" s="143"/>
      <c r="I30" s="145"/>
      <c r="J30" s="134"/>
      <c r="K30" s="15" t="s">
        <v>695</v>
      </c>
      <c r="L30" s="16" t="str">
        <f>贝壳案例!T31</f>
        <v>-</v>
      </c>
      <c r="M30" s="134"/>
      <c r="O30" s="143"/>
      <c r="P30" s="145"/>
      <c r="Q30" s="134"/>
      <c r="R30" s="15" t="s">
        <v>695</v>
      </c>
      <c r="S30" s="16">
        <f>中指数据!F45</f>
        <v>47.27</v>
      </c>
      <c r="T30" s="134"/>
    </row>
    <row r="31" spans="1:20" x14ac:dyDescent="0.2">
      <c r="A31" s="143"/>
      <c r="B31" s="145"/>
      <c r="C31" s="132" t="s">
        <v>693</v>
      </c>
      <c r="D31" s="15" t="s">
        <v>696</v>
      </c>
      <c r="E31" s="14">
        <f>'城研数据 整理'!F34</f>
        <v>39.130000000000003</v>
      </c>
      <c r="F31" s="146">
        <f>ROUND(AVERAGE(E31:E33),2)</f>
        <v>36.46</v>
      </c>
      <c r="H31" s="143"/>
      <c r="I31" s="145"/>
      <c r="J31" s="132" t="s">
        <v>693</v>
      </c>
      <c r="K31" s="15" t="s">
        <v>696</v>
      </c>
      <c r="L31" s="14" t="str">
        <f>贝壳案例!T32</f>
        <v>-</v>
      </c>
      <c r="M31" s="146">
        <f>ROUND(AVERAGE(L31:L33),2)</f>
        <v>35.869999999999997</v>
      </c>
      <c r="O31" s="143"/>
      <c r="P31" s="145"/>
      <c r="Q31" s="132" t="s">
        <v>693</v>
      </c>
      <c r="R31" s="15" t="s">
        <v>696</v>
      </c>
      <c r="S31" s="14">
        <f>中指数据!F46</f>
        <v>44.61</v>
      </c>
      <c r="T31" s="146">
        <f>ROUND(AVERAGE(S31:S33),2)</f>
        <v>44.89</v>
      </c>
    </row>
    <row r="32" spans="1:20" x14ac:dyDescent="0.2">
      <c r="A32" s="143"/>
      <c r="B32" s="145"/>
      <c r="C32" s="132"/>
      <c r="D32" s="15" t="s">
        <v>697</v>
      </c>
      <c r="E32" s="14">
        <f>'城研数据 整理'!F33</f>
        <v>33.21</v>
      </c>
      <c r="F32" s="146"/>
      <c r="H32" s="143"/>
      <c r="I32" s="145"/>
      <c r="J32" s="132"/>
      <c r="K32" s="15" t="s">
        <v>697</v>
      </c>
      <c r="L32" s="16">
        <f>贝壳案例!T33</f>
        <v>36.9</v>
      </c>
      <c r="M32" s="146"/>
      <c r="O32" s="143"/>
      <c r="P32" s="145"/>
      <c r="Q32" s="132"/>
      <c r="R32" s="15" t="s">
        <v>697</v>
      </c>
      <c r="S32" s="16">
        <f>中指数据!F47</f>
        <v>43.51</v>
      </c>
      <c r="T32" s="146"/>
    </row>
    <row r="33" spans="1:20" x14ac:dyDescent="0.2">
      <c r="A33" s="143"/>
      <c r="B33" s="145"/>
      <c r="C33" s="132"/>
      <c r="D33" s="15" t="s">
        <v>698</v>
      </c>
      <c r="E33" s="14">
        <f>'城研数据 整理'!F32</f>
        <v>37.049999999999997</v>
      </c>
      <c r="F33" s="146"/>
      <c r="H33" s="143"/>
      <c r="I33" s="145"/>
      <c r="J33" s="132"/>
      <c r="K33" s="15" t="s">
        <v>698</v>
      </c>
      <c r="L33" s="14">
        <f>贝壳案例!T34</f>
        <v>34.83</v>
      </c>
      <c r="M33" s="146"/>
      <c r="O33" s="143"/>
      <c r="P33" s="145"/>
      <c r="Q33" s="132"/>
      <c r="R33" s="15" t="s">
        <v>698</v>
      </c>
      <c r="S33" s="14">
        <f>中指数据!F48</f>
        <v>46.54</v>
      </c>
      <c r="T33" s="146"/>
    </row>
    <row r="34" spans="1:20" x14ac:dyDescent="0.2">
      <c r="A34" s="143"/>
      <c r="B34" s="145"/>
      <c r="C34" s="132" t="s">
        <v>692</v>
      </c>
      <c r="D34" s="15" t="s">
        <v>699</v>
      </c>
      <c r="E34" s="14">
        <f>'城研数据 整理'!F31</f>
        <v>39.24</v>
      </c>
      <c r="F34" s="146">
        <f>ROUND(AVERAGE(E34:E36),2)</f>
        <v>40.130000000000003</v>
      </c>
      <c r="H34" s="143"/>
      <c r="I34" s="145"/>
      <c r="J34" s="132" t="s">
        <v>692</v>
      </c>
      <c r="K34" s="15" t="s">
        <v>699</v>
      </c>
      <c r="L34" s="16">
        <f>贝壳案例!T35</f>
        <v>49.72</v>
      </c>
      <c r="M34" s="146">
        <f>ROUND(AVERAGE(L34:L36),2)</f>
        <v>44.46</v>
      </c>
      <c r="N34" s="1">
        <v>2</v>
      </c>
      <c r="O34" s="143"/>
      <c r="P34" s="145"/>
      <c r="Q34" s="132" t="s">
        <v>692</v>
      </c>
      <c r="R34" s="15" t="s">
        <v>699</v>
      </c>
      <c r="S34" s="16">
        <f>中指数据!F49</f>
        <v>47.36</v>
      </c>
      <c r="T34" s="146">
        <f>ROUND(AVERAGE(S34:S36),2)</f>
        <v>49.99</v>
      </c>
    </row>
    <row r="35" spans="1:20" x14ac:dyDescent="0.2">
      <c r="A35" s="143"/>
      <c r="B35" s="145"/>
      <c r="C35" s="132"/>
      <c r="D35" s="15" t="s">
        <v>700</v>
      </c>
      <c r="E35" s="14">
        <f>'城研数据 整理'!F30</f>
        <v>40.86</v>
      </c>
      <c r="F35" s="146"/>
      <c r="H35" s="143"/>
      <c r="I35" s="145"/>
      <c r="J35" s="132"/>
      <c r="K35" s="15" t="s">
        <v>700</v>
      </c>
      <c r="L35" s="14" t="str">
        <f>贝壳案例!T36</f>
        <v>-</v>
      </c>
      <c r="M35" s="146"/>
      <c r="O35" s="143"/>
      <c r="P35" s="145"/>
      <c r="Q35" s="132"/>
      <c r="R35" s="15" t="s">
        <v>700</v>
      </c>
      <c r="S35" s="14">
        <f>中指数据!F50</f>
        <v>48.12</v>
      </c>
      <c r="T35" s="146"/>
    </row>
    <row r="36" spans="1:20" x14ac:dyDescent="0.2">
      <c r="A36" s="143"/>
      <c r="B36" s="145"/>
      <c r="C36" s="132"/>
      <c r="D36" s="15" t="s">
        <v>701</v>
      </c>
      <c r="E36" s="14">
        <f>'城研数据 整理'!F29</f>
        <v>40.29</v>
      </c>
      <c r="F36" s="146"/>
      <c r="H36" s="143"/>
      <c r="I36" s="145"/>
      <c r="J36" s="132"/>
      <c r="K36" s="15" t="s">
        <v>701</v>
      </c>
      <c r="L36" s="16">
        <f>贝壳案例!T37</f>
        <v>39.200000000000003</v>
      </c>
      <c r="M36" s="146"/>
      <c r="N36" s="1">
        <v>3</v>
      </c>
      <c r="O36" s="143"/>
      <c r="P36" s="145"/>
      <c r="Q36" s="132"/>
      <c r="R36" s="15" t="s">
        <v>701</v>
      </c>
      <c r="S36" s="16">
        <f>中指数据!F51</f>
        <v>54.48</v>
      </c>
      <c r="T36" s="146"/>
    </row>
    <row r="37" spans="1:20" x14ac:dyDescent="0.2">
      <c r="A37" s="143"/>
      <c r="B37" s="145"/>
      <c r="C37" s="132" t="s">
        <v>691</v>
      </c>
      <c r="D37" s="15" t="s">
        <v>702</v>
      </c>
      <c r="E37" s="14">
        <f>'城研数据 整理'!F28</f>
        <v>49.53</v>
      </c>
      <c r="F37" s="139">
        <f>ROUND(AVERAGE(E37:E39),2)</f>
        <v>44.64</v>
      </c>
      <c r="H37" s="143"/>
      <c r="I37" s="145"/>
      <c r="J37" s="132" t="s">
        <v>691</v>
      </c>
      <c r="K37" s="15" t="s">
        <v>702</v>
      </c>
      <c r="L37" s="14">
        <f>贝壳案例!T38</f>
        <v>35.630000000000003</v>
      </c>
      <c r="M37" s="139">
        <f>ROUND(AVERAGE(L37:L39),2)</f>
        <v>35.630000000000003</v>
      </c>
      <c r="O37" s="143"/>
      <c r="P37" s="145"/>
      <c r="Q37" s="132" t="s">
        <v>691</v>
      </c>
      <c r="R37" s="15" t="s">
        <v>702</v>
      </c>
      <c r="S37" s="14">
        <f>中指数据!F52</f>
        <v>56.56</v>
      </c>
      <c r="T37" s="139">
        <f>ROUND(AVERAGE(S37:S39),2)</f>
        <v>52.94</v>
      </c>
    </row>
    <row r="38" spans="1:20" ht="14.25" customHeight="1" x14ac:dyDescent="0.2">
      <c r="A38" s="143"/>
      <c r="B38" s="145"/>
      <c r="C38" s="132"/>
      <c r="D38" s="15" t="s">
        <v>703</v>
      </c>
      <c r="E38" s="14">
        <f>'城研数据 整理'!F27</f>
        <v>40.44</v>
      </c>
      <c r="F38" s="143"/>
      <c r="H38" s="143"/>
      <c r="I38" s="145"/>
      <c r="J38" s="132"/>
      <c r="K38" s="15" t="s">
        <v>703</v>
      </c>
      <c r="L38" s="16" t="str">
        <f>贝壳案例!T39</f>
        <v>-</v>
      </c>
      <c r="M38" s="143"/>
      <c r="O38" s="143"/>
      <c r="P38" s="145"/>
      <c r="Q38" s="132"/>
      <c r="R38" s="15" t="s">
        <v>703</v>
      </c>
      <c r="S38" s="16">
        <f>中指数据!F53</f>
        <v>50.01</v>
      </c>
      <c r="T38" s="143"/>
    </row>
    <row r="39" spans="1:20" ht="14.25" customHeight="1" x14ac:dyDescent="0.2">
      <c r="A39" s="143"/>
      <c r="B39" s="145"/>
      <c r="C39" s="132"/>
      <c r="D39" s="15" t="s">
        <v>704</v>
      </c>
      <c r="E39" s="14">
        <f>'城研数据 整理'!F26</f>
        <v>43.95</v>
      </c>
      <c r="F39" s="140"/>
      <c r="H39" s="143"/>
      <c r="I39" s="145"/>
      <c r="J39" s="132"/>
      <c r="K39" s="15" t="s">
        <v>704</v>
      </c>
      <c r="L39" s="14" t="str">
        <f>贝壳案例!T40</f>
        <v>-</v>
      </c>
      <c r="M39" s="140"/>
      <c r="O39" s="143"/>
      <c r="P39" s="145"/>
      <c r="Q39" s="132"/>
      <c r="R39" s="15" t="s">
        <v>704</v>
      </c>
      <c r="S39" s="14">
        <f>中指数据!F54</f>
        <v>52.25</v>
      </c>
      <c r="T39" s="140"/>
    </row>
    <row r="40" spans="1:20" x14ac:dyDescent="0.2">
      <c r="A40" s="143"/>
      <c r="B40" s="145"/>
      <c r="C40" s="57" t="s">
        <v>690</v>
      </c>
      <c r="D40" s="15" t="s">
        <v>689</v>
      </c>
      <c r="E40" s="14">
        <f>'城研数据 整理'!F25</f>
        <v>31.9</v>
      </c>
      <c r="F40" s="58">
        <f>ROUND(AVERAGE(E40:E40),2)</f>
        <v>31.9</v>
      </c>
      <c r="H40" s="143"/>
      <c r="I40" s="145"/>
      <c r="J40" s="57" t="s">
        <v>690</v>
      </c>
      <c r="K40" s="15" t="s">
        <v>689</v>
      </c>
      <c r="L40" s="16">
        <f>贝壳案例!T41</f>
        <v>35.29</v>
      </c>
      <c r="M40" s="58">
        <f>ROUND(AVERAGE(L40:L40),2)</f>
        <v>35.29</v>
      </c>
      <c r="O40" s="143"/>
      <c r="P40" s="145"/>
      <c r="Q40" s="57" t="s">
        <v>690</v>
      </c>
      <c r="R40" s="15" t="s">
        <v>689</v>
      </c>
      <c r="S40" s="16">
        <f>中指数据!F55</f>
        <v>55.16</v>
      </c>
      <c r="T40" s="58">
        <f>ROUND(AVERAGE(S40:S40),2)</f>
        <v>55.16</v>
      </c>
    </row>
    <row r="41" spans="1:20" x14ac:dyDescent="0.2">
      <c r="A41" s="141" t="s">
        <v>76</v>
      </c>
      <c r="B41" s="142"/>
      <c r="C41" s="142"/>
      <c r="D41" s="142"/>
      <c r="E41" s="142"/>
      <c r="F41" s="31">
        <f>ROUND(AVERAGE(F29:F40),2)</f>
        <v>39.28</v>
      </c>
      <c r="H41" s="141" t="s">
        <v>76</v>
      </c>
      <c r="I41" s="142"/>
      <c r="J41" s="142"/>
      <c r="K41" s="142"/>
      <c r="L41" s="142"/>
      <c r="M41" s="31">
        <f>ROUND(AVERAGE(M29:M40),2)</f>
        <v>38.07</v>
      </c>
      <c r="O41" s="141" t="s">
        <v>76</v>
      </c>
      <c r="P41" s="142"/>
      <c r="Q41" s="142"/>
      <c r="R41" s="142"/>
      <c r="S41" s="142"/>
      <c r="T41" s="31">
        <f>ROUND(AVERAGE(T29:T40),2)</f>
        <v>49.83</v>
      </c>
    </row>
    <row r="42" spans="1:20" ht="14.25" customHeight="1" x14ac:dyDescent="0.2">
      <c r="A42" s="139">
        <v>4</v>
      </c>
      <c r="B42" s="144"/>
      <c r="C42" s="133" t="s">
        <v>559</v>
      </c>
      <c r="D42" s="15" t="s">
        <v>547</v>
      </c>
      <c r="E42" s="14">
        <f>'城研数据 '!G82</f>
        <v>0</v>
      </c>
      <c r="F42" s="14">
        <f>ROUND(E42,2)</f>
        <v>0</v>
      </c>
      <c r="H42" s="139">
        <v>3</v>
      </c>
      <c r="I42" s="144">
        <f>B42</f>
        <v>0</v>
      </c>
      <c r="J42" s="133" t="s">
        <v>559</v>
      </c>
      <c r="K42" s="15" t="s">
        <v>547</v>
      </c>
      <c r="L42" s="14">
        <f>贝壳案例!W73</f>
        <v>0</v>
      </c>
      <c r="M42" s="14">
        <f>L42</f>
        <v>0</v>
      </c>
      <c r="O42" s="139">
        <v>3</v>
      </c>
      <c r="P42" s="144">
        <f>I42</f>
        <v>0</v>
      </c>
      <c r="Q42" s="133" t="s">
        <v>559</v>
      </c>
      <c r="R42" s="15" t="s">
        <v>547</v>
      </c>
      <c r="S42" s="14">
        <f>中指数据!M8</f>
        <v>0</v>
      </c>
      <c r="T42" s="14">
        <f>S42</f>
        <v>0</v>
      </c>
    </row>
    <row r="43" spans="1:20" x14ac:dyDescent="0.2">
      <c r="A43" s="143"/>
      <c r="B43" s="145"/>
      <c r="C43" s="134"/>
      <c r="D43" s="15" t="s">
        <v>548</v>
      </c>
      <c r="E43" s="14">
        <f>'城研数据 '!G83</f>
        <v>0</v>
      </c>
      <c r="F43" s="146">
        <f>ROUND(AVERAGE(E43:E45),2)</f>
        <v>0</v>
      </c>
      <c r="H43" s="143"/>
      <c r="I43" s="145"/>
      <c r="J43" s="134"/>
      <c r="K43" s="15" t="s">
        <v>548</v>
      </c>
      <c r="L43" s="16">
        <f>贝壳案例!W66</f>
        <v>0</v>
      </c>
      <c r="M43" s="146">
        <f>ROUND(AVERAGE(L43:L45),2)</f>
        <v>0</v>
      </c>
      <c r="O43" s="143"/>
      <c r="P43" s="145"/>
      <c r="Q43" s="134"/>
      <c r="R43" s="15" t="s">
        <v>548</v>
      </c>
      <c r="S43" s="16">
        <f>中指数据!L8</f>
        <v>0</v>
      </c>
      <c r="T43" s="146">
        <f>ROUND(AVERAGE(S43:S45),2)</f>
        <v>0</v>
      </c>
    </row>
    <row r="44" spans="1:20" x14ac:dyDescent="0.2">
      <c r="A44" s="143"/>
      <c r="B44" s="145"/>
      <c r="C44" s="132" t="s">
        <v>560</v>
      </c>
      <c r="D44" s="15" t="s">
        <v>549</v>
      </c>
      <c r="E44" s="14">
        <f>'城研数据 '!G84</f>
        <v>0</v>
      </c>
      <c r="F44" s="146"/>
      <c r="H44" s="143"/>
      <c r="I44" s="145"/>
      <c r="J44" s="132" t="s">
        <v>560</v>
      </c>
      <c r="K44" s="15" t="s">
        <v>549</v>
      </c>
      <c r="L44" s="16">
        <f>贝壳案例!W60</f>
        <v>0</v>
      </c>
      <c r="M44" s="146"/>
      <c r="O44" s="143"/>
      <c r="P44" s="145"/>
      <c r="Q44" s="132" t="s">
        <v>560</v>
      </c>
      <c r="R44" s="15" t="s">
        <v>549</v>
      </c>
      <c r="S44" s="16">
        <f>中指数据!K8</f>
        <v>0</v>
      </c>
      <c r="T44" s="146"/>
    </row>
    <row r="45" spans="1:20" x14ac:dyDescent="0.2">
      <c r="A45" s="143"/>
      <c r="B45" s="145"/>
      <c r="C45" s="132"/>
      <c r="D45" s="15" t="s">
        <v>550</v>
      </c>
      <c r="E45" s="14">
        <f>'城研数据 '!G85</f>
        <v>0</v>
      </c>
      <c r="F45" s="146"/>
      <c r="H45" s="143"/>
      <c r="I45" s="145"/>
      <c r="J45" s="132"/>
      <c r="K45" s="15" t="s">
        <v>550</v>
      </c>
      <c r="L45" s="16">
        <f>贝壳案例!W54</f>
        <v>0</v>
      </c>
      <c r="M45" s="146"/>
      <c r="O45" s="143"/>
      <c r="P45" s="145"/>
      <c r="Q45" s="132"/>
      <c r="R45" s="15" t="s">
        <v>550</v>
      </c>
      <c r="S45" s="16">
        <f>中指数据!J8</f>
        <v>0</v>
      </c>
      <c r="T45" s="146"/>
    </row>
    <row r="46" spans="1:20" x14ac:dyDescent="0.2">
      <c r="A46" s="143"/>
      <c r="B46" s="145"/>
      <c r="C46" s="132"/>
      <c r="D46" s="15" t="s">
        <v>551</v>
      </c>
      <c r="E46" s="14">
        <f>'城研数据 '!G86</f>
        <v>0</v>
      </c>
      <c r="F46" s="146">
        <f>ROUND(AVERAGE(E46:E48),2)</f>
        <v>0</v>
      </c>
      <c r="H46" s="143"/>
      <c r="I46" s="145"/>
      <c r="J46" s="132"/>
      <c r="K46" s="15" t="s">
        <v>551</v>
      </c>
      <c r="L46" s="16">
        <f>贝壳案例!W50</f>
        <v>0</v>
      </c>
      <c r="M46" s="146">
        <f>ROUND(AVERAGE(L46:L48),2)</f>
        <v>0</v>
      </c>
      <c r="O46" s="143"/>
      <c r="P46" s="145"/>
      <c r="Q46" s="132"/>
      <c r="R46" s="15" t="s">
        <v>551</v>
      </c>
      <c r="S46" s="16">
        <f>中指数据!I8</f>
        <v>0</v>
      </c>
      <c r="T46" s="146">
        <f>ROUND(AVERAGE(S46:S48),2)</f>
        <v>0</v>
      </c>
    </row>
    <row r="47" spans="1:20" x14ac:dyDescent="0.2">
      <c r="A47" s="143"/>
      <c r="B47" s="145"/>
      <c r="C47" s="132" t="s">
        <v>561</v>
      </c>
      <c r="D47" s="15" t="s">
        <v>552</v>
      </c>
      <c r="E47" s="14">
        <f>'城研数据 '!G87</f>
        <v>0</v>
      </c>
      <c r="F47" s="146"/>
      <c r="H47" s="143"/>
      <c r="I47" s="145"/>
      <c r="J47" s="132" t="s">
        <v>561</v>
      </c>
      <c r="K47" s="15" t="s">
        <v>552</v>
      </c>
      <c r="L47" s="14" t="s">
        <v>77</v>
      </c>
      <c r="M47" s="146"/>
      <c r="O47" s="143"/>
      <c r="P47" s="145"/>
      <c r="Q47" s="132" t="s">
        <v>561</v>
      </c>
      <c r="R47" s="15" t="s">
        <v>552</v>
      </c>
      <c r="S47" s="16">
        <f>中指数据!H8</f>
        <v>0</v>
      </c>
      <c r="T47" s="146"/>
    </row>
    <row r="48" spans="1:20" x14ac:dyDescent="0.2">
      <c r="A48" s="143"/>
      <c r="B48" s="145"/>
      <c r="C48" s="132"/>
      <c r="D48" s="15" t="s">
        <v>553</v>
      </c>
      <c r="E48" s="14">
        <f>'城研数据 '!G88</f>
        <v>0</v>
      </c>
      <c r="F48" s="146"/>
      <c r="H48" s="143"/>
      <c r="I48" s="145"/>
      <c r="J48" s="132"/>
      <c r="K48" s="15" t="s">
        <v>553</v>
      </c>
      <c r="L48" s="16">
        <f>贝壳案例!W48</f>
        <v>0</v>
      </c>
      <c r="M48" s="146"/>
      <c r="O48" s="143"/>
      <c r="P48" s="145"/>
      <c r="Q48" s="132"/>
      <c r="R48" s="15" t="s">
        <v>553</v>
      </c>
      <c r="S48" s="16">
        <f>中指数据!G8</f>
        <v>0</v>
      </c>
      <c r="T48" s="146"/>
    </row>
    <row r="49" spans="1:24" x14ac:dyDescent="0.2">
      <c r="A49" s="143"/>
      <c r="B49" s="145"/>
      <c r="C49" s="132"/>
      <c r="D49" s="15" t="s">
        <v>554</v>
      </c>
      <c r="E49" s="14">
        <f>'城研数据 '!G89</f>
        <v>0</v>
      </c>
      <c r="F49" s="139">
        <f>ROUND(AVERAGE(E49:E51),2)</f>
        <v>0</v>
      </c>
      <c r="H49" s="143"/>
      <c r="I49" s="145"/>
      <c r="J49" s="132"/>
      <c r="K49" s="15" t="s">
        <v>554</v>
      </c>
      <c r="L49" s="14" t="s">
        <v>77</v>
      </c>
      <c r="M49" s="139">
        <f>ROUND(AVERAGE(L49:L51),2)</f>
        <v>36.01</v>
      </c>
      <c r="O49" s="143"/>
      <c r="P49" s="145"/>
      <c r="Q49" s="132"/>
      <c r="R49" s="15" t="s">
        <v>554</v>
      </c>
      <c r="S49" s="16">
        <f>中指数据!F8</f>
        <v>0</v>
      </c>
      <c r="T49" s="139">
        <f>ROUND(AVERAGE(S49:S51),2)</f>
        <v>0</v>
      </c>
    </row>
    <row r="50" spans="1:24" x14ac:dyDescent="0.2">
      <c r="A50" s="143"/>
      <c r="B50" s="145"/>
      <c r="C50" s="132" t="s">
        <v>691</v>
      </c>
      <c r="D50" s="15" t="s">
        <v>555</v>
      </c>
      <c r="E50" s="14">
        <f>'城研数据 '!G90</f>
        <v>0</v>
      </c>
      <c r="F50" s="143"/>
      <c r="H50" s="143"/>
      <c r="I50" s="145"/>
      <c r="J50" s="132" t="s">
        <v>691</v>
      </c>
      <c r="K50" s="15" t="s">
        <v>555</v>
      </c>
      <c r="L50" s="16">
        <f>贝壳案例!J90</f>
        <v>72.02</v>
      </c>
      <c r="M50" s="143"/>
      <c r="O50" s="143"/>
      <c r="P50" s="145"/>
      <c r="Q50" s="132" t="s">
        <v>691</v>
      </c>
      <c r="R50" s="15" t="s">
        <v>555</v>
      </c>
      <c r="S50" s="16">
        <f>中指数据!E8</f>
        <v>0</v>
      </c>
      <c r="T50" s="143"/>
    </row>
    <row r="51" spans="1:24" ht="14.25" customHeight="1" x14ac:dyDescent="0.2">
      <c r="A51" s="143"/>
      <c r="B51" s="145"/>
      <c r="C51" s="132"/>
      <c r="D51" s="15" t="s">
        <v>556</v>
      </c>
      <c r="E51" s="14">
        <f>'城研数据 '!G91</f>
        <v>0</v>
      </c>
      <c r="F51" s="140"/>
      <c r="H51" s="143"/>
      <c r="I51" s="145"/>
      <c r="J51" s="132"/>
      <c r="K51" s="15" t="s">
        <v>556</v>
      </c>
      <c r="L51" s="16">
        <f>贝壳案例!W47</f>
        <v>0</v>
      </c>
      <c r="M51" s="140"/>
      <c r="O51" s="143"/>
      <c r="P51" s="145"/>
      <c r="Q51" s="132"/>
      <c r="R51" s="15" t="s">
        <v>556</v>
      </c>
      <c r="S51" s="16">
        <f>中指数据!D8</f>
        <v>0</v>
      </c>
      <c r="T51" s="140"/>
    </row>
    <row r="52" spans="1:24" ht="14.25" customHeight="1" x14ac:dyDescent="0.2">
      <c r="A52" s="143"/>
      <c r="B52" s="145"/>
      <c r="C52" s="132"/>
      <c r="D52" s="15" t="s">
        <v>557</v>
      </c>
      <c r="E52" s="14">
        <f>'城研数据 '!G92</f>
        <v>0</v>
      </c>
      <c r="F52" s="139">
        <f>ROUND(AVERAGE(E52:E53),2)</f>
        <v>0</v>
      </c>
      <c r="H52" s="143"/>
      <c r="I52" s="145"/>
      <c r="J52" s="132"/>
      <c r="K52" s="15" t="s">
        <v>557</v>
      </c>
      <c r="L52" s="16">
        <f>贝壳案例!W46</f>
        <v>0</v>
      </c>
      <c r="M52" s="139">
        <f>ROUND(AVERAGE(L52:L53),2)</f>
        <v>0</v>
      </c>
      <c r="O52" s="143"/>
      <c r="P52" s="145"/>
      <c r="Q52" s="132"/>
      <c r="R52" s="15" t="s">
        <v>557</v>
      </c>
      <c r="S52" s="16">
        <f>中指数据!C8</f>
        <v>0</v>
      </c>
      <c r="T52" s="139">
        <f>ROUND(AVERAGE(S52:S53),2)</f>
        <v>0</v>
      </c>
    </row>
    <row r="53" spans="1:24" x14ac:dyDescent="0.2">
      <c r="A53" s="143"/>
      <c r="B53" s="145"/>
      <c r="C53" s="57" t="s">
        <v>690</v>
      </c>
      <c r="D53" s="15" t="s">
        <v>558</v>
      </c>
      <c r="E53" s="14">
        <f>'城研数据 '!G93</f>
        <v>0</v>
      </c>
      <c r="F53" s="140"/>
      <c r="H53" s="143"/>
      <c r="I53" s="145"/>
      <c r="J53" s="57" t="s">
        <v>690</v>
      </c>
      <c r="K53" s="15" t="s">
        <v>558</v>
      </c>
      <c r="L53" s="14" t="s">
        <v>77</v>
      </c>
      <c r="M53" s="140"/>
      <c r="O53" s="143"/>
      <c r="P53" s="145"/>
      <c r="Q53" s="57" t="s">
        <v>690</v>
      </c>
      <c r="R53" s="15" t="s">
        <v>558</v>
      </c>
      <c r="S53" s="16">
        <f>中指数据!B8</f>
        <v>0</v>
      </c>
      <c r="T53" s="140"/>
    </row>
    <row r="54" spans="1:24" x14ac:dyDescent="0.2">
      <c r="A54" s="141" t="s">
        <v>76</v>
      </c>
      <c r="B54" s="142"/>
      <c r="C54" s="142"/>
      <c r="D54" s="142"/>
      <c r="E54" s="142"/>
      <c r="F54" s="31">
        <f>ROUND(AVERAGE(F42:F53),2)</f>
        <v>0</v>
      </c>
      <c r="H54" s="141" t="s">
        <v>76</v>
      </c>
      <c r="I54" s="142"/>
      <c r="J54" s="142"/>
      <c r="K54" s="142"/>
      <c r="L54" s="142"/>
      <c r="M54" s="31">
        <f>ROUND(AVERAGE(M42:M53),2)</f>
        <v>7.2</v>
      </c>
      <c r="O54" s="141" t="s">
        <v>76</v>
      </c>
      <c r="P54" s="142"/>
      <c r="Q54" s="142"/>
      <c r="R54" s="142"/>
      <c r="S54" s="142"/>
      <c r="T54" s="31">
        <f>ROUND(AVERAGE(T42:T53),2)</f>
        <v>0</v>
      </c>
    </row>
    <row r="57" spans="1:24" x14ac:dyDescent="0.2">
      <c r="A57" s="132" t="s">
        <v>80</v>
      </c>
      <c r="B57" s="132"/>
      <c r="C57" s="132"/>
      <c r="D57" s="132"/>
      <c r="E57" s="132"/>
      <c r="F57" s="132"/>
    </row>
    <row r="58" spans="1:24" x14ac:dyDescent="0.2">
      <c r="A58" s="14" t="s">
        <v>34</v>
      </c>
      <c r="B58" s="14" t="s">
        <v>72</v>
      </c>
      <c r="C58" s="14" t="s">
        <v>81</v>
      </c>
      <c r="D58" s="15" t="s">
        <v>83</v>
      </c>
      <c r="E58" s="14" t="s">
        <v>82</v>
      </c>
      <c r="F58" s="14" t="s">
        <v>84</v>
      </c>
      <c r="G58" s="17" t="s">
        <v>86</v>
      </c>
      <c r="H58" s="17" t="s">
        <v>87</v>
      </c>
      <c r="I58" s="17" t="s">
        <v>88</v>
      </c>
      <c r="J58" s="17" t="s">
        <v>573</v>
      </c>
      <c r="K58" s="17" t="s">
        <v>574</v>
      </c>
    </row>
    <row r="59" spans="1:24" s="91" customFormat="1" x14ac:dyDescent="0.2">
      <c r="A59" s="88">
        <v>1</v>
      </c>
      <c r="B59" s="89" t="str">
        <f>B3</f>
        <v>义和庄北里</v>
      </c>
      <c r="C59" s="88">
        <f>F15</f>
        <v>46.51</v>
      </c>
      <c r="D59" s="88">
        <f>M15</f>
        <v>49.4</v>
      </c>
      <c r="E59" s="88">
        <f>T15</f>
        <v>50.39</v>
      </c>
      <c r="F59" s="88">
        <f>ROUND(AVERAGE(C59:E59),2)</f>
        <v>48.77</v>
      </c>
      <c r="G59" s="90">
        <v>0.8</v>
      </c>
      <c r="H59" s="90">
        <f>30/12</f>
        <v>2.5</v>
      </c>
      <c r="I59" s="90">
        <f>ROUND(F59-G59-H59,2)</f>
        <v>45.47</v>
      </c>
      <c r="J59" s="90">
        <f>ROUND(I59/(1+5%)*2.5%,2)</f>
        <v>1.08</v>
      </c>
      <c r="K59" s="90">
        <f>I59-J59</f>
        <v>44.39</v>
      </c>
      <c r="L59" s="90"/>
    </row>
    <row r="60" spans="1:24" s="91" customFormat="1" x14ac:dyDescent="0.2">
      <c r="A60" s="88">
        <v>2</v>
      </c>
      <c r="B60" s="89" t="str">
        <f>B16</f>
        <v>锦华园</v>
      </c>
      <c r="C60" s="88">
        <f>F28</f>
        <v>43.42</v>
      </c>
      <c r="D60" s="88">
        <f>M28</f>
        <v>42.45</v>
      </c>
      <c r="E60" s="88">
        <f>T28</f>
        <v>51.12</v>
      </c>
      <c r="F60" s="88">
        <f>ROUND(AVERAGE(C60:E60),2)</f>
        <v>45.66</v>
      </c>
      <c r="G60" s="90">
        <v>1.47</v>
      </c>
      <c r="H60" s="90">
        <f>30/12</f>
        <v>2.5</v>
      </c>
      <c r="I60" s="90">
        <f>ROUND(F60-G60-H60,2)</f>
        <v>41.69</v>
      </c>
      <c r="J60" s="90">
        <f t="shared" ref="J60:J61" si="0">ROUND(I60/(1+5%)*2.5%,2)</f>
        <v>0.99</v>
      </c>
      <c r="K60" s="90">
        <f t="shared" ref="K60" si="1">I60-J60</f>
        <v>40.699999999999996</v>
      </c>
      <c r="L60" s="90"/>
    </row>
    <row r="61" spans="1:24" x14ac:dyDescent="0.2">
      <c r="A61" s="88">
        <v>3</v>
      </c>
      <c r="B61" s="89" t="str">
        <f>B29</f>
        <v>义和庄东里</v>
      </c>
      <c r="C61" s="88">
        <f>F41</f>
        <v>39.28</v>
      </c>
      <c r="D61" s="88">
        <f>M41</f>
        <v>38.07</v>
      </c>
      <c r="E61" s="88">
        <f>T41</f>
        <v>49.83</v>
      </c>
      <c r="F61" s="88">
        <f>ROUND(AVERAGE(C61:E61),2)</f>
        <v>42.39</v>
      </c>
      <c r="G61" s="90">
        <v>0.8</v>
      </c>
      <c r="H61" s="90">
        <f>30/12</f>
        <v>2.5</v>
      </c>
      <c r="I61" s="90">
        <f>ROUND(F61-G61-H61,2)</f>
        <v>39.090000000000003</v>
      </c>
      <c r="J61" s="90">
        <f t="shared" si="0"/>
        <v>0.93</v>
      </c>
      <c r="K61" s="90">
        <f>I61-J61</f>
        <v>38.160000000000004</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ref="J62" si="2">ROUND(I62/(1+5%)*2.5%,2)</f>
        <v>0.01</v>
      </c>
      <c r="K62" s="90">
        <f t="shared" ref="K62" si="3">I62-J62</f>
        <v>0.41</v>
      </c>
      <c r="L62" s="90"/>
    </row>
    <row r="63" spans="1:24" x14ac:dyDescent="0.2">
      <c r="D63" s="1"/>
    </row>
    <row r="64" spans="1:24" x14ac:dyDescent="0.2">
      <c r="D64" s="1"/>
      <c r="X64" s="55" t="s">
        <v>575</v>
      </c>
    </row>
    <row r="65" spans="4:4" x14ac:dyDescent="0.2">
      <c r="D65" s="1"/>
    </row>
    <row r="66" spans="4:4" x14ac:dyDescent="0.2">
      <c r="D66" s="1"/>
    </row>
    <row r="93" spans="3:24" ht="15" thickBot="1" x14ac:dyDescent="0.25"/>
    <row r="94" spans="3:24" ht="77.25" thickBot="1" x14ac:dyDescent="0.25">
      <c r="C94" s="137" t="str">
        <f>B59</f>
        <v>义和庄北里</v>
      </c>
      <c r="D94" s="138"/>
      <c r="E94" s="53" t="s">
        <v>567</v>
      </c>
      <c r="F94" s="53" t="s">
        <v>568</v>
      </c>
      <c r="G94" s="53" t="s">
        <v>569</v>
      </c>
    </row>
    <row r="95" spans="3:24" ht="27.6" customHeight="1" thickBot="1" x14ac:dyDescent="0.25">
      <c r="C95" s="135" t="s">
        <v>779</v>
      </c>
      <c r="D95" s="136"/>
      <c r="E95" s="54">
        <f>T3</f>
        <v>48.39</v>
      </c>
      <c r="F95" s="54">
        <f>M3</f>
        <v>51.99</v>
      </c>
      <c r="G95" s="54">
        <f>F3</f>
        <v>43.64</v>
      </c>
      <c r="V95" s="54">
        <f>AK3</f>
        <v>0</v>
      </c>
      <c r="W95" s="54">
        <f>AD3</f>
        <v>0</v>
      </c>
      <c r="X95" s="54">
        <f>W3</f>
        <v>0</v>
      </c>
    </row>
    <row r="96" spans="3:24" ht="15" thickBot="1" x14ac:dyDescent="0.25">
      <c r="C96" s="135" t="s">
        <v>565</v>
      </c>
      <c r="D96" s="136"/>
      <c r="E96" s="54">
        <f>T5</f>
        <v>49.22</v>
      </c>
      <c r="F96" s="54">
        <f>M5</f>
        <v>48.13</v>
      </c>
      <c r="G96" s="54">
        <f>F5</f>
        <v>45.39</v>
      </c>
      <c r="V96" s="54">
        <f>AK5</f>
        <v>0</v>
      </c>
      <c r="W96" s="54">
        <f>AD5</f>
        <v>0</v>
      </c>
      <c r="X96" s="54">
        <f>W5</f>
        <v>0</v>
      </c>
    </row>
    <row r="97" spans="3:24" ht="15" thickBot="1" x14ac:dyDescent="0.25">
      <c r="C97" s="135" t="s">
        <v>571</v>
      </c>
      <c r="D97" s="136"/>
      <c r="E97" s="54">
        <f>T8</f>
        <v>48.15</v>
      </c>
      <c r="F97" s="54">
        <f>M8</f>
        <v>37.17</v>
      </c>
      <c r="G97" s="54">
        <f>F8</f>
        <v>46.67</v>
      </c>
      <c r="V97" s="54">
        <f>AK8</f>
        <v>0</v>
      </c>
      <c r="W97" s="54">
        <f>AD8</f>
        <v>0</v>
      </c>
      <c r="X97" s="54">
        <f>W8</f>
        <v>0</v>
      </c>
    </row>
    <row r="98" spans="3:24" ht="15" thickBot="1" x14ac:dyDescent="0.25">
      <c r="C98" s="135" t="s">
        <v>777</v>
      </c>
      <c r="D98" s="136"/>
      <c r="E98" s="54">
        <f>T11</f>
        <v>53.96</v>
      </c>
      <c r="F98" s="54">
        <f>M11</f>
        <v>49.04</v>
      </c>
      <c r="G98" s="54">
        <f>F11</f>
        <v>47.38</v>
      </c>
      <c r="V98" s="54">
        <f>AK11</f>
        <v>0</v>
      </c>
      <c r="W98" s="54">
        <f>AD11</f>
        <v>0</v>
      </c>
      <c r="X98" s="54">
        <f>W11</f>
        <v>0</v>
      </c>
    </row>
    <row r="99" spans="3:24" ht="27.6" customHeight="1" thickBot="1" x14ac:dyDescent="0.25">
      <c r="C99" s="135" t="s">
        <v>778</v>
      </c>
      <c r="D99" s="136"/>
      <c r="E99" s="54">
        <f>T14</f>
        <v>52.23</v>
      </c>
      <c r="F99" s="54">
        <f>M14</f>
        <v>60.66</v>
      </c>
      <c r="G99" s="54">
        <f>F14</f>
        <v>49.46</v>
      </c>
      <c r="V99" s="54">
        <f>AK14</f>
        <v>0</v>
      </c>
      <c r="W99" s="54">
        <f>AD14</f>
        <v>0</v>
      </c>
      <c r="X99" s="54">
        <f>W14</f>
        <v>0</v>
      </c>
    </row>
    <row r="100" spans="3:24" ht="26.25" thickBot="1" x14ac:dyDescent="0.25">
      <c r="C100" s="137" t="s">
        <v>566</v>
      </c>
      <c r="D100" s="138"/>
      <c r="E100" s="54">
        <f>ROUND(AVERAGE(E95:E99),2)</f>
        <v>50.39</v>
      </c>
      <c r="F100" s="54">
        <f>ROUND(AVERAGE(F95:F99),2)</f>
        <v>49.4</v>
      </c>
      <c r="G100" s="54">
        <f>ROUND(AVERAGE(G95:G99),2)</f>
        <v>46.51</v>
      </c>
      <c r="O100" s="137" t="s">
        <v>6</v>
      </c>
      <c r="P100" s="138"/>
      <c r="Q100" s="53" t="s">
        <v>567</v>
      </c>
      <c r="R100" s="53" t="s">
        <v>568</v>
      </c>
      <c r="S100" s="53" t="s">
        <v>569</v>
      </c>
    </row>
    <row r="101" spans="3:24" ht="15" thickBot="1" x14ac:dyDescent="0.25">
      <c r="O101" s="135" t="s">
        <v>570</v>
      </c>
      <c r="P101" s="136"/>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35" t="s">
        <v>563</v>
      </c>
      <c r="P105" s="136"/>
      <c r="Q105" s="54">
        <f>T43</f>
        <v>0</v>
      </c>
      <c r="R105" s="54">
        <f>M43</f>
        <v>0</v>
      </c>
      <c r="S105" s="54">
        <f>F43</f>
        <v>0</v>
      </c>
    </row>
    <row r="106" spans="3:24" ht="15" thickBot="1" x14ac:dyDescent="0.25">
      <c r="O106" s="135" t="s">
        <v>564</v>
      </c>
      <c r="P106" s="136"/>
      <c r="Q106" s="54">
        <f>T46</f>
        <v>0</v>
      </c>
      <c r="R106" s="54">
        <f>M46</f>
        <v>0</v>
      </c>
      <c r="S106" s="54">
        <f>F46</f>
        <v>0</v>
      </c>
    </row>
    <row r="107" spans="3:24" ht="15" thickBot="1" x14ac:dyDescent="0.25">
      <c r="O107" s="135" t="s">
        <v>565</v>
      </c>
      <c r="P107" s="136"/>
      <c r="Q107" s="54">
        <f>T49</f>
        <v>0</v>
      </c>
      <c r="R107" s="54">
        <f>M49</f>
        <v>36.01</v>
      </c>
      <c r="S107" s="54">
        <f>F49</f>
        <v>0</v>
      </c>
    </row>
    <row r="108" spans="3:24" ht="77.25" thickBot="1" x14ac:dyDescent="0.25">
      <c r="C108" s="137" t="str">
        <f>B60</f>
        <v>锦华园</v>
      </c>
      <c r="D108" s="138"/>
      <c r="E108" s="53" t="s">
        <v>567</v>
      </c>
      <c r="F108" s="53" t="s">
        <v>568</v>
      </c>
      <c r="G108" s="53" t="s">
        <v>569</v>
      </c>
      <c r="O108" s="135" t="s">
        <v>571</v>
      </c>
      <c r="P108" s="136"/>
      <c r="Q108" s="54">
        <f>T52</f>
        <v>0</v>
      </c>
      <c r="R108" s="54">
        <f>M52</f>
        <v>0</v>
      </c>
      <c r="S108" s="54">
        <f>F52</f>
        <v>0</v>
      </c>
    </row>
    <row r="109" spans="3:24" ht="27.6" customHeight="1" thickBot="1" x14ac:dyDescent="0.25">
      <c r="C109" s="135" t="s">
        <v>779</v>
      </c>
      <c r="D109" s="136"/>
      <c r="E109" s="54">
        <f>T16</f>
        <v>50.07</v>
      </c>
      <c r="F109" s="54">
        <f>M16</f>
        <v>39.21</v>
      </c>
      <c r="G109" s="54">
        <f>F16</f>
        <v>41.42</v>
      </c>
      <c r="O109" s="137" t="s">
        <v>566</v>
      </c>
      <c r="P109" s="138"/>
      <c r="Q109" s="54">
        <f>T54</f>
        <v>0</v>
      </c>
      <c r="R109" s="54">
        <f>M54</f>
        <v>7.2</v>
      </c>
      <c r="S109" s="54">
        <f>F54</f>
        <v>0</v>
      </c>
    </row>
    <row r="110" spans="3:24" ht="15" thickBot="1" x14ac:dyDescent="0.25">
      <c r="C110" s="135" t="s">
        <v>565</v>
      </c>
      <c r="D110" s="136"/>
      <c r="E110" s="54">
        <f>T18</f>
        <v>47.7</v>
      </c>
      <c r="F110" s="54">
        <f>M18</f>
        <v>37.57</v>
      </c>
      <c r="G110" s="54">
        <f>F18</f>
        <v>40.630000000000003</v>
      </c>
    </row>
    <row r="111" spans="3:24" ht="15" thickBot="1" x14ac:dyDescent="0.25">
      <c r="C111" s="135" t="s">
        <v>571</v>
      </c>
      <c r="D111" s="136"/>
      <c r="E111" s="54">
        <f>T21</f>
        <v>53.08</v>
      </c>
      <c r="F111" s="54">
        <f>M21</f>
        <v>41.61</v>
      </c>
      <c r="G111" s="54">
        <f>F21</f>
        <v>43.59</v>
      </c>
    </row>
    <row r="112" spans="3:24" ht="15" thickBot="1" x14ac:dyDescent="0.25">
      <c r="C112" s="135" t="s">
        <v>777</v>
      </c>
      <c r="D112" s="136"/>
      <c r="E112" s="54">
        <f>T24</f>
        <v>57</v>
      </c>
      <c r="F112" s="54">
        <f>M24</f>
        <v>44.78</v>
      </c>
      <c r="G112" s="54">
        <f>F24</f>
        <v>44.49</v>
      </c>
    </row>
    <row r="113" spans="3:7" ht="27.6" customHeight="1" thickBot="1" x14ac:dyDescent="0.25">
      <c r="C113" s="135" t="s">
        <v>778</v>
      </c>
      <c r="D113" s="136"/>
      <c r="E113" s="54">
        <f>T27</f>
        <v>47.77</v>
      </c>
      <c r="F113" s="54">
        <f>M27</f>
        <v>49.06</v>
      </c>
      <c r="G113" s="54">
        <f>F27</f>
        <v>46.97</v>
      </c>
    </row>
    <row r="114" spans="3:7" ht="15" thickBot="1" x14ac:dyDescent="0.25">
      <c r="C114" s="137" t="s">
        <v>566</v>
      </c>
      <c r="D114" s="138"/>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37" t="str">
        <f>B61</f>
        <v>义和庄东里</v>
      </c>
      <c r="D122" s="138"/>
      <c r="E122" s="53" t="s">
        <v>567</v>
      </c>
      <c r="F122" s="53" t="s">
        <v>568</v>
      </c>
      <c r="G122" s="53" t="s">
        <v>569</v>
      </c>
    </row>
    <row r="123" spans="3:7" ht="27.6" customHeight="1" thickBot="1" x14ac:dyDescent="0.25">
      <c r="C123" s="135" t="s">
        <v>779</v>
      </c>
      <c r="D123" s="136"/>
      <c r="E123" s="54">
        <f>T29</f>
        <v>46.15</v>
      </c>
      <c r="F123" s="54">
        <f>M29</f>
        <v>39.08</v>
      </c>
      <c r="G123" s="54">
        <f>F29</f>
        <v>43.26</v>
      </c>
    </row>
    <row r="124" spans="3:7" ht="15" thickBot="1" x14ac:dyDescent="0.25">
      <c r="C124" s="135" t="s">
        <v>565</v>
      </c>
      <c r="D124" s="136"/>
      <c r="E124" s="54">
        <f>T31</f>
        <v>44.89</v>
      </c>
      <c r="F124" s="54">
        <f>M31</f>
        <v>35.869999999999997</v>
      </c>
      <c r="G124" s="54">
        <f>F31</f>
        <v>36.46</v>
      </c>
    </row>
    <row r="125" spans="3:7" ht="15" thickBot="1" x14ac:dyDescent="0.25">
      <c r="C125" s="135" t="s">
        <v>571</v>
      </c>
      <c r="D125" s="136"/>
      <c r="E125" s="54">
        <f>T34</f>
        <v>49.99</v>
      </c>
      <c r="F125" s="54">
        <f>M34</f>
        <v>44.46</v>
      </c>
      <c r="G125" s="54">
        <f>F34</f>
        <v>40.130000000000003</v>
      </c>
    </row>
    <row r="126" spans="3:7" ht="15" thickBot="1" x14ac:dyDescent="0.25">
      <c r="C126" s="135" t="s">
        <v>777</v>
      </c>
      <c r="D126" s="136"/>
      <c r="E126" s="54">
        <f>T37</f>
        <v>52.94</v>
      </c>
      <c r="F126" s="54">
        <f>M37</f>
        <v>35.630000000000003</v>
      </c>
      <c r="G126" s="54">
        <f>F37</f>
        <v>44.64</v>
      </c>
    </row>
    <row r="127" spans="3:7" ht="27.6" customHeight="1" thickBot="1" x14ac:dyDescent="0.25">
      <c r="C127" s="135" t="s">
        <v>778</v>
      </c>
      <c r="D127" s="136"/>
      <c r="E127" s="54">
        <f>T40</f>
        <v>55.16</v>
      </c>
      <c r="F127" s="54">
        <f>M40</f>
        <v>35.29</v>
      </c>
      <c r="G127" s="54">
        <f>F40</f>
        <v>31.9</v>
      </c>
    </row>
    <row r="128" spans="3:7" ht="15" thickBot="1" x14ac:dyDescent="0.25">
      <c r="C128" s="137" t="s">
        <v>566</v>
      </c>
      <c r="D128" s="138"/>
      <c r="E128" s="54">
        <f>ROUND(AVERAGE(E123:E127),2)</f>
        <v>49.83</v>
      </c>
      <c r="F128" s="54">
        <f>ROUND(AVERAGE(F123:F127),2)</f>
        <v>38.07</v>
      </c>
      <c r="G128" s="54">
        <f>ROUND(AVERAGE(G123:G127),2)</f>
        <v>39.28</v>
      </c>
    </row>
  </sheetData>
  <mergeCells count="164">
    <mergeCell ref="C50:C52"/>
    <mergeCell ref="J42:J43"/>
    <mergeCell ref="J44:J46"/>
    <mergeCell ref="J47:J49"/>
    <mergeCell ref="J50:J52"/>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J29:J30"/>
    <mergeCell ref="C34:C36"/>
    <mergeCell ref="C37:C39"/>
    <mergeCell ref="H41:L41"/>
    <mergeCell ref="C16:C17"/>
    <mergeCell ref="C18:C20"/>
    <mergeCell ref="C21:C23"/>
    <mergeCell ref="C24:C26"/>
    <mergeCell ref="F3:F4"/>
    <mergeCell ref="M3:M4"/>
    <mergeCell ref="C42:C43"/>
    <mergeCell ref="C44:C46"/>
    <mergeCell ref="C47:C49"/>
    <mergeCell ref="A41:E41"/>
    <mergeCell ref="A29:A40"/>
    <mergeCell ref="B29:B40"/>
    <mergeCell ref="A28:E28"/>
    <mergeCell ref="A16:A27"/>
    <mergeCell ref="B16:B27"/>
    <mergeCell ref="F16:F17"/>
    <mergeCell ref="F18:F20"/>
    <mergeCell ref="F21:F23"/>
    <mergeCell ref="F24:F26"/>
    <mergeCell ref="M16:M17"/>
    <mergeCell ref="M18:M20"/>
    <mergeCell ref="M21:M23"/>
    <mergeCell ref="C29:C30"/>
    <mergeCell ref="C31:C33"/>
    <mergeCell ref="O1:T1"/>
    <mergeCell ref="Q5:Q7"/>
    <mergeCell ref="T5:T7"/>
    <mergeCell ref="C8:C10"/>
    <mergeCell ref="C5:C7"/>
    <mergeCell ref="C11:C13"/>
    <mergeCell ref="F11:F13"/>
    <mergeCell ref="A15:E15"/>
    <mergeCell ref="A1:F1"/>
    <mergeCell ref="F5:F7"/>
    <mergeCell ref="F8:F10"/>
    <mergeCell ref="A4:A14"/>
    <mergeCell ref="B3:B14"/>
    <mergeCell ref="O15:S15"/>
    <mergeCell ref="C3:C4"/>
    <mergeCell ref="H15:L15"/>
    <mergeCell ref="H1:M1"/>
    <mergeCell ref="J5:J7"/>
    <mergeCell ref="J8:J10"/>
    <mergeCell ref="J11:J13"/>
    <mergeCell ref="M5:M7"/>
    <mergeCell ref="M8:M10"/>
    <mergeCell ref="Q8:Q10"/>
    <mergeCell ref="T8:T10"/>
    <mergeCell ref="H16:H27"/>
    <mergeCell ref="I16:I27"/>
    <mergeCell ref="O41:S41"/>
    <mergeCell ref="M11:M13"/>
    <mergeCell ref="H28:L28"/>
    <mergeCell ref="H29:H40"/>
    <mergeCell ref="I29:I40"/>
    <mergeCell ref="M24:M26"/>
    <mergeCell ref="I3:I14"/>
    <mergeCell ref="P3:P14"/>
    <mergeCell ref="H3:H14"/>
    <mergeCell ref="O3:O14"/>
    <mergeCell ref="J34:J36"/>
    <mergeCell ref="J37:J39"/>
    <mergeCell ref="Q29:Q30"/>
    <mergeCell ref="Q31:Q33"/>
    <mergeCell ref="Q34:Q36"/>
    <mergeCell ref="Q37:Q39"/>
    <mergeCell ref="T3:T4"/>
    <mergeCell ref="T11:T13"/>
    <mergeCell ref="T16:T17"/>
    <mergeCell ref="C114:D114"/>
    <mergeCell ref="C128:D128"/>
    <mergeCell ref="C94:D94"/>
    <mergeCell ref="C95:D95"/>
    <mergeCell ref="C96:D96"/>
    <mergeCell ref="C97:D97"/>
    <mergeCell ref="C98:D98"/>
    <mergeCell ref="C99:D99"/>
    <mergeCell ref="C108:D108"/>
    <mergeCell ref="C109:D109"/>
    <mergeCell ref="C110:D110"/>
    <mergeCell ref="C111:D111"/>
    <mergeCell ref="C112:D112"/>
    <mergeCell ref="C113:D113"/>
    <mergeCell ref="C122:D122"/>
    <mergeCell ref="C123:D123"/>
    <mergeCell ref="C124:D124"/>
    <mergeCell ref="C125:D125"/>
    <mergeCell ref="C126:D126"/>
    <mergeCell ref="C127:D127"/>
    <mergeCell ref="I42:I53"/>
    <mergeCell ref="O42:O53"/>
    <mergeCell ref="P42:P53"/>
    <mergeCell ref="F43:F45"/>
    <mergeCell ref="M43:M45"/>
    <mergeCell ref="F52:F53"/>
    <mergeCell ref="Q42:Q43"/>
    <mergeCell ref="Q44:Q46"/>
    <mergeCell ref="Q47:Q49"/>
    <mergeCell ref="Q50:Q52"/>
    <mergeCell ref="O107:P107"/>
    <mergeCell ref="O108:P108"/>
    <mergeCell ref="O109:P109"/>
    <mergeCell ref="T52:T53"/>
    <mergeCell ref="A54:E54"/>
    <mergeCell ref="H54:L54"/>
    <mergeCell ref="O54:S54"/>
    <mergeCell ref="O100:P100"/>
    <mergeCell ref="O101:P101"/>
    <mergeCell ref="O105:P105"/>
    <mergeCell ref="O106:P106"/>
    <mergeCell ref="A42:A53"/>
    <mergeCell ref="B42:B53"/>
    <mergeCell ref="M52:M53"/>
    <mergeCell ref="C100:D100"/>
    <mergeCell ref="A57:F57"/>
    <mergeCell ref="T43:T45"/>
    <mergeCell ref="F46:F48"/>
    <mergeCell ref="M46:M48"/>
    <mergeCell ref="T46:T48"/>
    <mergeCell ref="F49:F51"/>
    <mergeCell ref="M49:M51"/>
    <mergeCell ref="T49:T51"/>
    <mergeCell ref="H42:H53"/>
    <mergeCell ref="J31:J33"/>
    <mergeCell ref="J3:J4"/>
    <mergeCell ref="Q3:Q4"/>
    <mergeCell ref="J16:J17"/>
    <mergeCell ref="J18:J20"/>
    <mergeCell ref="J21:J23"/>
    <mergeCell ref="J24:J26"/>
    <mergeCell ref="Q16:Q17"/>
    <mergeCell ref="Q18:Q20"/>
    <mergeCell ref="Q21:Q23"/>
    <mergeCell ref="Q24:Q26"/>
    <mergeCell ref="Q11:Q13"/>
    <mergeCell ref="O16:O27"/>
    <mergeCell ref="P16:P27"/>
    <mergeCell ref="O28:S28"/>
    <mergeCell ref="O29:O40"/>
    <mergeCell ref="P29:P40"/>
  </mergeCells>
  <phoneticPr fontId="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6BE9B-4DBA-4A44-96A9-D136F6B89947}">
  <dimension ref="A1:X128"/>
  <sheetViews>
    <sheetView workbookViewId="0">
      <selection activeCell="I60" sqref="G60:I60"/>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2" t="s">
        <v>78</v>
      </c>
      <c r="B1" s="132"/>
      <c r="C1" s="132"/>
      <c r="D1" s="132"/>
      <c r="E1" s="132"/>
      <c r="F1" s="132"/>
      <c r="H1" s="132" t="s">
        <v>79</v>
      </c>
      <c r="I1" s="132"/>
      <c r="J1" s="132"/>
      <c r="K1" s="132"/>
      <c r="L1" s="132"/>
      <c r="M1" s="132"/>
      <c r="O1" s="132" t="s">
        <v>562</v>
      </c>
      <c r="P1" s="132"/>
      <c r="Q1" s="132"/>
      <c r="R1" s="132"/>
      <c r="S1" s="132"/>
      <c r="T1" s="132"/>
    </row>
    <row r="2" spans="1:20" x14ac:dyDescent="0.2">
      <c r="A2" s="14" t="s">
        <v>34</v>
      </c>
      <c r="B2" s="14" t="s">
        <v>8</v>
      </c>
      <c r="C2" s="14" t="s">
        <v>75</v>
      </c>
      <c r="D2" s="15" t="s">
        <v>74</v>
      </c>
      <c r="E2" s="14" t="s">
        <v>73</v>
      </c>
      <c r="F2" s="14" t="s">
        <v>76</v>
      </c>
      <c r="H2" s="14" t="s">
        <v>34</v>
      </c>
      <c r="I2" s="14" t="s">
        <v>8</v>
      </c>
      <c r="J2" s="14" t="s">
        <v>75</v>
      </c>
      <c r="K2" s="15" t="s">
        <v>74</v>
      </c>
      <c r="L2" s="14" t="s">
        <v>73</v>
      </c>
      <c r="M2" s="14" t="s">
        <v>76</v>
      </c>
      <c r="O2" s="14" t="s">
        <v>34</v>
      </c>
      <c r="P2" s="14" t="s">
        <v>8</v>
      </c>
      <c r="Q2" s="14" t="s">
        <v>75</v>
      </c>
      <c r="R2" s="15" t="s">
        <v>74</v>
      </c>
      <c r="S2" s="14" t="s">
        <v>73</v>
      </c>
      <c r="T2" s="14" t="s">
        <v>76</v>
      </c>
    </row>
    <row r="3" spans="1:20" x14ac:dyDescent="0.2">
      <c r="A3" s="57"/>
      <c r="B3" s="144" t="str">
        <f>'城研数据 整理'!B2</f>
        <v>义和庄北里</v>
      </c>
      <c r="C3" s="133" t="s">
        <v>559</v>
      </c>
      <c r="D3" s="15" t="s">
        <v>694</v>
      </c>
      <c r="E3" s="14" t="s">
        <v>77</v>
      </c>
      <c r="F3" s="133">
        <f>ROUND(AVERAGE(E3:E4),2)</f>
        <v>43.64</v>
      </c>
      <c r="H3" s="139">
        <v>1</v>
      </c>
      <c r="I3" s="144" t="str">
        <f>B3</f>
        <v>义和庄北里</v>
      </c>
      <c r="J3" s="133" t="s">
        <v>559</v>
      </c>
      <c r="K3" s="15" t="s">
        <v>694</v>
      </c>
      <c r="L3" s="14">
        <f>贝壳案例!T2</f>
        <v>51.99</v>
      </c>
      <c r="M3" s="133">
        <f>ROUND(AVERAGE(L3:L4),2)</f>
        <v>51.99</v>
      </c>
      <c r="O3" s="139">
        <v>1</v>
      </c>
      <c r="P3" s="144" t="str">
        <f>B3</f>
        <v>义和庄北里</v>
      </c>
      <c r="Q3" s="133" t="s">
        <v>559</v>
      </c>
      <c r="R3" s="15" t="s">
        <v>694</v>
      </c>
      <c r="S3" s="14">
        <f>中指数据!F13</f>
        <v>48.9</v>
      </c>
      <c r="T3" s="133">
        <f>ROUND(AVERAGE(S3:S4),2)</f>
        <v>48.39</v>
      </c>
    </row>
    <row r="4" spans="1:20" ht="14.25" customHeight="1" x14ac:dyDescent="0.2">
      <c r="A4" s="139">
        <v>1</v>
      </c>
      <c r="B4" s="145"/>
      <c r="C4" s="134"/>
      <c r="D4" s="15" t="s">
        <v>695</v>
      </c>
      <c r="E4" s="14">
        <f>'城研数据 整理'!F12</f>
        <v>43.64</v>
      </c>
      <c r="F4" s="134"/>
      <c r="H4" s="143"/>
      <c r="I4" s="145" t="str">
        <f>B3</f>
        <v>义和庄北里</v>
      </c>
      <c r="J4" s="134"/>
      <c r="K4" s="15" t="s">
        <v>695</v>
      </c>
      <c r="L4" s="14" t="str">
        <f>贝壳案例!T3</f>
        <v>-</v>
      </c>
      <c r="M4" s="134"/>
      <c r="O4" s="143"/>
      <c r="P4" s="145" t="str">
        <f>B3</f>
        <v>义和庄北里</v>
      </c>
      <c r="Q4" s="134"/>
      <c r="R4" s="15" t="s">
        <v>695</v>
      </c>
      <c r="S4" s="14">
        <f>中指数据!F14</f>
        <v>47.87</v>
      </c>
      <c r="T4" s="134"/>
    </row>
    <row r="5" spans="1:20" ht="14.25" customHeight="1" x14ac:dyDescent="0.2">
      <c r="A5" s="143"/>
      <c r="B5" s="145"/>
      <c r="C5" s="132" t="s">
        <v>560</v>
      </c>
      <c r="D5" s="15" t="s">
        <v>696</v>
      </c>
      <c r="E5" s="14">
        <f>'城研数据 整理'!F11</f>
        <v>41.97</v>
      </c>
      <c r="F5" s="146">
        <f>ROUND(AVERAGE(E5:E7),2)</f>
        <v>45.39</v>
      </c>
      <c r="H5" s="143"/>
      <c r="I5" s="145"/>
      <c r="J5" s="132" t="s">
        <v>560</v>
      </c>
      <c r="K5" s="15" t="s">
        <v>696</v>
      </c>
      <c r="L5" s="14">
        <f>贝壳案例!T4</f>
        <v>43.1</v>
      </c>
      <c r="M5" s="146">
        <f>ROUND(AVERAGE(L5:L7),2)</f>
        <v>48.13</v>
      </c>
      <c r="O5" s="143"/>
      <c r="P5" s="145"/>
      <c r="Q5" s="132" t="s">
        <v>560</v>
      </c>
      <c r="R5" s="15" t="s">
        <v>696</v>
      </c>
      <c r="S5" s="14">
        <f>中指数据!F15</f>
        <v>47.5</v>
      </c>
      <c r="T5" s="146">
        <f>ROUND(AVERAGE(S5:S7),2)</f>
        <v>49.22</v>
      </c>
    </row>
    <row r="6" spans="1:20" ht="14.25" customHeight="1" x14ac:dyDescent="0.2">
      <c r="A6" s="143"/>
      <c r="B6" s="145"/>
      <c r="C6" s="132"/>
      <c r="D6" s="15" t="s">
        <v>697</v>
      </c>
      <c r="E6" s="14">
        <f>'城研数据 整理'!F10</f>
        <v>47.32</v>
      </c>
      <c r="F6" s="146"/>
      <c r="H6" s="143"/>
      <c r="I6" s="145"/>
      <c r="J6" s="132"/>
      <c r="K6" s="15" t="s">
        <v>697</v>
      </c>
      <c r="L6" s="14">
        <f>贝壳案例!T5</f>
        <v>45.45</v>
      </c>
      <c r="M6" s="146"/>
      <c r="O6" s="143"/>
      <c r="P6" s="145"/>
      <c r="Q6" s="132"/>
      <c r="R6" s="15" t="s">
        <v>697</v>
      </c>
      <c r="S6" s="14">
        <f>中指数据!F16</f>
        <v>49.48</v>
      </c>
      <c r="T6" s="146"/>
    </row>
    <row r="7" spans="1:20" x14ac:dyDescent="0.2">
      <c r="A7" s="143"/>
      <c r="B7" s="145"/>
      <c r="C7" s="132"/>
      <c r="D7" s="15" t="s">
        <v>698</v>
      </c>
      <c r="E7" s="14">
        <f>'城研数据 整理'!F9</f>
        <v>46.87</v>
      </c>
      <c r="F7" s="146"/>
      <c r="H7" s="143"/>
      <c r="I7" s="145"/>
      <c r="J7" s="132"/>
      <c r="K7" s="15" t="s">
        <v>698</v>
      </c>
      <c r="L7" s="14">
        <f>贝壳案例!T6</f>
        <v>55.83</v>
      </c>
      <c r="M7" s="146"/>
      <c r="N7" s="1">
        <v>2</v>
      </c>
      <c r="O7" s="143"/>
      <c r="P7" s="145"/>
      <c r="Q7" s="132"/>
      <c r="R7" s="15" t="s">
        <v>698</v>
      </c>
      <c r="S7" s="14">
        <f>中指数据!F17</f>
        <v>50.67</v>
      </c>
      <c r="T7" s="146"/>
    </row>
    <row r="8" spans="1:20" x14ac:dyDescent="0.2">
      <c r="A8" s="143"/>
      <c r="B8" s="145"/>
      <c r="C8" s="132" t="s">
        <v>561</v>
      </c>
      <c r="D8" s="15" t="s">
        <v>699</v>
      </c>
      <c r="E8" s="14">
        <f>'城研数据 整理'!F8</f>
        <v>49.76</v>
      </c>
      <c r="F8" s="146">
        <f>ROUND(AVERAGE(E8:E10),2)</f>
        <v>46.67</v>
      </c>
      <c r="H8" s="143"/>
      <c r="I8" s="145"/>
      <c r="J8" s="132" t="s">
        <v>561</v>
      </c>
      <c r="K8" s="15" t="s">
        <v>699</v>
      </c>
      <c r="L8" s="14" t="str">
        <f>贝壳案例!T7</f>
        <v>-</v>
      </c>
      <c r="M8" s="146">
        <f>ROUND(AVERAGE(L8:L10),2)</f>
        <v>37.17</v>
      </c>
      <c r="O8" s="143"/>
      <c r="P8" s="145"/>
      <c r="Q8" s="132" t="s">
        <v>561</v>
      </c>
      <c r="R8" s="15" t="s">
        <v>699</v>
      </c>
      <c r="S8" s="14">
        <f>中指数据!F18</f>
        <v>46.76</v>
      </c>
      <c r="T8" s="146">
        <f>ROUND(AVERAGE(S8:S10),2)</f>
        <v>48.15</v>
      </c>
    </row>
    <row r="9" spans="1:20" x14ac:dyDescent="0.2">
      <c r="A9" s="143"/>
      <c r="B9" s="145"/>
      <c r="C9" s="132"/>
      <c r="D9" s="15" t="s">
        <v>700</v>
      </c>
      <c r="E9" s="14">
        <f>'城研数据 整理'!F7</f>
        <v>42.96</v>
      </c>
      <c r="F9" s="146"/>
      <c r="H9" s="143"/>
      <c r="I9" s="145"/>
      <c r="J9" s="132"/>
      <c r="K9" s="15" t="s">
        <v>700</v>
      </c>
      <c r="L9" s="14">
        <f>贝壳案例!T8</f>
        <v>36.42</v>
      </c>
      <c r="M9" s="146"/>
      <c r="O9" s="143"/>
      <c r="P9" s="145"/>
      <c r="Q9" s="132"/>
      <c r="R9" s="15" t="s">
        <v>700</v>
      </c>
      <c r="S9" s="14">
        <f>中指数据!F19</f>
        <v>47.83</v>
      </c>
      <c r="T9" s="146"/>
    </row>
    <row r="10" spans="1:20" x14ac:dyDescent="0.2">
      <c r="A10" s="143"/>
      <c r="B10" s="145"/>
      <c r="C10" s="132"/>
      <c r="D10" s="15" t="s">
        <v>701</v>
      </c>
      <c r="E10" s="14">
        <f>'城研数据 整理'!F6</f>
        <v>47.3</v>
      </c>
      <c r="F10" s="146"/>
      <c r="H10" s="143"/>
      <c r="I10" s="145"/>
      <c r="J10" s="132"/>
      <c r="K10" s="15" t="s">
        <v>701</v>
      </c>
      <c r="L10" s="14">
        <f>贝壳案例!T9</f>
        <v>37.92</v>
      </c>
      <c r="M10" s="146"/>
      <c r="N10" s="1">
        <v>3</v>
      </c>
      <c r="O10" s="143"/>
      <c r="P10" s="145"/>
      <c r="Q10" s="132"/>
      <c r="R10" s="15" t="s">
        <v>701</v>
      </c>
      <c r="S10" s="14">
        <f>中指数据!F20</f>
        <v>49.86</v>
      </c>
      <c r="T10" s="146"/>
    </row>
    <row r="11" spans="1:20" x14ac:dyDescent="0.2">
      <c r="A11" s="143"/>
      <c r="B11" s="145"/>
      <c r="C11" s="132" t="s">
        <v>691</v>
      </c>
      <c r="D11" s="15" t="s">
        <v>702</v>
      </c>
      <c r="E11" s="14">
        <f>'城研数据 整理'!F5</f>
        <v>40.32</v>
      </c>
      <c r="F11" s="139">
        <f>ROUND(AVERAGE(E11:E13),2)</f>
        <v>47.38</v>
      </c>
      <c r="H11" s="143"/>
      <c r="I11" s="145"/>
      <c r="J11" s="132" t="s">
        <v>691</v>
      </c>
      <c r="K11" s="15" t="s">
        <v>702</v>
      </c>
      <c r="L11" s="14" t="str">
        <f>贝壳案例!T10</f>
        <v>-</v>
      </c>
      <c r="M11" s="139">
        <f>ROUND(AVERAGE(L11:L13),2)</f>
        <v>49.04</v>
      </c>
      <c r="O11" s="143"/>
      <c r="P11" s="145"/>
      <c r="Q11" s="132" t="s">
        <v>691</v>
      </c>
      <c r="R11" s="15" t="s">
        <v>702</v>
      </c>
      <c r="S11" s="14">
        <f>中指数据!F21</f>
        <v>52.81</v>
      </c>
      <c r="T11" s="139">
        <f>ROUND(AVERAGE(S11:S13),2)</f>
        <v>53.96</v>
      </c>
    </row>
    <row r="12" spans="1:20" x14ac:dyDescent="0.2">
      <c r="A12" s="143"/>
      <c r="B12" s="145"/>
      <c r="C12" s="132"/>
      <c r="D12" s="15" t="s">
        <v>703</v>
      </c>
      <c r="E12" s="14">
        <f>'城研数据 整理'!F4</f>
        <v>48.56</v>
      </c>
      <c r="F12" s="143"/>
      <c r="H12" s="143"/>
      <c r="I12" s="145"/>
      <c r="J12" s="132"/>
      <c r="K12" s="15" t="s">
        <v>703</v>
      </c>
      <c r="L12" s="14" t="str">
        <f>贝壳案例!T11</f>
        <v>-</v>
      </c>
      <c r="M12" s="143"/>
      <c r="O12" s="143"/>
      <c r="P12" s="145"/>
      <c r="Q12" s="132"/>
      <c r="R12" s="15" t="s">
        <v>703</v>
      </c>
      <c r="S12" s="14">
        <f>中指数据!F22</f>
        <v>54.77</v>
      </c>
      <c r="T12" s="143"/>
    </row>
    <row r="13" spans="1:20" x14ac:dyDescent="0.2">
      <c r="A13" s="143"/>
      <c r="B13" s="145"/>
      <c r="C13" s="132"/>
      <c r="D13" s="15" t="s">
        <v>704</v>
      </c>
      <c r="E13" s="14">
        <f>'城研数据 整理'!F3</f>
        <v>53.25</v>
      </c>
      <c r="F13" s="140"/>
      <c r="H13" s="143"/>
      <c r="I13" s="145"/>
      <c r="J13" s="132"/>
      <c r="K13" s="15" t="s">
        <v>704</v>
      </c>
      <c r="L13" s="14">
        <f>贝壳案例!T12</f>
        <v>49.04</v>
      </c>
      <c r="M13" s="140"/>
      <c r="N13" s="1">
        <v>2</v>
      </c>
      <c r="O13" s="143"/>
      <c r="P13" s="145"/>
      <c r="Q13" s="132"/>
      <c r="R13" s="15" t="s">
        <v>704</v>
      </c>
      <c r="S13" s="14">
        <f>中指数据!F23</f>
        <v>54.3</v>
      </c>
      <c r="T13" s="140"/>
    </row>
    <row r="14" spans="1:20" x14ac:dyDescent="0.2">
      <c r="A14" s="143"/>
      <c r="B14" s="148"/>
      <c r="C14" s="57" t="s">
        <v>690</v>
      </c>
      <c r="D14" s="15" t="s">
        <v>689</v>
      </c>
      <c r="E14" s="14">
        <f>'城研数据 整理'!F2</f>
        <v>49.46</v>
      </c>
      <c r="F14" s="58">
        <f>ROUND(AVERAGE(E14:E14),2)</f>
        <v>49.46</v>
      </c>
      <c r="H14" s="140"/>
      <c r="I14" s="148"/>
      <c r="J14" s="57" t="s">
        <v>690</v>
      </c>
      <c r="K14" s="15" t="s">
        <v>689</v>
      </c>
      <c r="L14" s="14">
        <f>贝壳案例!T13</f>
        <v>60.66</v>
      </c>
      <c r="M14" s="58">
        <f>ROUND(AVERAGE(L14:L14),2)</f>
        <v>60.66</v>
      </c>
      <c r="O14" s="140"/>
      <c r="P14" s="148"/>
      <c r="Q14" s="57" t="s">
        <v>690</v>
      </c>
      <c r="R14" s="15" t="s">
        <v>689</v>
      </c>
      <c r="S14" s="14">
        <f>中指数据!F24</f>
        <v>52.23</v>
      </c>
      <c r="T14" s="58">
        <f>ROUND(AVERAGE(S14:S14),2)</f>
        <v>52.23</v>
      </c>
    </row>
    <row r="15" spans="1:20" x14ac:dyDescent="0.2">
      <c r="A15" s="141" t="s">
        <v>76</v>
      </c>
      <c r="B15" s="142"/>
      <c r="C15" s="142"/>
      <c r="D15" s="142"/>
      <c r="E15" s="142"/>
      <c r="F15" s="31">
        <f>ROUND(AVERAGE(E3:E14),2)</f>
        <v>46.49</v>
      </c>
      <c r="H15" s="141" t="s">
        <v>76</v>
      </c>
      <c r="I15" s="142"/>
      <c r="J15" s="142"/>
      <c r="K15" s="142"/>
      <c r="L15" s="142"/>
      <c r="M15" s="31">
        <f>ROUND(AVERAGE(L3:L14),2)</f>
        <v>47.55</v>
      </c>
      <c r="O15" s="141" t="s">
        <v>76</v>
      </c>
      <c r="P15" s="142"/>
      <c r="Q15" s="142"/>
      <c r="R15" s="142"/>
      <c r="S15" s="142"/>
      <c r="T15" s="31">
        <f>ROUND(AVERAGE(S3:S14),2)</f>
        <v>50.25</v>
      </c>
    </row>
    <row r="16" spans="1:20" x14ac:dyDescent="0.2">
      <c r="A16" s="139">
        <v>2</v>
      </c>
      <c r="B16" s="133" t="str">
        <f>'城研数据 整理'!B14</f>
        <v>锦华园</v>
      </c>
      <c r="C16" s="133" t="s">
        <v>559</v>
      </c>
      <c r="D16" s="15" t="s">
        <v>694</v>
      </c>
      <c r="E16" s="14" t="s">
        <v>77</v>
      </c>
      <c r="F16" s="133">
        <f>ROUND(AVERAGE(E16:E17),2)</f>
        <v>41.42</v>
      </c>
      <c r="H16" s="139">
        <v>2</v>
      </c>
      <c r="I16" s="133" t="str">
        <f>B16</f>
        <v>锦华园</v>
      </c>
      <c r="J16" s="133" t="s">
        <v>559</v>
      </c>
      <c r="K16" s="15" t="s">
        <v>694</v>
      </c>
      <c r="L16" s="16">
        <f>贝壳案例!T16</f>
        <v>39.770000000000003</v>
      </c>
      <c r="M16" s="133">
        <f>ROUND(AVERAGE(L16:L17),2)</f>
        <v>39.21</v>
      </c>
      <c r="O16" s="139">
        <v>2</v>
      </c>
      <c r="P16" s="133" t="str">
        <f>B16</f>
        <v>锦华园</v>
      </c>
      <c r="Q16" s="133" t="s">
        <v>559</v>
      </c>
      <c r="R16" s="15" t="s">
        <v>694</v>
      </c>
      <c r="S16" s="16">
        <f>中指数据!F28</f>
        <v>44.69</v>
      </c>
      <c r="T16" s="133">
        <f>ROUND(AVERAGE(S16:S17),2)</f>
        <v>50.07</v>
      </c>
    </row>
    <row r="17" spans="1:20" x14ac:dyDescent="0.2">
      <c r="A17" s="143"/>
      <c r="B17" s="147"/>
      <c r="C17" s="134"/>
      <c r="D17" s="15" t="s">
        <v>695</v>
      </c>
      <c r="E17" s="16">
        <f>'城研数据 整理'!F23</f>
        <v>41.42</v>
      </c>
      <c r="F17" s="134"/>
      <c r="H17" s="143"/>
      <c r="I17" s="147"/>
      <c r="J17" s="134"/>
      <c r="K17" s="15" t="s">
        <v>695</v>
      </c>
      <c r="L17" s="14">
        <f>贝壳案例!T17</f>
        <v>38.64</v>
      </c>
      <c r="M17" s="134"/>
      <c r="O17" s="143"/>
      <c r="P17" s="147"/>
      <c r="Q17" s="134"/>
      <c r="R17" s="15" t="s">
        <v>695</v>
      </c>
      <c r="S17" s="14">
        <f>中指数据!F29</f>
        <v>55.45</v>
      </c>
      <c r="T17" s="134"/>
    </row>
    <row r="18" spans="1:20" x14ac:dyDescent="0.2">
      <c r="A18" s="143"/>
      <c r="B18" s="147"/>
      <c r="C18" s="132" t="s">
        <v>560</v>
      </c>
      <c r="D18" s="15" t="s">
        <v>696</v>
      </c>
      <c r="E18" s="16" t="s">
        <v>77</v>
      </c>
      <c r="F18" s="146">
        <f>ROUND(AVERAGE(E18:E20),2)</f>
        <v>40.630000000000003</v>
      </c>
      <c r="H18" s="143"/>
      <c r="I18" s="147"/>
      <c r="J18" s="132" t="s">
        <v>560</v>
      </c>
      <c r="K18" s="15" t="s">
        <v>696</v>
      </c>
      <c r="L18" s="16" t="str">
        <f>贝壳案例!T18</f>
        <v>-</v>
      </c>
      <c r="M18" s="146">
        <f>ROUND(AVERAGE(L18:L20),2)</f>
        <v>37.57</v>
      </c>
      <c r="O18" s="143"/>
      <c r="P18" s="147"/>
      <c r="Q18" s="132" t="s">
        <v>560</v>
      </c>
      <c r="R18" s="15" t="s">
        <v>696</v>
      </c>
      <c r="S18" s="16">
        <f>中指数据!F30</f>
        <v>56.79</v>
      </c>
      <c r="T18" s="146">
        <f>ROUND(AVERAGE(S18:S20),2)</f>
        <v>47.7</v>
      </c>
    </row>
    <row r="19" spans="1:20" x14ac:dyDescent="0.2">
      <c r="A19" s="143"/>
      <c r="B19" s="147"/>
      <c r="C19" s="132"/>
      <c r="D19" s="15" t="s">
        <v>697</v>
      </c>
      <c r="E19" s="14">
        <f>'城研数据 整理'!F22</f>
        <v>39.69</v>
      </c>
      <c r="F19" s="146"/>
      <c r="H19" s="143"/>
      <c r="I19" s="147"/>
      <c r="J19" s="132"/>
      <c r="K19" s="15" t="s">
        <v>697</v>
      </c>
      <c r="L19" s="14">
        <f>贝壳案例!T19</f>
        <v>35.72</v>
      </c>
      <c r="M19" s="146"/>
      <c r="N19" s="1">
        <v>2</v>
      </c>
      <c r="O19" s="143"/>
      <c r="P19" s="147"/>
      <c r="Q19" s="132"/>
      <c r="R19" s="15" t="s">
        <v>697</v>
      </c>
      <c r="S19" s="14">
        <f>中指数据!F31</f>
        <v>46.22</v>
      </c>
      <c r="T19" s="146"/>
    </row>
    <row r="20" spans="1:20" x14ac:dyDescent="0.2">
      <c r="A20" s="143"/>
      <c r="B20" s="147"/>
      <c r="C20" s="132"/>
      <c r="D20" s="15" t="s">
        <v>698</v>
      </c>
      <c r="E20" s="14">
        <f>'城研数据 整理'!F21</f>
        <v>41.56</v>
      </c>
      <c r="F20" s="146"/>
      <c r="H20" s="143"/>
      <c r="I20" s="147"/>
      <c r="J20" s="132"/>
      <c r="K20" s="15" t="s">
        <v>698</v>
      </c>
      <c r="L20" s="16">
        <f>贝壳案例!T20</f>
        <v>39.42</v>
      </c>
      <c r="M20" s="146"/>
      <c r="N20" s="1">
        <v>2</v>
      </c>
      <c r="O20" s="143"/>
      <c r="P20" s="147"/>
      <c r="Q20" s="132"/>
      <c r="R20" s="15" t="s">
        <v>698</v>
      </c>
      <c r="S20" s="16">
        <f>中指数据!F32</f>
        <v>40.08</v>
      </c>
      <c r="T20" s="146"/>
    </row>
    <row r="21" spans="1:20" x14ac:dyDescent="0.2">
      <c r="A21" s="143"/>
      <c r="B21" s="147"/>
      <c r="C21" s="132" t="s">
        <v>561</v>
      </c>
      <c r="D21" s="15" t="s">
        <v>699</v>
      </c>
      <c r="E21" s="14">
        <f>'城研数据 整理'!F20</f>
        <v>39.74</v>
      </c>
      <c r="F21" s="146">
        <f>ROUND(AVERAGE(E21:E23),2)</f>
        <v>43.59</v>
      </c>
      <c r="H21" s="143"/>
      <c r="I21" s="147"/>
      <c r="J21" s="132" t="s">
        <v>561</v>
      </c>
      <c r="K21" s="15" t="s">
        <v>699</v>
      </c>
      <c r="L21" s="14">
        <f>贝壳案例!T21</f>
        <v>39.770000000000003</v>
      </c>
      <c r="M21" s="146">
        <f>ROUND(AVERAGE(L21:L23),2)</f>
        <v>41.61</v>
      </c>
      <c r="O21" s="143"/>
      <c r="P21" s="147"/>
      <c r="Q21" s="132" t="s">
        <v>561</v>
      </c>
      <c r="R21" s="15" t="s">
        <v>699</v>
      </c>
      <c r="S21" s="14">
        <f>中指数据!F33</f>
        <v>53</v>
      </c>
      <c r="T21" s="146">
        <f>ROUND(AVERAGE(S21:S23),2)</f>
        <v>53.08</v>
      </c>
    </row>
    <row r="22" spans="1:20" x14ac:dyDescent="0.2">
      <c r="A22" s="143"/>
      <c r="B22" s="147"/>
      <c r="C22" s="132"/>
      <c r="D22" s="15" t="s">
        <v>700</v>
      </c>
      <c r="E22" s="14">
        <f>'城研数据 整理'!F19</f>
        <v>48</v>
      </c>
      <c r="F22" s="146"/>
      <c r="H22" s="143"/>
      <c r="I22" s="147"/>
      <c r="J22" s="132"/>
      <c r="K22" s="15" t="s">
        <v>700</v>
      </c>
      <c r="L22" s="16">
        <f>贝壳案例!T22</f>
        <v>44.79</v>
      </c>
      <c r="M22" s="146"/>
      <c r="O22" s="143"/>
      <c r="P22" s="147"/>
      <c r="Q22" s="132"/>
      <c r="R22" s="15" t="s">
        <v>700</v>
      </c>
      <c r="S22" s="16">
        <f>中指数据!F34</f>
        <v>53.23</v>
      </c>
      <c r="T22" s="146"/>
    </row>
    <row r="23" spans="1:20" x14ac:dyDescent="0.2">
      <c r="A23" s="143"/>
      <c r="B23" s="147"/>
      <c r="C23" s="132"/>
      <c r="D23" s="15" t="s">
        <v>701</v>
      </c>
      <c r="E23" s="14">
        <f>'城研数据 整理'!F18</f>
        <v>43.04</v>
      </c>
      <c r="F23" s="146"/>
      <c r="H23" s="143"/>
      <c r="I23" s="147"/>
      <c r="J23" s="132"/>
      <c r="K23" s="15" t="s">
        <v>701</v>
      </c>
      <c r="L23" s="14">
        <f>贝壳案例!T23</f>
        <v>40.270000000000003</v>
      </c>
      <c r="M23" s="146"/>
      <c r="O23" s="143"/>
      <c r="P23" s="147"/>
      <c r="Q23" s="132"/>
      <c r="R23" s="15" t="s">
        <v>701</v>
      </c>
      <c r="S23" s="14">
        <f>中指数据!F35</f>
        <v>53.01</v>
      </c>
      <c r="T23" s="146"/>
    </row>
    <row r="24" spans="1:20" x14ac:dyDescent="0.2">
      <c r="A24" s="143"/>
      <c r="B24" s="147"/>
      <c r="C24" s="132" t="s">
        <v>691</v>
      </c>
      <c r="D24" s="15" t="s">
        <v>702</v>
      </c>
      <c r="E24" s="14">
        <f>'城研数据 整理'!F17</f>
        <v>43.11</v>
      </c>
      <c r="F24" s="139">
        <f>ROUND(AVERAGE(E24:E26),2)</f>
        <v>44.49</v>
      </c>
      <c r="H24" s="143"/>
      <c r="I24" s="147"/>
      <c r="J24" s="132" t="s">
        <v>691</v>
      </c>
      <c r="K24" s="15" t="s">
        <v>702</v>
      </c>
      <c r="L24" s="16">
        <f>贝壳案例!T24</f>
        <v>44.78</v>
      </c>
      <c r="M24" s="139">
        <f>ROUND(AVERAGE(L24:L26),2)</f>
        <v>44.78</v>
      </c>
      <c r="O24" s="143"/>
      <c r="P24" s="147"/>
      <c r="Q24" s="132" t="s">
        <v>691</v>
      </c>
      <c r="R24" s="15" t="s">
        <v>702</v>
      </c>
      <c r="S24" s="16">
        <f>中指数据!F36</f>
        <v>55.57</v>
      </c>
      <c r="T24" s="139">
        <f>ROUND(AVERAGE(S24:S26),2)</f>
        <v>57</v>
      </c>
    </row>
    <row r="25" spans="1:20" x14ac:dyDescent="0.2">
      <c r="A25" s="143"/>
      <c r="B25" s="147"/>
      <c r="C25" s="132"/>
      <c r="D25" s="15" t="s">
        <v>703</v>
      </c>
      <c r="E25" s="14">
        <f>'城研数据 整理'!F16</f>
        <v>45.77</v>
      </c>
      <c r="F25" s="143"/>
      <c r="H25" s="143"/>
      <c r="I25" s="147"/>
      <c r="J25" s="132"/>
      <c r="K25" s="15" t="s">
        <v>703</v>
      </c>
      <c r="L25" s="14" t="str">
        <f>贝壳案例!T25</f>
        <v>-</v>
      </c>
      <c r="M25" s="143"/>
      <c r="O25" s="143"/>
      <c r="P25" s="147"/>
      <c r="Q25" s="132"/>
      <c r="R25" s="15" t="s">
        <v>703</v>
      </c>
      <c r="S25" s="14">
        <f>中指数据!F37</f>
        <v>63.36</v>
      </c>
      <c r="T25" s="143"/>
    </row>
    <row r="26" spans="1:20" x14ac:dyDescent="0.2">
      <c r="A26" s="143"/>
      <c r="B26" s="147"/>
      <c r="C26" s="132"/>
      <c r="D26" s="15" t="s">
        <v>704</v>
      </c>
      <c r="E26" s="14">
        <f>'城研数据 整理'!F15</f>
        <v>44.6</v>
      </c>
      <c r="F26" s="140"/>
      <c r="H26" s="143"/>
      <c r="I26" s="147"/>
      <c r="J26" s="132"/>
      <c r="K26" s="15" t="s">
        <v>704</v>
      </c>
      <c r="L26" s="16" t="str">
        <f>贝壳案例!T26</f>
        <v>-</v>
      </c>
      <c r="M26" s="140"/>
      <c r="O26" s="143"/>
      <c r="P26" s="147"/>
      <c r="Q26" s="132"/>
      <c r="R26" s="15" t="s">
        <v>704</v>
      </c>
      <c r="S26" s="16">
        <f>中指数据!F38</f>
        <v>52.06</v>
      </c>
      <c r="T26" s="140"/>
    </row>
    <row r="27" spans="1:20" x14ac:dyDescent="0.2">
      <c r="A27" s="143"/>
      <c r="B27" s="147"/>
      <c r="C27" s="57" t="s">
        <v>690</v>
      </c>
      <c r="D27" s="15" t="s">
        <v>689</v>
      </c>
      <c r="E27" s="14">
        <f>'城研数据 整理'!F14</f>
        <v>46.97</v>
      </c>
      <c r="F27" s="58">
        <f>ROUND(AVERAGE(E27:E27),2)</f>
        <v>46.97</v>
      </c>
      <c r="H27" s="143"/>
      <c r="I27" s="147"/>
      <c r="J27" s="57" t="s">
        <v>690</v>
      </c>
      <c r="K27" s="15" t="s">
        <v>689</v>
      </c>
      <c r="L27" s="14">
        <f>贝壳案例!T27</f>
        <v>49.06</v>
      </c>
      <c r="M27" s="58">
        <f>ROUND(AVERAGE(L27:L27),2)</f>
        <v>49.06</v>
      </c>
      <c r="O27" s="143"/>
      <c r="P27" s="147"/>
      <c r="Q27" s="57" t="s">
        <v>690</v>
      </c>
      <c r="R27" s="15" t="s">
        <v>689</v>
      </c>
      <c r="S27" s="14">
        <f>中指数据!F39</f>
        <v>47.77</v>
      </c>
      <c r="T27" s="58">
        <f>ROUND(AVERAGE(S27:S27),2)</f>
        <v>47.77</v>
      </c>
    </row>
    <row r="28" spans="1:20" x14ac:dyDescent="0.2">
      <c r="A28" s="141" t="s">
        <v>76</v>
      </c>
      <c r="B28" s="142"/>
      <c r="C28" s="142"/>
      <c r="D28" s="142"/>
      <c r="E28" s="142"/>
      <c r="F28" s="31">
        <f>ROUND(AVERAGE(E16:E27),2)</f>
        <v>43.39</v>
      </c>
      <c r="H28" s="141" t="s">
        <v>76</v>
      </c>
      <c r="I28" s="142"/>
      <c r="J28" s="142"/>
      <c r="K28" s="142"/>
      <c r="L28" s="142"/>
      <c r="M28" s="31">
        <f>ROUND(AVERAGE(L16:L27),2)</f>
        <v>41.36</v>
      </c>
      <c r="O28" s="141" t="s">
        <v>76</v>
      </c>
      <c r="P28" s="142"/>
      <c r="Q28" s="142"/>
      <c r="R28" s="142"/>
      <c r="S28" s="142"/>
      <c r="T28" s="31">
        <f>ROUND(AVERAGE(S16:S27),2)</f>
        <v>51.77</v>
      </c>
    </row>
    <row r="29" spans="1:20" ht="14.25" customHeight="1" x14ac:dyDescent="0.2">
      <c r="A29" s="139">
        <v>3</v>
      </c>
      <c r="B29" s="144" t="str">
        <f>'城研数据 整理'!B25</f>
        <v>义和庄东里</v>
      </c>
      <c r="C29" s="133" t="s">
        <v>559</v>
      </c>
      <c r="D29" s="15" t="s">
        <v>694</v>
      </c>
      <c r="E29" s="14" t="s">
        <v>77</v>
      </c>
      <c r="F29" s="133">
        <f>ROUND(AVERAGE(E29:E30),2)</f>
        <v>43.26</v>
      </c>
      <c r="H29" s="139">
        <v>3</v>
      </c>
      <c r="I29" s="144" t="str">
        <f>B29</f>
        <v>义和庄东里</v>
      </c>
      <c r="J29" s="133" t="s">
        <v>559</v>
      </c>
      <c r="K29" s="15" t="s">
        <v>694</v>
      </c>
      <c r="L29" s="14">
        <f>贝壳案例!T30</f>
        <v>39.08</v>
      </c>
      <c r="M29" s="133">
        <f>ROUND(AVERAGE(L29:L30),2)</f>
        <v>39.08</v>
      </c>
      <c r="O29" s="139">
        <v>3</v>
      </c>
      <c r="P29" s="144" t="str">
        <f>B29</f>
        <v>义和庄东里</v>
      </c>
      <c r="Q29" s="133" t="s">
        <v>559</v>
      </c>
      <c r="R29" s="15" t="s">
        <v>694</v>
      </c>
      <c r="S29" s="14">
        <f>中指数据!F44</f>
        <v>45.02</v>
      </c>
      <c r="T29" s="133">
        <f>ROUND(AVERAGE(S29:S30),2)</f>
        <v>46.15</v>
      </c>
    </row>
    <row r="30" spans="1:20" x14ac:dyDescent="0.2">
      <c r="A30" s="143"/>
      <c r="B30" s="145"/>
      <c r="C30" s="134"/>
      <c r="D30" s="15" t="s">
        <v>695</v>
      </c>
      <c r="E30" s="14">
        <f>'城研数据 整理'!F35</f>
        <v>43.26</v>
      </c>
      <c r="F30" s="134"/>
      <c r="H30" s="143"/>
      <c r="I30" s="145"/>
      <c r="J30" s="134"/>
      <c r="K30" s="15" t="s">
        <v>695</v>
      </c>
      <c r="L30" s="16" t="str">
        <f>贝壳案例!T31</f>
        <v>-</v>
      </c>
      <c r="M30" s="134"/>
      <c r="O30" s="143"/>
      <c r="P30" s="145"/>
      <c r="Q30" s="134"/>
      <c r="R30" s="15" t="s">
        <v>695</v>
      </c>
      <c r="S30" s="16">
        <f>中指数据!F45</f>
        <v>47.27</v>
      </c>
      <c r="T30" s="134"/>
    </row>
    <row r="31" spans="1:20" x14ac:dyDescent="0.2">
      <c r="A31" s="143"/>
      <c r="B31" s="145"/>
      <c r="C31" s="132" t="s">
        <v>560</v>
      </c>
      <c r="D31" s="15" t="s">
        <v>696</v>
      </c>
      <c r="E31" s="14">
        <f>'城研数据 整理'!F34</f>
        <v>39.130000000000003</v>
      </c>
      <c r="F31" s="146">
        <f>ROUND(AVERAGE(E31:E33),2)</f>
        <v>36.46</v>
      </c>
      <c r="H31" s="143"/>
      <c r="I31" s="145"/>
      <c r="J31" s="132" t="s">
        <v>560</v>
      </c>
      <c r="K31" s="15" t="s">
        <v>696</v>
      </c>
      <c r="L31" s="14" t="str">
        <f>贝壳案例!T32</f>
        <v>-</v>
      </c>
      <c r="M31" s="146">
        <f>ROUND(AVERAGE(L31:L33),2)</f>
        <v>35.869999999999997</v>
      </c>
      <c r="O31" s="143"/>
      <c r="P31" s="145"/>
      <c r="Q31" s="132" t="s">
        <v>560</v>
      </c>
      <c r="R31" s="15" t="s">
        <v>696</v>
      </c>
      <c r="S31" s="14">
        <f>中指数据!F46</f>
        <v>44.61</v>
      </c>
      <c r="T31" s="146">
        <f>ROUND(AVERAGE(S31:S33),2)</f>
        <v>44.89</v>
      </c>
    </row>
    <row r="32" spans="1:20" x14ac:dyDescent="0.2">
      <c r="A32" s="143"/>
      <c r="B32" s="145"/>
      <c r="C32" s="132"/>
      <c r="D32" s="15" t="s">
        <v>697</v>
      </c>
      <c r="E32" s="14">
        <f>'城研数据 整理'!F33</f>
        <v>33.21</v>
      </c>
      <c r="F32" s="146"/>
      <c r="H32" s="143"/>
      <c r="I32" s="145"/>
      <c r="J32" s="132"/>
      <c r="K32" s="15" t="s">
        <v>697</v>
      </c>
      <c r="L32" s="16">
        <f>贝壳案例!T33</f>
        <v>36.9</v>
      </c>
      <c r="M32" s="146"/>
      <c r="O32" s="143"/>
      <c r="P32" s="145"/>
      <c r="Q32" s="132"/>
      <c r="R32" s="15" t="s">
        <v>697</v>
      </c>
      <c r="S32" s="16">
        <f>中指数据!F47</f>
        <v>43.51</v>
      </c>
      <c r="T32" s="146"/>
    </row>
    <row r="33" spans="1:20" x14ac:dyDescent="0.2">
      <c r="A33" s="143"/>
      <c r="B33" s="145"/>
      <c r="C33" s="132"/>
      <c r="D33" s="15" t="s">
        <v>698</v>
      </c>
      <c r="E33" s="14">
        <f>'城研数据 整理'!F32</f>
        <v>37.049999999999997</v>
      </c>
      <c r="F33" s="146"/>
      <c r="H33" s="143"/>
      <c r="I33" s="145"/>
      <c r="J33" s="132"/>
      <c r="K33" s="15" t="s">
        <v>698</v>
      </c>
      <c r="L33" s="14">
        <f>贝壳案例!T34</f>
        <v>34.83</v>
      </c>
      <c r="M33" s="146"/>
      <c r="O33" s="143"/>
      <c r="P33" s="145"/>
      <c r="Q33" s="132"/>
      <c r="R33" s="15" t="s">
        <v>698</v>
      </c>
      <c r="S33" s="14">
        <f>中指数据!F48</f>
        <v>46.54</v>
      </c>
      <c r="T33" s="146"/>
    </row>
    <row r="34" spans="1:20" x14ac:dyDescent="0.2">
      <c r="A34" s="143"/>
      <c r="B34" s="145"/>
      <c r="C34" s="132" t="s">
        <v>561</v>
      </c>
      <c r="D34" s="15" t="s">
        <v>699</v>
      </c>
      <c r="E34" s="14">
        <f>'城研数据 整理'!F31</f>
        <v>39.24</v>
      </c>
      <c r="F34" s="146">
        <f>ROUND(AVERAGE(E34:E36),2)</f>
        <v>40.130000000000003</v>
      </c>
      <c r="H34" s="143"/>
      <c r="I34" s="145"/>
      <c r="J34" s="132" t="s">
        <v>561</v>
      </c>
      <c r="K34" s="15" t="s">
        <v>699</v>
      </c>
      <c r="L34" s="16">
        <f>贝壳案例!T35</f>
        <v>49.72</v>
      </c>
      <c r="M34" s="146">
        <f>ROUND(AVERAGE(L34:L36),2)</f>
        <v>44.46</v>
      </c>
      <c r="N34" s="1">
        <v>2</v>
      </c>
      <c r="O34" s="143"/>
      <c r="P34" s="145"/>
      <c r="Q34" s="132" t="s">
        <v>561</v>
      </c>
      <c r="R34" s="15" t="s">
        <v>699</v>
      </c>
      <c r="S34" s="16">
        <f>中指数据!F49</f>
        <v>47.36</v>
      </c>
      <c r="T34" s="146">
        <f>ROUND(AVERAGE(S34:S36),2)</f>
        <v>49.99</v>
      </c>
    </row>
    <row r="35" spans="1:20" x14ac:dyDescent="0.2">
      <c r="A35" s="143"/>
      <c r="B35" s="145"/>
      <c r="C35" s="132"/>
      <c r="D35" s="15" t="s">
        <v>700</v>
      </c>
      <c r="E35" s="14">
        <f>'城研数据 整理'!F30</f>
        <v>40.86</v>
      </c>
      <c r="F35" s="146"/>
      <c r="H35" s="143"/>
      <c r="I35" s="145"/>
      <c r="J35" s="132"/>
      <c r="K35" s="15" t="s">
        <v>700</v>
      </c>
      <c r="L35" s="14" t="str">
        <f>贝壳案例!T36</f>
        <v>-</v>
      </c>
      <c r="M35" s="146"/>
      <c r="O35" s="143"/>
      <c r="P35" s="145"/>
      <c r="Q35" s="132"/>
      <c r="R35" s="15" t="s">
        <v>700</v>
      </c>
      <c r="S35" s="14">
        <f>中指数据!F50</f>
        <v>48.12</v>
      </c>
      <c r="T35" s="146"/>
    </row>
    <row r="36" spans="1:20" x14ac:dyDescent="0.2">
      <c r="A36" s="143"/>
      <c r="B36" s="145"/>
      <c r="C36" s="132"/>
      <c r="D36" s="15" t="s">
        <v>701</v>
      </c>
      <c r="E36" s="14">
        <f>'城研数据 整理'!F29</f>
        <v>40.29</v>
      </c>
      <c r="F36" s="146"/>
      <c r="H36" s="143"/>
      <c r="I36" s="145"/>
      <c r="J36" s="132"/>
      <c r="K36" s="15" t="s">
        <v>701</v>
      </c>
      <c r="L36" s="16">
        <f>贝壳案例!T37</f>
        <v>39.200000000000003</v>
      </c>
      <c r="M36" s="146"/>
      <c r="N36" s="1">
        <v>3</v>
      </c>
      <c r="O36" s="143"/>
      <c r="P36" s="145"/>
      <c r="Q36" s="132"/>
      <c r="R36" s="15" t="s">
        <v>701</v>
      </c>
      <c r="S36" s="16">
        <f>中指数据!F51</f>
        <v>54.48</v>
      </c>
      <c r="T36" s="146"/>
    </row>
    <row r="37" spans="1:20" x14ac:dyDescent="0.2">
      <c r="A37" s="143"/>
      <c r="B37" s="145"/>
      <c r="C37" s="132" t="s">
        <v>691</v>
      </c>
      <c r="D37" s="15" t="s">
        <v>702</v>
      </c>
      <c r="E37" s="14">
        <f>'城研数据 整理'!F28</f>
        <v>49.53</v>
      </c>
      <c r="F37" s="139">
        <f>ROUND(AVERAGE(E37:E39),2)</f>
        <v>44.64</v>
      </c>
      <c r="H37" s="143"/>
      <c r="I37" s="145"/>
      <c r="J37" s="132" t="s">
        <v>691</v>
      </c>
      <c r="K37" s="15" t="s">
        <v>702</v>
      </c>
      <c r="L37" s="14">
        <f>贝壳案例!T38</f>
        <v>35.630000000000003</v>
      </c>
      <c r="M37" s="139">
        <f>ROUND(AVERAGE(L37:L39),2)</f>
        <v>35.630000000000003</v>
      </c>
      <c r="O37" s="143"/>
      <c r="P37" s="145"/>
      <c r="Q37" s="132" t="s">
        <v>691</v>
      </c>
      <c r="R37" s="15" t="s">
        <v>702</v>
      </c>
      <c r="S37" s="14">
        <f>中指数据!F52</f>
        <v>56.56</v>
      </c>
      <c r="T37" s="139">
        <f>ROUND(AVERAGE(S37:S39),2)</f>
        <v>52.94</v>
      </c>
    </row>
    <row r="38" spans="1:20" ht="14.25" customHeight="1" x14ac:dyDescent="0.2">
      <c r="A38" s="143"/>
      <c r="B38" s="145"/>
      <c r="C38" s="132"/>
      <c r="D38" s="15" t="s">
        <v>703</v>
      </c>
      <c r="E38" s="14">
        <f>'城研数据 整理'!F27</f>
        <v>40.44</v>
      </c>
      <c r="F38" s="143"/>
      <c r="H38" s="143"/>
      <c r="I38" s="145"/>
      <c r="J38" s="132"/>
      <c r="K38" s="15" t="s">
        <v>703</v>
      </c>
      <c r="L38" s="16" t="str">
        <f>贝壳案例!T39</f>
        <v>-</v>
      </c>
      <c r="M38" s="143"/>
      <c r="O38" s="143"/>
      <c r="P38" s="145"/>
      <c r="Q38" s="132"/>
      <c r="R38" s="15" t="s">
        <v>703</v>
      </c>
      <c r="S38" s="16">
        <f>中指数据!F53</f>
        <v>50.01</v>
      </c>
      <c r="T38" s="143"/>
    </row>
    <row r="39" spans="1:20" ht="14.25" customHeight="1" x14ac:dyDescent="0.2">
      <c r="A39" s="143"/>
      <c r="B39" s="145"/>
      <c r="C39" s="132"/>
      <c r="D39" s="15" t="s">
        <v>704</v>
      </c>
      <c r="E39" s="14">
        <f>'城研数据 整理'!F26</f>
        <v>43.95</v>
      </c>
      <c r="F39" s="140"/>
      <c r="H39" s="143"/>
      <c r="I39" s="145"/>
      <c r="J39" s="132"/>
      <c r="K39" s="15" t="s">
        <v>704</v>
      </c>
      <c r="L39" s="14" t="str">
        <f>贝壳案例!T40</f>
        <v>-</v>
      </c>
      <c r="M39" s="140"/>
      <c r="O39" s="143"/>
      <c r="P39" s="145"/>
      <c r="Q39" s="132"/>
      <c r="R39" s="15" t="s">
        <v>704</v>
      </c>
      <c r="S39" s="14">
        <f>中指数据!F54</f>
        <v>52.25</v>
      </c>
      <c r="T39" s="140"/>
    </row>
    <row r="40" spans="1:20" x14ac:dyDescent="0.2">
      <c r="A40" s="143"/>
      <c r="B40" s="145"/>
      <c r="C40" s="57" t="s">
        <v>690</v>
      </c>
      <c r="D40" s="15" t="s">
        <v>689</v>
      </c>
      <c r="E40" s="14">
        <f>'城研数据 整理'!F25</f>
        <v>31.9</v>
      </c>
      <c r="F40" s="58">
        <f>ROUND(AVERAGE(E40:E40),2)</f>
        <v>31.9</v>
      </c>
      <c r="H40" s="143"/>
      <c r="I40" s="145"/>
      <c r="J40" s="57" t="s">
        <v>690</v>
      </c>
      <c r="K40" s="15" t="s">
        <v>689</v>
      </c>
      <c r="L40" s="16">
        <f>贝壳案例!T41</f>
        <v>35.29</v>
      </c>
      <c r="M40" s="58">
        <f>ROUND(AVERAGE(L40:L40),2)</f>
        <v>35.29</v>
      </c>
      <c r="O40" s="143"/>
      <c r="P40" s="145"/>
      <c r="Q40" s="57" t="s">
        <v>690</v>
      </c>
      <c r="R40" s="15" t="s">
        <v>689</v>
      </c>
      <c r="S40" s="16">
        <f>中指数据!F55</f>
        <v>55.16</v>
      </c>
      <c r="T40" s="58">
        <f>ROUND(AVERAGE(S40:S40),2)</f>
        <v>55.16</v>
      </c>
    </row>
    <row r="41" spans="1:20" x14ac:dyDescent="0.2">
      <c r="A41" s="141" t="s">
        <v>76</v>
      </c>
      <c r="B41" s="142"/>
      <c r="C41" s="142"/>
      <c r="D41" s="142"/>
      <c r="E41" s="142"/>
      <c r="F41" s="31">
        <f>ROUND(AVERAGE(E29:E40),2)</f>
        <v>39.9</v>
      </c>
      <c r="H41" s="141" t="s">
        <v>76</v>
      </c>
      <c r="I41" s="142"/>
      <c r="J41" s="142"/>
      <c r="K41" s="142"/>
      <c r="L41" s="142"/>
      <c r="M41" s="31">
        <f>ROUND(AVERAGE(L29:L40),2)</f>
        <v>38.659999999999997</v>
      </c>
      <c r="O41" s="141" t="s">
        <v>76</v>
      </c>
      <c r="P41" s="142"/>
      <c r="Q41" s="142"/>
      <c r="R41" s="142"/>
      <c r="S41" s="142"/>
      <c r="T41" s="31">
        <f>ROUND(AVERAGE(S29:S40),2)</f>
        <v>49.24</v>
      </c>
    </row>
    <row r="42" spans="1:20" ht="14.25" customHeight="1" x14ac:dyDescent="0.2">
      <c r="A42" s="139">
        <v>4</v>
      </c>
      <c r="B42" s="144"/>
      <c r="C42" s="133" t="s">
        <v>559</v>
      </c>
      <c r="D42" s="15" t="s">
        <v>547</v>
      </c>
      <c r="E42" s="14">
        <f>'城研数据 '!G82</f>
        <v>0</v>
      </c>
      <c r="F42" s="14">
        <f>ROUND(E42,2)</f>
        <v>0</v>
      </c>
      <c r="H42" s="139">
        <v>3</v>
      </c>
      <c r="I42" s="144">
        <f>B42</f>
        <v>0</v>
      </c>
      <c r="J42" s="133" t="s">
        <v>559</v>
      </c>
      <c r="K42" s="15" t="s">
        <v>547</v>
      </c>
      <c r="L42" s="14">
        <f>贝壳案例!W73</f>
        <v>0</v>
      </c>
      <c r="M42" s="14">
        <f>L42</f>
        <v>0</v>
      </c>
      <c r="O42" s="139">
        <v>3</v>
      </c>
      <c r="P42" s="144">
        <f>I42</f>
        <v>0</v>
      </c>
      <c r="Q42" s="133" t="s">
        <v>559</v>
      </c>
      <c r="R42" s="15" t="s">
        <v>547</v>
      </c>
      <c r="S42" s="14">
        <f>中指数据!M8</f>
        <v>0</v>
      </c>
      <c r="T42" s="14">
        <f>S42</f>
        <v>0</v>
      </c>
    </row>
    <row r="43" spans="1:20" x14ac:dyDescent="0.2">
      <c r="A43" s="143"/>
      <c r="B43" s="145"/>
      <c r="C43" s="134"/>
      <c r="D43" s="15" t="s">
        <v>548</v>
      </c>
      <c r="E43" s="14">
        <f>'城研数据 '!G83</f>
        <v>0</v>
      </c>
      <c r="F43" s="146">
        <f>ROUND(AVERAGE(E43:E45),2)</f>
        <v>0</v>
      </c>
      <c r="H43" s="143"/>
      <c r="I43" s="145"/>
      <c r="J43" s="134"/>
      <c r="K43" s="15" t="s">
        <v>548</v>
      </c>
      <c r="L43" s="16">
        <f>贝壳案例!W66</f>
        <v>0</v>
      </c>
      <c r="M43" s="146">
        <f>ROUND(AVERAGE(L43:L45),2)</f>
        <v>0</v>
      </c>
      <c r="O43" s="143"/>
      <c r="P43" s="145"/>
      <c r="Q43" s="134"/>
      <c r="R43" s="15" t="s">
        <v>548</v>
      </c>
      <c r="S43" s="16">
        <f>中指数据!L8</f>
        <v>0</v>
      </c>
      <c r="T43" s="146">
        <f>ROUND(AVERAGE(S43:S45),2)</f>
        <v>0</v>
      </c>
    </row>
    <row r="44" spans="1:20" x14ac:dyDescent="0.2">
      <c r="A44" s="143"/>
      <c r="B44" s="145"/>
      <c r="C44" s="132" t="s">
        <v>560</v>
      </c>
      <c r="D44" s="15" t="s">
        <v>549</v>
      </c>
      <c r="E44" s="14">
        <f>'城研数据 '!G84</f>
        <v>0</v>
      </c>
      <c r="F44" s="146"/>
      <c r="H44" s="143"/>
      <c r="I44" s="145"/>
      <c r="J44" s="132" t="s">
        <v>560</v>
      </c>
      <c r="K44" s="15" t="s">
        <v>549</v>
      </c>
      <c r="L44" s="16">
        <f>贝壳案例!W60</f>
        <v>0</v>
      </c>
      <c r="M44" s="146"/>
      <c r="O44" s="143"/>
      <c r="P44" s="145"/>
      <c r="Q44" s="132" t="s">
        <v>560</v>
      </c>
      <c r="R44" s="15" t="s">
        <v>549</v>
      </c>
      <c r="S44" s="16">
        <f>中指数据!K8</f>
        <v>0</v>
      </c>
      <c r="T44" s="146"/>
    </row>
    <row r="45" spans="1:20" x14ac:dyDescent="0.2">
      <c r="A45" s="143"/>
      <c r="B45" s="145"/>
      <c r="C45" s="132"/>
      <c r="D45" s="15" t="s">
        <v>550</v>
      </c>
      <c r="E45" s="14">
        <f>'城研数据 '!G85</f>
        <v>0</v>
      </c>
      <c r="F45" s="146"/>
      <c r="H45" s="143"/>
      <c r="I45" s="145"/>
      <c r="J45" s="132"/>
      <c r="K45" s="15" t="s">
        <v>550</v>
      </c>
      <c r="L45" s="16">
        <f>贝壳案例!W54</f>
        <v>0</v>
      </c>
      <c r="M45" s="146"/>
      <c r="O45" s="143"/>
      <c r="P45" s="145"/>
      <c r="Q45" s="132"/>
      <c r="R45" s="15" t="s">
        <v>550</v>
      </c>
      <c r="S45" s="16">
        <f>中指数据!J8</f>
        <v>0</v>
      </c>
      <c r="T45" s="146"/>
    </row>
    <row r="46" spans="1:20" x14ac:dyDescent="0.2">
      <c r="A46" s="143"/>
      <c r="B46" s="145"/>
      <c r="C46" s="132"/>
      <c r="D46" s="15" t="s">
        <v>551</v>
      </c>
      <c r="E46" s="14">
        <f>'城研数据 '!G86</f>
        <v>0</v>
      </c>
      <c r="F46" s="146">
        <f>ROUND(AVERAGE(E46:E48),2)</f>
        <v>0</v>
      </c>
      <c r="H46" s="143"/>
      <c r="I46" s="145"/>
      <c r="J46" s="132"/>
      <c r="K46" s="15" t="s">
        <v>551</v>
      </c>
      <c r="L46" s="16">
        <f>贝壳案例!W50</f>
        <v>0</v>
      </c>
      <c r="M46" s="146">
        <f>ROUND(AVERAGE(L46:L48),2)</f>
        <v>0</v>
      </c>
      <c r="O46" s="143"/>
      <c r="P46" s="145"/>
      <c r="Q46" s="132"/>
      <c r="R46" s="15" t="s">
        <v>551</v>
      </c>
      <c r="S46" s="16">
        <f>中指数据!I8</f>
        <v>0</v>
      </c>
      <c r="T46" s="146">
        <f>ROUND(AVERAGE(S46:S48),2)</f>
        <v>0</v>
      </c>
    </row>
    <row r="47" spans="1:20" x14ac:dyDescent="0.2">
      <c r="A47" s="143"/>
      <c r="B47" s="145"/>
      <c r="C47" s="132" t="s">
        <v>561</v>
      </c>
      <c r="D47" s="15" t="s">
        <v>552</v>
      </c>
      <c r="E47" s="14">
        <f>'城研数据 '!G87</f>
        <v>0</v>
      </c>
      <c r="F47" s="146"/>
      <c r="H47" s="143"/>
      <c r="I47" s="145"/>
      <c r="J47" s="132" t="s">
        <v>561</v>
      </c>
      <c r="K47" s="15" t="s">
        <v>552</v>
      </c>
      <c r="L47" s="14" t="s">
        <v>77</v>
      </c>
      <c r="M47" s="146"/>
      <c r="O47" s="143"/>
      <c r="P47" s="145"/>
      <c r="Q47" s="132" t="s">
        <v>561</v>
      </c>
      <c r="R47" s="15" t="s">
        <v>552</v>
      </c>
      <c r="S47" s="16">
        <f>中指数据!H8</f>
        <v>0</v>
      </c>
      <c r="T47" s="146"/>
    </row>
    <row r="48" spans="1:20" x14ac:dyDescent="0.2">
      <c r="A48" s="143"/>
      <c r="B48" s="145"/>
      <c r="C48" s="132"/>
      <c r="D48" s="15" t="s">
        <v>553</v>
      </c>
      <c r="E48" s="14">
        <f>'城研数据 '!G88</f>
        <v>0</v>
      </c>
      <c r="F48" s="146"/>
      <c r="H48" s="143"/>
      <c r="I48" s="145"/>
      <c r="J48" s="132"/>
      <c r="K48" s="15" t="s">
        <v>553</v>
      </c>
      <c r="L48" s="16">
        <f>贝壳案例!W48</f>
        <v>0</v>
      </c>
      <c r="M48" s="146"/>
      <c r="O48" s="143"/>
      <c r="P48" s="145"/>
      <c r="Q48" s="132"/>
      <c r="R48" s="15" t="s">
        <v>553</v>
      </c>
      <c r="S48" s="16">
        <f>中指数据!G8</f>
        <v>0</v>
      </c>
      <c r="T48" s="146"/>
    </row>
    <row r="49" spans="1:24" x14ac:dyDescent="0.2">
      <c r="A49" s="143"/>
      <c r="B49" s="145"/>
      <c r="C49" s="132"/>
      <c r="D49" s="15" t="s">
        <v>554</v>
      </c>
      <c r="E49" s="14">
        <f>'城研数据 '!G89</f>
        <v>0</v>
      </c>
      <c r="F49" s="139">
        <f>ROUND(AVERAGE(E49:E51),2)</f>
        <v>0</v>
      </c>
      <c r="H49" s="143"/>
      <c r="I49" s="145"/>
      <c r="J49" s="132"/>
      <c r="K49" s="15" t="s">
        <v>554</v>
      </c>
      <c r="L49" s="14" t="s">
        <v>77</v>
      </c>
      <c r="M49" s="139">
        <f>ROUND(AVERAGE(L49:L51),2)</f>
        <v>36.01</v>
      </c>
      <c r="O49" s="143"/>
      <c r="P49" s="145"/>
      <c r="Q49" s="132"/>
      <c r="R49" s="15" t="s">
        <v>554</v>
      </c>
      <c r="S49" s="16">
        <f>中指数据!F8</f>
        <v>0</v>
      </c>
      <c r="T49" s="139">
        <f>ROUND(AVERAGE(S49:S51),2)</f>
        <v>0</v>
      </c>
    </row>
    <row r="50" spans="1:24" x14ac:dyDescent="0.2">
      <c r="A50" s="143"/>
      <c r="B50" s="145"/>
      <c r="C50" s="132" t="s">
        <v>691</v>
      </c>
      <c r="D50" s="15" t="s">
        <v>555</v>
      </c>
      <c r="E50" s="14">
        <f>'城研数据 '!G90</f>
        <v>0</v>
      </c>
      <c r="F50" s="143"/>
      <c r="H50" s="143"/>
      <c r="I50" s="145"/>
      <c r="J50" s="132" t="s">
        <v>691</v>
      </c>
      <c r="K50" s="15" t="s">
        <v>555</v>
      </c>
      <c r="L50" s="16">
        <f>贝壳案例!J90</f>
        <v>72.02</v>
      </c>
      <c r="M50" s="143"/>
      <c r="O50" s="143"/>
      <c r="P50" s="145"/>
      <c r="Q50" s="132" t="s">
        <v>691</v>
      </c>
      <c r="R50" s="15" t="s">
        <v>555</v>
      </c>
      <c r="S50" s="16">
        <f>中指数据!E8</f>
        <v>0</v>
      </c>
      <c r="T50" s="143"/>
    </row>
    <row r="51" spans="1:24" ht="14.25" customHeight="1" x14ac:dyDescent="0.2">
      <c r="A51" s="143"/>
      <c r="B51" s="145"/>
      <c r="C51" s="132"/>
      <c r="D51" s="15" t="s">
        <v>556</v>
      </c>
      <c r="E51" s="14">
        <f>'城研数据 '!G91</f>
        <v>0</v>
      </c>
      <c r="F51" s="140"/>
      <c r="H51" s="143"/>
      <c r="I51" s="145"/>
      <c r="J51" s="132"/>
      <c r="K51" s="15" t="s">
        <v>556</v>
      </c>
      <c r="L51" s="16">
        <f>贝壳案例!W47</f>
        <v>0</v>
      </c>
      <c r="M51" s="140"/>
      <c r="O51" s="143"/>
      <c r="P51" s="145"/>
      <c r="Q51" s="132"/>
      <c r="R51" s="15" t="s">
        <v>556</v>
      </c>
      <c r="S51" s="16">
        <f>中指数据!D8</f>
        <v>0</v>
      </c>
      <c r="T51" s="140"/>
    </row>
    <row r="52" spans="1:24" ht="14.25" customHeight="1" x14ac:dyDescent="0.2">
      <c r="A52" s="143"/>
      <c r="B52" s="145"/>
      <c r="C52" s="132"/>
      <c r="D52" s="15" t="s">
        <v>557</v>
      </c>
      <c r="E52" s="14">
        <f>'城研数据 '!G92</f>
        <v>0</v>
      </c>
      <c r="F52" s="139">
        <f>ROUND(AVERAGE(E52:E53),2)</f>
        <v>0</v>
      </c>
      <c r="H52" s="143"/>
      <c r="I52" s="145"/>
      <c r="J52" s="132"/>
      <c r="K52" s="15" t="s">
        <v>557</v>
      </c>
      <c r="L52" s="16">
        <f>贝壳案例!W46</f>
        <v>0</v>
      </c>
      <c r="M52" s="139">
        <f>ROUND(AVERAGE(L52:L53),2)</f>
        <v>0</v>
      </c>
      <c r="O52" s="143"/>
      <c r="P52" s="145"/>
      <c r="Q52" s="132"/>
      <c r="R52" s="15" t="s">
        <v>557</v>
      </c>
      <c r="S52" s="16">
        <f>中指数据!C8</f>
        <v>0</v>
      </c>
      <c r="T52" s="139">
        <f>ROUND(AVERAGE(S52:S53),2)</f>
        <v>0</v>
      </c>
    </row>
    <row r="53" spans="1:24" x14ac:dyDescent="0.2">
      <c r="A53" s="143"/>
      <c r="B53" s="145"/>
      <c r="C53" s="57" t="s">
        <v>690</v>
      </c>
      <c r="D53" s="15" t="s">
        <v>558</v>
      </c>
      <c r="E53" s="14">
        <f>'城研数据 '!G93</f>
        <v>0</v>
      </c>
      <c r="F53" s="140"/>
      <c r="H53" s="143"/>
      <c r="I53" s="145"/>
      <c r="J53" s="57" t="s">
        <v>690</v>
      </c>
      <c r="K53" s="15" t="s">
        <v>558</v>
      </c>
      <c r="L53" s="14" t="s">
        <v>77</v>
      </c>
      <c r="M53" s="140"/>
      <c r="O53" s="143"/>
      <c r="P53" s="145"/>
      <c r="Q53" s="57" t="s">
        <v>690</v>
      </c>
      <c r="R53" s="15" t="s">
        <v>558</v>
      </c>
      <c r="S53" s="16">
        <f>中指数据!B8</f>
        <v>0</v>
      </c>
      <c r="T53" s="140"/>
    </row>
    <row r="54" spans="1:24" x14ac:dyDescent="0.2">
      <c r="A54" s="141" t="s">
        <v>76</v>
      </c>
      <c r="B54" s="142"/>
      <c r="C54" s="142"/>
      <c r="D54" s="142"/>
      <c r="E54" s="142"/>
      <c r="F54" s="31">
        <f>ROUND(AVERAGE(F42:F53),2)</f>
        <v>0</v>
      </c>
      <c r="H54" s="141" t="s">
        <v>76</v>
      </c>
      <c r="I54" s="142"/>
      <c r="J54" s="142"/>
      <c r="K54" s="142"/>
      <c r="L54" s="142"/>
      <c r="M54" s="31">
        <f>ROUND(AVERAGE(M42:M53),2)</f>
        <v>7.2</v>
      </c>
      <c r="O54" s="141" t="s">
        <v>76</v>
      </c>
      <c r="P54" s="142"/>
      <c r="Q54" s="142"/>
      <c r="R54" s="142"/>
      <c r="S54" s="142"/>
      <c r="T54" s="31">
        <f>ROUND(AVERAGE(T42:T53),2)</f>
        <v>0</v>
      </c>
    </row>
    <row r="57" spans="1:24" x14ac:dyDescent="0.2">
      <c r="A57" s="132" t="s">
        <v>80</v>
      </c>
      <c r="B57" s="132"/>
      <c r="C57" s="132"/>
      <c r="D57" s="132"/>
      <c r="E57" s="132"/>
      <c r="F57" s="132"/>
    </row>
    <row r="58" spans="1:24" x14ac:dyDescent="0.2">
      <c r="A58" s="14" t="s">
        <v>34</v>
      </c>
      <c r="B58" s="14" t="s">
        <v>8</v>
      </c>
      <c r="C58" s="14" t="s">
        <v>81</v>
      </c>
      <c r="D58" s="15" t="s">
        <v>83</v>
      </c>
      <c r="E58" s="14" t="s">
        <v>82</v>
      </c>
      <c r="F58" s="14" t="s">
        <v>76</v>
      </c>
      <c r="G58" s="17" t="s">
        <v>86</v>
      </c>
      <c r="H58" s="17" t="s">
        <v>87</v>
      </c>
      <c r="I58" s="17" t="s">
        <v>88</v>
      </c>
      <c r="J58" s="17" t="s">
        <v>573</v>
      </c>
      <c r="K58" s="17" t="s">
        <v>574</v>
      </c>
    </row>
    <row r="59" spans="1:24" s="91" customFormat="1" x14ac:dyDescent="0.2">
      <c r="A59" s="88">
        <v>1</v>
      </c>
      <c r="B59" s="89" t="str">
        <f>B3</f>
        <v>义和庄北里</v>
      </c>
      <c r="C59" s="88">
        <f>F15</f>
        <v>46.49</v>
      </c>
      <c r="D59" s="88">
        <f>M15</f>
        <v>47.55</v>
      </c>
      <c r="E59" s="88">
        <f>T15</f>
        <v>50.25</v>
      </c>
      <c r="F59" s="88">
        <f>ROUND(AVERAGE(C59:E59),2)</f>
        <v>48.1</v>
      </c>
      <c r="G59" s="90">
        <v>0.8</v>
      </c>
      <c r="H59" s="90">
        <f>30/12</f>
        <v>2.5</v>
      </c>
      <c r="I59" s="90">
        <f>ROUND(F59-G59-H59,2)</f>
        <v>44.8</v>
      </c>
      <c r="J59" s="90">
        <f>ROUND(I59/(1+5%)*2.5%,2)</f>
        <v>1.07</v>
      </c>
      <c r="K59" s="90">
        <f>I59-J59</f>
        <v>43.73</v>
      </c>
      <c r="L59" s="90"/>
    </row>
    <row r="60" spans="1:24" s="91" customFormat="1" x14ac:dyDescent="0.2">
      <c r="A60" s="88">
        <v>2</v>
      </c>
      <c r="B60" s="89" t="str">
        <f>B16</f>
        <v>锦华园</v>
      </c>
      <c r="C60" s="88">
        <f>F28</f>
        <v>43.39</v>
      </c>
      <c r="D60" s="88">
        <f>M28</f>
        <v>41.36</v>
      </c>
      <c r="E60" s="88">
        <f>T28</f>
        <v>51.77</v>
      </c>
      <c r="F60" s="88">
        <f>ROUND(AVERAGE(C60:E60),2)</f>
        <v>45.51</v>
      </c>
      <c r="G60" s="90">
        <v>1.47</v>
      </c>
      <c r="H60" s="90">
        <f>30/12</f>
        <v>2.5</v>
      </c>
      <c r="I60" s="90">
        <f>ROUND(F60-G60-H60,2)</f>
        <v>41.54</v>
      </c>
      <c r="J60" s="90">
        <f t="shared" ref="J60:J62" si="0">ROUND(I60/(1+5%)*2.5%,2)</f>
        <v>0.99</v>
      </c>
      <c r="K60" s="90">
        <f t="shared" ref="K60" si="1">I60-J60</f>
        <v>40.549999999999997</v>
      </c>
      <c r="L60" s="90"/>
    </row>
    <row r="61" spans="1:24" x14ac:dyDescent="0.2">
      <c r="A61" s="88">
        <v>3</v>
      </c>
      <c r="B61" s="89" t="str">
        <f>B29</f>
        <v>义和庄东里</v>
      </c>
      <c r="C61" s="88">
        <f>F41</f>
        <v>39.9</v>
      </c>
      <c r="D61" s="88">
        <f>M41</f>
        <v>38.659999999999997</v>
      </c>
      <c r="E61" s="88">
        <f>T41</f>
        <v>49.24</v>
      </c>
      <c r="F61" s="88">
        <f>ROUND(AVERAGE(C61:E61),2)</f>
        <v>42.6</v>
      </c>
      <c r="G61" s="90">
        <v>0.8</v>
      </c>
      <c r="H61" s="90">
        <f>30/12</f>
        <v>2.5</v>
      </c>
      <c r="I61" s="90">
        <f>ROUND(F61-G61-H61,2)</f>
        <v>39.299999999999997</v>
      </c>
      <c r="J61" s="90">
        <f t="shared" si="0"/>
        <v>0.94</v>
      </c>
      <c r="K61" s="90">
        <f>I61-J61</f>
        <v>38.36</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si="0"/>
        <v>0.01</v>
      </c>
      <c r="K62" s="90">
        <f t="shared" ref="K62" si="2">I62-J62</f>
        <v>0.41</v>
      </c>
      <c r="L62" s="90"/>
    </row>
    <row r="63" spans="1:24" x14ac:dyDescent="0.2">
      <c r="D63" s="1"/>
    </row>
    <row r="64" spans="1:24" x14ac:dyDescent="0.2">
      <c r="D64" s="1"/>
      <c r="X64" s="55" t="s">
        <v>575</v>
      </c>
    </row>
    <row r="65" spans="4:4" x14ac:dyDescent="0.2">
      <c r="D65" s="1"/>
    </row>
    <row r="66" spans="4:4" x14ac:dyDescent="0.2">
      <c r="D66" s="1"/>
    </row>
    <row r="93" spans="3:24" ht="15" thickBot="1" x14ac:dyDescent="0.25"/>
    <row r="94" spans="3:24" ht="77.25" thickBot="1" x14ac:dyDescent="0.25">
      <c r="C94" s="137" t="str">
        <f>B59</f>
        <v>义和庄北里</v>
      </c>
      <c r="D94" s="138"/>
      <c r="E94" s="53" t="s">
        <v>567</v>
      </c>
      <c r="F94" s="53" t="s">
        <v>568</v>
      </c>
      <c r="G94" s="53" t="s">
        <v>569</v>
      </c>
    </row>
    <row r="95" spans="3:24" ht="27.6" customHeight="1" thickBot="1" x14ac:dyDescent="0.25">
      <c r="C95" s="135" t="s">
        <v>779</v>
      </c>
      <c r="D95" s="136"/>
      <c r="E95" s="54">
        <f>T3</f>
        <v>48.39</v>
      </c>
      <c r="F95" s="54">
        <f>M3</f>
        <v>51.99</v>
      </c>
      <c r="G95" s="54">
        <f>F3</f>
        <v>43.64</v>
      </c>
      <c r="V95" s="54">
        <f>AK3</f>
        <v>0</v>
      </c>
      <c r="W95" s="54">
        <f>AD3</f>
        <v>0</v>
      </c>
      <c r="X95" s="54">
        <f>W3</f>
        <v>0</v>
      </c>
    </row>
    <row r="96" spans="3:24" ht="15" thickBot="1" x14ac:dyDescent="0.25">
      <c r="C96" s="135" t="s">
        <v>565</v>
      </c>
      <c r="D96" s="136"/>
      <c r="E96" s="54">
        <f>T5</f>
        <v>49.22</v>
      </c>
      <c r="F96" s="54">
        <f>M5</f>
        <v>48.13</v>
      </c>
      <c r="G96" s="54">
        <f>F5</f>
        <v>45.39</v>
      </c>
      <c r="V96" s="54">
        <f>AK5</f>
        <v>0</v>
      </c>
      <c r="W96" s="54">
        <f>AD5</f>
        <v>0</v>
      </c>
      <c r="X96" s="54">
        <f>W5</f>
        <v>0</v>
      </c>
    </row>
    <row r="97" spans="3:24" ht="15" thickBot="1" x14ac:dyDescent="0.25">
      <c r="C97" s="135" t="s">
        <v>571</v>
      </c>
      <c r="D97" s="136"/>
      <c r="E97" s="54">
        <f>T8</f>
        <v>48.15</v>
      </c>
      <c r="F97" s="54">
        <f>M8</f>
        <v>37.17</v>
      </c>
      <c r="G97" s="54">
        <f>F8</f>
        <v>46.67</v>
      </c>
      <c r="V97" s="54">
        <f>AK8</f>
        <v>0</v>
      </c>
      <c r="W97" s="54">
        <f>AD8</f>
        <v>0</v>
      </c>
      <c r="X97" s="54">
        <f>W8</f>
        <v>0</v>
      </c>
    </row>
    <row r="98" spans="3:24" ht="15" thickBot="1" x14ac:dyDescent="0.25">
      <c r="C98" s="135" t="s">
        <v>777</v>
      </c>
      <c r="D98" s="136"/>
      <c r="E98" s="54">
        <f>T11</f>
        <v>53.96</v>
      </c>
      <c r="F98" s="54">
        <f>M11</f>
        <v>49.04</v>
      </c>
      <c r="G98" s="54">
        <f>F11</f>
        <v>47.38</v>
      </c>
      <c r="V98" s="54">
        <f>AK11</f>
        <v>0</v>
      </c>
      <c r="W98" s="54">
        <f>AD11</f>
        <v>0</v>
      </c>
      <c r="X98" s="54">
        <f>W11</f>
        <v>0</v>
      </c>
    </row>
    <row r="99" spans="3:24" ht="27.6" customHeight="1" thickBot="1" x14ac:dyDescent="0.25">
      <c r="C99" s="135" t="s">
        <v>778</v>
      </c>
      <c r="D99" s="136"/>
      <c r="E99" s="54">
        <f>T14</f>
        <v>52.23</v>
      </c>
      <c r="F99" s="54">
        <f>M14</f>
        <v>60.66</v>
      </c>
      <c r="G99" s="54">
        <f>F14</f>
        <v>49.46</v>
      </c>
      <c r="V99" s="54">
        <f>AK14</f>
        <v>0</v>
      </c>
      <c r="W99" s="54">
        <f>AD14</f>
        <v>0</v>
      </c>
      <c r="X99" s="54">
        <f>W14</f>
        <v>0</v>
      </c>
    </row>
    <row r="100" spans="3:24" ht="26.25" thickBot="1" x14ac:dyDescent="0.25">
      <c r="C100" s="137" t="s">
        <v>566</v>
      </c>
      <c r="D100" s="138"/>
      <c r="E100" s="54">
        <f>ROUND(AVERAGE(E95:E99),2)</f>
        <v>50.39</v>
      </c>
      <c r="F100" s="54">
        <f>ROUND(AVERAGE(F95:F99),2)</f>
        <v>49.4</v>
      </c>
      <c r="G100" s="54">
        <f>ROUND(AVERAGE(G95:G99),2)</f>
        <v>46.51</v>
      </c>
      <c r="O100" s="137" t="s">
        <v>6</v>
      </c>
      <c r="P100" s="138"/>
      <c r="Q100" s="53" t="s">
        <v>567</v>
      </c>
      <c r="R100" s="53" t="s">
        <v>568</v>
      </c>
      <c r="S100" s="53" t="s">
        <v>569</v>
      </c>
    </row>
    <row r="101" spans="3:24" ht="15" thickBot="1" x14ac:dyDescent="0.25">
      <c r="O101" s="135" t="s">
        <v>570</v>
      </c>
      <c r="P101" s="136"/>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35" t="s">
        <v>563</v>
      </c>
      <c r="P105" s="136"/>
      <c r="Q105" s="54">
        <f>T43</f>
        <v>0</v>
      </c>
      <c r="R105" s="54">
        <f>M43</f>
        <v>0</v>
      </c>
      <c r="S105" s="54">
        <f>F43</f>
        <v>0</v>
      </c>
    </row>
    <row r="106" spans="3:24" ht="15" thickBot="1" x14ac:dyDescent="0.25">
      <c r="O106" s="135" t="s">
        <v>564</v>
      </c>
      <c r="P106" s="136"/>
      <c r="Q106" s="54">
        <f>T46</f>
        <v>0</v>
      </c>
      <c r="R106" s="54">
        <f>M46</f>
        <v>0</v>
      </c>
      <c r="S106" s="54">
        <f>F46</f>
        <v>0</v>
      </c>
    </row>
    <row r="107" spans="3:24" ht="15" thickBot="1" x14ac:dyDescent="0.25">
      <c r="O107" s="135" t="s">
        <v>565</v>
      </c>
      <c r="P107" s="136"/>
      <c r="Q107" s="54">
        <f>T49</f>
        <v>0</v>
      </c>
      <c r="R107" s="54">
        <f>M49</f>
        <v>36.01</v>
      </c>
      <c r="S107" s="54">
        <f>F49</f>
        <v>0</v>
      </c>
    </row>
    <row r="108" spans="3:24" ht="77.25" thickBot="1" x14ac:dyDescent="0.25">
      <c r="C108" s="137" t="str">
        <f>B60</f>
        <v>锦华园</v>
      </c>
      <c r="D108" s="138"/>
      <c r="E108" s="53" t="s">
        <v>567</v>
      </c>
      <c r="F108" s="53" t="s">
        <v>568</v>
      </c>
      <c r="G108" s="53" t="s">
        <v>569</v>
      </c>
      <c r="O108" s="135" t="s">
        <v>571</v>
      </c>
      <c r="P108" s="136"/>
      <c r="Q108" s="54">
        <f>T52</f>
        <v>0</v>
      </c>
      <c r="R108" s="54">
        <f>M52</f>
        <v>0</v>
      </c>
      <c r="S108" s="54">
        <f>F52</f>
        <v>0</v>
      </c>
    </row>
    <row r="109" spans="3:24" ht="27.6" customHeight="1" thickBot="1" x14ac:dyDescent="0.25">
      <c r="C109" s="135" t="s">
        <v>779</v>
      </c>
      <c r="D109" s="136"/>
      <c r="E109" s="54">
        <f>T16</f>
        <v>50.07</v>
      </c>
      <c r="F109" s="54">
        <f>M16</f>
        <v>39.21</v>
      </c>
      <c r="G109" s="54">
        <f>F16</f>
        <v>41.42</v>
      </c>
      <c r="O109" s="137" t="s">
        <v>566</v>
      </c>
      <c r="P109" s="138"/>
      <c r="Q109" s="54">
        <f>T54</f>
        <v>0</v>
      </c>
      <c r="R109" s="54">
        <f>M54</f>
        <v>7.2</v>
      </c>
      <c r="S109" s="54">
        <f>F54</f>
        <v>0</v>
      </c>
    </row>
    <row r="110" spans="3:24" ht="15" thickBot="1" x14ac:dyDescent="0.25">
      <c r="C110" s="135" t="s">
        <v>565</v>
      </c>
      <c r="D110" s="136"/>
      <c r="E110" s="54">
        <f>T18</f>
        <v>47.7</v>
      </c>
      <c r="F110" s="54">
        <f>M18</f>
        <v>37.57</v>
      </c>
      <c r="G110" s="54">
        <f>F18</f>
        <v>40.630000000000003</v>
      </c>
    </row>
    <row r="111" spans="3:24" ht="15" thickBot="1" x14ac:dyDescent="0.25">
      <c r="C111" s="135" t="s">
        <v>571</v>
      </c>
      <c r="D111" s="136"/>
      <c r="E111" s="54">
        <f>T21</f>
        <v>53.08</v>
      </c>
      <c r="F111" s="54">
        <f>M21</f>
        <v>41.61</v>
      </c>
      <c r="G111" s="54">
        <f>F21</f>
        <v>43.59</v>
      </c>
    </row>
    <row r="112" spans="3:24" ht="15" thickBot="1" x14ac:dyDescent="0.25">
      <c r="C112" s="135" t="s">
        <v>777</v>
      </c>
      <c r="D112" s="136"/>
      <c r="E112" s="54">
        <f>T24</f>
        <v>57</v>
      </c>
      <c r="F112" s="54">
        <f>M24</f>
        <v>44.78</v>
      </c>
      <c r="G112" s="54">
        <f>F24</f>
        <v>44.49</v>
      </c>
    </row>
    <row r="113" spans="3:7" ht="27.6" customHeight="1" thickBot="1" x14ac:dyDescent="0.25">
      <c r="C113" s="135" t="s">
        <v>778</v>
      </c>
      <c r="D113" s="136"/>
      <c r="E113" s="54">
        <f>T27</f>
        <v>47.77</v>
      </c>
      <c r="F113" s="54">
        <f>M27</f>
        <v>49.06</v>
      </c>
      <c r="G113" s="54">
        <f>F27</f>
        <v>46.97</v>
      </c>
    </row>
    <row r="114" spans="3:7" ht="15" thickBot="1" x14ac:dyDescent="0.25">
      <c r="C114" s="137" t="s">
        <v>566</v>
      </c>
      <c r="D114" s="138"/>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37" t="str">
        <f>B61</f>
        <v>义和庄东里</v>
      </c>
      <c r="D122" s="138"/>
      <c r="E122" s="53" t="s">
        <v>567</v>
      </c>
      <c r="F122" s="53" t="s">
        <v>568</v>
      </c>
      <c r="G122" s="53" t="s">
        <v>569</v>
      </c>
    </row>
    <row r="123" spans="3:7" ht="27.6" customHeight="1" thickBot="1" x14ac:dyDescent="0.25">
      <c r="C123" s="135" t="s">
        <v>779</v>
      </c>
      <c r="D123" s="136"/>
      <c r="E123" s="54">
        <f>T29</f>
        <v>46.15</v>
      </c>
      <c r="F123" s="54">
        <f>M29</f>
        <v>39.08</v>
      </c>
      <c r="G123" s="54">
        <f>F29</f>
        <v>43.26</v>
      </c>
    </row>
    <row r="124" spans="3:7" ht="15" thickBot="1" x14ac:dyDescent="0.25">
      <c r="C124" s="135" t="s">
        <v>565</v>
      </c>
      <c r="D124" s="136"/>
      <c r="E124" s="54">
        <f>T31</f>
        <v>44.89</v>
      </c>
      <c r="F124" s="54">
        <f>M31</f>
        <v>35.869999999999997</v>
      </c>
      <c r="G124" s="54">
        <f>F31</f>
        <v>36.46</v>
      </c>
    </row>
    <row r="125" spans="3:7" ht="15" thickBot="1" x14ac:dyDescent="0.25">
      <c r="C125" s="135" t="s">
        <v>571</v>
      </c>
      <c r="D125" s="136"/>
      <c r="E125" s="54">
        <f>T34</f>
        <v>49.99</v>
      </c>
      <c r="F125" s="54">
        <f>M34</f>
        <v>44.46</v>
      </c>
      <c r="G125" s="54">
        <f>F34</f>
        <v>40.130000000000003</v>
      </c>
    </row>
    <row r="126" spans="3:7" ht="15" thickBot="1" x14ac:dyDescent="0.25">
      <c r="C126" s="135" t="s">
        <v>777</v>
      </c>
      <c r="D126" s="136"/>
      <c r="E126" s="54">
        <f>T37</f>
        <v>52.94</v>
      </c>
      <c r="F126" s="54">
        <f>M37</f>
        <v>35.630000000000003</v>
      </c>
      <c r="G126" s="54">
        <f>F37</f>
        <v>44.64</v>
      </c>
    </row>
    <row r="127" spans="3:7" ht="27.6" customHeight="1" thickBot="1" x14ac:dyDescent="0.25">
      <c r="C127" s="135" t="s">
        <v>778</v>
      </c>
      <c r="D127" s="136"/>
      <c r="E127" s="54">
        <f>T40</f>
        <v>55.16</v>
      </c>
      <c r="F127" s="54">
        <f>M40</f>
        <v>35.29</v>
      </c>
      <c r="G127" s="54">
        <f>F40</f>
        <v>31.9</v>
      </c>
    </row>
    <row r="128" spans="3:7" ht="15" thickBot="1" x14ac:dyDescent="0.25">
      <c r="C128" s="137" t="s">
        <v>566</v>
      </c>
      <c r="D128" s="138"/>
      <c r="E128" s="54">
        <f>ROUND(AVERAGE(E123:E127),2)</f>
        <v>49.83</v>
      </c>
      <c r="F128" s="54">
        <f>ROUND(AVERAGE(F123:F127),2)</f>
        <v>38.07</v>
      </c>
      <c r="G128" s="54">
        <f>ROUND(AVERAGE(G123:G127),2)</f>
        <v>39.28</v>
      </c>
    </row>
  </sheetData>
  <mergeCells count="164">
    <mergeCell ref="C124:D124"/>
    <mergeCell ref="C125:D125"/>
    <mergeCell ref="C126:D126"/>
    <mergeCell ref="C127:D127"/>
    <mergeCell ref="C128:D128"/>
    <mergeCell ref="C111:D111"/>
    <mergeCell ref="C112:D112"/>
    <mergeCell ref="C113:D113"/>
    <mergeCell ref="C114:D114"/>
    <mergeCell ref="C122:D122"/>
    <mergeCell ref="C123:D123"/>
    <mergeCell ref="O107:P107"/>
    <mergeCell ref="C108:D108"/>
    <mergeCell ref="O108:P108"/>
    <mergeCell ref="C109:D109"/>
    <mergeCell ref="O109:P109"/>
    <mergeCell ref="C110:D110"/>
    <mergeCell ref="C99:D99"/>
    <mergeCell ref="C100:D100"/>
    <mergeCell ref="O100:P100"/>
    <mergeCell ref="O101:P101"/>
    <mergeCell ref="O105:P105"/>
    <mergeCell ref="O106:P106"/>
    <mergeCell ref="A57:F57"/>
    <mergeCell ref="C94:D94"/>
    <mergeCell ref="C95:D95"/>
    <mergeCell ref="C96:D96"/>
    <mergeCell ref="C97:D97"/>
    <mergeCell ref="C98:D98"/>
    <mergeCell ref="F52:F53"/>
    <mergeCell ref="M52:M53"/>
    <mergeCell ref="T52:T53"/>
    <mergeCell ref="A54:E54"/>
    <mergeCell ref="H54:L54"/>
    <mergeCell ref="O54:S54"/>
    <mergeCell ref="T46:T48"/>
    <mergeCell ref="C47:C49"/>
    <mergeCell ref="J47:J49"/>
    <mergeCell ref="Q47:Q49"/>
    <mergeCell ref="F49:F51"/>
    <mergeCell ref="M49:M51"/>
    <mergeCell ref="T49:T51"/>
    <mergeCell ref="C50:C52"/>
    <mergeCell ref="J50:J52"/>
    <mergeCell ref="Q50:Q52"/>
    <mergeCell ref="P42:P53"/>
    <mergeCell ref="Q42:Q43"/>
    <mergeCell ref="F43:F45"/>
    <mergeCell ref="M43:M45"/>
    <mergeCell ref="T43:T45"/>
    <mergeCell ref="C44:C46"/>
    <mergeCell ref="J44:J46"/>
    <mergeCell ref="Q44:Q46"/>
    <mergeCell ref="F46:F48"/>
    <mergeCell ref="M46:M48"/>
    <mergeCell ref="A41:E41"/>
    <mergeCell ref="H41:L41"/>
    <mergeCell ref="O41:S41"/>
    <mergeCell ref="A42:A53"/>
    <mergeCell ref="B42:B53"/>
    <mergeCell ref="C42:C43"/>
    <mergeCell ref="H42:H53"/>
    <mergeCell ref="I42:I53"/>
    <mergeCell ref="J42:J43"/>
    <mergeCell ref="O42:O53"/>
    <mergeCell ref="C37:C39"/>
    <mergeCell ref="F37:F39"/>
    <mergeCell ref="J37:J39"/>
    <mergeCell ref="M37:M39"/>
    <mergeCell ref="Q37:Q39"/>
    <mergeCell ref="T37:T39"/>
    <mergeCell ref="T31:T33"/>
    <mergeCell ref="C34:C36"/>
    <mergeCell ref="F34:F36"/>
    <mergeCell ref="J34:J36"/>
    <mergeCell ref="M34:M36"/>
    <mergeCell ref="Q34:Q36"/>
    <mergeCell ref="T34:T36"/>
    <mergeCell ref="M29:M30"/>
    <mergeCell ref="O29:O40"/>
    <mergeCell ref="P29:P40"/>
    <mergeCell ref="Q29:Q30"/>
    <mergeCell ref="T29:T30"/>
    <mergeCell ref="C31:C33"/>
    <mergeCell ref="F31:F33"/>
    <mergeCell ref="J31:J33"/>
    <mergeCell ref="M31:M33"/>
    <mergeCell ref="Q31:Q33"/>
    <mergeCell ref="A28:E28"/>
    <mergeCell ref="H28:L28"/>
    <mergeCell ref="O28:S28"/>
    <mergeCell ref="A29:A40"/>
    <mergeCell ref="B29:B40"/>
    <mergeCell ref="C29:C30"/>
    <mergeCell ref="F29:F30"/>
    <mergeCell ref="H29:H40"/>
    <mergeCell ref="I29:I40"/>
    <mergeCell ref="J29:J30"/>
    <mergeCell ref="C24:C26"/>
    <mergeCell ref="F24:F26"/>
    <mergeCell ref="J24:J26"/>
    <mergeCell ref="M24:M26"/>
    <mergeCell ref="Q24:Q26"/>
    <mergeCell ref="T24:T26"/>
    <mergeCell ref="T18:T20"/>
    <mergeCell ref="C21:C23"/>
    <mergeCell ref="F21:F23"/>
    <mergeCell ref="J21:J23"/>
    <mergeCell ref="M21:M23"/>
    <mergeCell ref="Q21:Q23"/>
    <mergeCell ref="T21:T23"/>
    <mergeCell ref="M16:M17"/>
    <mergeCell ref="O16:O27"/>
    <mergeCell ref="P16:P27"/>
    <mergeCell ref="Q16:Q17"/>
    <mergeCell ref="T16:T17"/>
    <mergeCell ref="C18:C20"/>
    <mergeCell ref="F18:F20"/>
    <mergeCell ref="J18:J20"/>
    <mergeCell ref="M18:M20"/>
    <mergeCell ref="Q18:Q20"/>
    <mergeCell ref="A15:E15"/>
    <mergeCell ref="H15:L15"/>
    <mergeCell ref="O15:S15"/>
    <mergeCell ref="A16:A27"/>
    <mergeCell ref="B16:B27"/>
    <mergeCell ref="C16:C17"/>
    <mergeCell ref="F16:F17"/>
    <mergeCell ref="H16:H27"/>
    <mergeCell ref="I16:I27"/>
    <mergeCell ref="J16:J17"/>
    <mergeCell ref="C11:C13"/>
    <mergeCell ref="F11:F13"/>
    <mergeCell ref="J11:J13"/>
    <mergeCell ref="M11:M13"/>
    <mergeCell ref="Q11:Q13"/>
    <mergeCell ref="T11:T13"/>
    <mergeCell ref="T5:T7"/>
    <mergeCell ref="C8:C10"/>
    <mergeCell ref="F8:F10"/>
    <mergeCell ref="J8:J10"/>
    <mergeCell ref="M8:M10"/>
    <mergeCell ref="Q8:Q10"/>
    <mergeCell ref="T8:T10"/>
    <mergeCell ref="O3:O14"/>
    <mergeCell ref="P3:P14"/>
    <mergeCell ref="Q3:Q4"/>
    <mergeCell ref="T3:T4"/>
    <mergeCell ref="A4:A14"/>
    <mergeCell ref="C5:C7"/>
    <mergeCell ref="F5:F7"/>
    <mergeCell ref="J5:J7"/>
    <mergeCell ref="M5:M7"/>
    <mergeCell ref="Q5:Q7"/>
    <mergeCell ref="A1:F1"/>
    <mergeCell ref="H1:M1"/>
    <mergeCell ref="O1:T1"/>
    <mergeCell ref="B3:B14"/>
    <mergeCell ref="C3:C4"/>
    <mergeCell ref="F3:F4"/>
    <mergeCell ref="H3:H14"/>
    <mergeCell ref="I3:I14"/>
    <mergeCell ref="J3:J4"/>
    <mergeCell ref="M3:M4"/>
  </mergeCells>
  <phoneticPr fontId="6"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4" t="s">
        <v>664</v>
      </c>
      <c r="B1" s="84" t="s">
        <v>149</v>
      </c>
      <c r="C1" s="84" t="s">
        <v>665</v>
      </c>
      <c r="D1" s="84" t="s">
        <v>666</v>
      </c>
      <c r="E1" s="84" t="s">
        <v>667</v>
      </c>
      <c r="F1" s="2" t="s">
        <v>705</v>
      </c>
    </row>
    <row r="2" spans="1:12" s="37" customFormat="1" x14ac:dyDescent="0.2">
      <c r="A2" s="85" t="s">
        <v>668</v>
      </c>
      <c r="B2" s="85" t="s">
        <v>709</v>
      </c>
      <c r="C2" s="85">
        <v>2024</v>
      </c>
      <c r="D2" s="85" t="s">
        <v>15</v>
      </c>
      <c r="E2" s="85">
        <v>49.461739889</v>
      </c>
      <c r="F2" s="37">
        <f>ROUND(E2,2)</f>
        <v>49.46</v>
      </c>
      <c r="J2" s="133" t="s">
        <v>559</v>
      </c>
      <c r="K2" s="15" t="s">
        <v>694</v>
      </c>
      <c r="L2" s="37">
        <v>0</v>
      </c>
    </row>
    <row r="3" spans="1:12" s="37" customFormat="1" x14ac:dyDescent="0.2">
      <c r="A3" s="85" t="s">
        <v>668</v>
      </c>
      <c r="B3" s="85" t="s">
        <v>670</v>
      </c>
      <c r="C3" s="85">
        <v>2024</v>
      </c>
      <c r="D3" s="85" t="s">
        <v>27</v>
      </c>
      <c r="E3" s="85">
        <v>53.248042351000002</v>
      </c>
      <c r="F3" s="37">
        <f t="shared" ref="F3:F35" si="0">ROUND(E3,2)</f>
        <v>53.25</v>
      </c>
      <c r="J3" s="134"/>
      <c r="K3" s="15" t="s">
        <v>695</v>
      </c>
      <c r="L3" s="37">
        <f>F12</f>
        <v>43.64</v>
      </c>
    </row>
    <row r="4" spans="1:12" s="37" customFormat="1" x14ac:dyDescent="0.2">
      <c r="A4" s="85" t="s">
        <v>668</v>
      </c>
      <c r="B4" s="85" t="s">
        <v>670</v>
      </c>
      <c r="C4" s="85">
        <v>2024</v>
      </c>
      <c r="D4" s="85" t="s">
        <v>16</v>
      </c>
      <c r="E4" s="85">
        <v>48.555474629999999</v>
      </c>
      <c r="F4" s="37">
        <f t="shared" si="0"/>
        <v>48.56</v>
      </c>
      <c r="J4" s="132" t="s">
        <v>693</v>
      </c>
      <c r="K4" s="15" t="s">
        <v>696</v>
      </c>
    </row>
    <row r="5" spans="1:12" s="37" customFormat="1" x14ac:dyDescent="0.2">
      <c r="A5" s="85" t="s">
        <v>668</v>
      </c>
      <c r="B5" s="85" t="s">
        <v>670</v>
      </c>
      <c r="C5" s="85">
        <v>2024</v>
      </c>
      <c r="D5" s="85" t="s">
        <v>17</v>
      </c>
      <c r="E5" s="85">
        <v>40.322580645000002</v>
      </c>
      <c r="F5" s="37">
        <f t="shared" si="0"/>
        <v>40.32</v>
      </c>
      <c r="J5" s="132"/>
      <c r="K5" s="15" t="s">
        <v>697</v>
      </c>
    </row>
    <row r="6" spans="1:12" s="37" customFormat="1" x14ac:dyDescent="0.2">
      <c r="A6" s="85" t="s">
        <v>668</v>
      </c>
      <c r="B6" s="85" t="s">
        <v>670</v>
      </c>
      <c r="C6" s="85">
        <v>2024</v>
      </c>
      <c r="D6" s="85" t="s">
        <v>18</v>
      </c>
      <c r="E6" s="85">
        <v>47.304302747999998</v>
      </c>
      <c r="F6" s="37">
        <f t="shared" si="0"/>
        <v>47.3</v>
      </c>
      <c r="J6" s="132"/>
      <c r="K6" s="15" t="s">
        <v>698</v>
      </c>
    </row>
    <row r="7" spans="1:12" s="37" customFormat="1" x14ac:dyDescent="0.2">
      <c r="A7" s="85" t="s">
        <v>668</v>
      </c>
      <c r="B7" s="85" t="s">
        <v>670</v>
      </c>
      <c r="C7" s="85">
        <v>2024</v>
      </c>
      <c r="D7" s="85" t="s">
        <v>28</v>
      </c>
      <c r="E7" s="85">
        <v>42.958071502000003</v>
      </c>
      <c r="F7" s="37">
        <f t="shared" si="0"/>
        <v>42.96</v>
      </c>
      <c r="J7" s="132" t="s">
        <v>692</v>
      </c>
      <c r="K7" s="15" t="s">
        <v>699</v>
      </c>
    </row>
    <row r="8" spans="1:12" s="37" customFormat="1" x14ac:dyDescent="0.2">
      <c r="A8" s="85" t="s">
        <v>668</v>
      </c>
      <c r="B8" s="85" t="s">
        <v>670</v>
      </c>
      <c r="C8" s="85">
        <v>2024</v>
      </c>
      <c r="D8" s="85" t="s">
        <v>19</v>
      </c>
      <c r="E8" s="85">
        <v>49.756744802999997</v>
      </c>
      <c r="F8" s="37">
        <f t="shared" si="0"/>
        <v>49.76</v>
      </c>
      <c r="J8" s="132"/>
      <c r="K8" s="15" t="s">
        <v>700</v>
      </c>
    </row>
    <row r="9" spans="1:12" s="37" customFormat="1" x14ac:dyDescent="0.2">
      <c r="A9" s="85" t="s">
        <v>668</v>
      </c>
      <c r="B9" s="85" t="s">
        <v>670</v>
      </c>
      <c r="C9" s="85">
        <v>2024</v>
      </c>
      <c r="D9" s="85" t="s">
        <v>20</v>
      </c>
      <c r="E9" s="85">
        <v>46.871815773000002</v>
      </c>
      <c r="F9" s="37">
        <f t="shared" si="0"/>
        <v>46.87</v>
      </c>
      <c r="J9" s="132"/>
      <c r="K9" s="15" t="s">
        <v>701</v>
      </c>
    </row>
    <row r="10" spans="1:12" s="37" customFormat="1" x14ac:dyDescent="0.2">
      <c r="A10" s="85" t="s">
        <v>668</v>
      </c>
      <c r="B10" s="85" t="s">
        <v>670</v>
      </c>
      <c r="C10" s="85">
        <v>2024</v>
      </c>
      <c r="D10" s="85" t="s">
        <v>21</v>
      </c>
      <c r="E10" s="85">
        <v>47.315021033999997</v>
      </c>
      <c r="F10" s="37">
        <f t="shared" si="0"/>
        <v>47.32</v>
      </c>
      <c r="J10" s="132" t="s">
        <v>691</v>
      </c>
      <c r="K10" s="15" t="s">
        <v>702</v>
      </c>
    </row>
    <row r="11" spans="1:12" s="37" customFormat="1" x14ac:dyDescent="0.2">
      <c r="A11" s="85" t="s">
        <v>668</v>
      </c>
      <c r="B11" s="85" t="s">
        <v>670</v>
      </c>
      <c r="C11" s="85">
        <v>2024</v>
      </c>
      <c r="D11" s="85" t="s">
        <v>29</v>
      </c>
      <c r="E11" s="85">
        <v>41.974738139000003</v>
      </c>
      <c r="F11" s="37">
        <f t="shared" si="0"/>
        <v>41.97</v>
      </c>
      <c r="J11" s="132"/>
      <c r="K11" s="15" t="s">
        <v>703</v>
      </c>
    </row>
    <row r="12" spans="1:12" s="37" customFormat="1" x14ac:dyDescent="0.2">
      <c r="A12" s="85" t="s">
        <v>668</v>
      </c>
      <c r="B12" s="85" t="s">
        <v>670</v>
      </c>
      <c r="C12" s="85">
        <v>2023</v>
      </c>
      <c r="D12" s="85" t="s">
        <v>13</v>
      </c>
      <c r="E12" s="85">
        <v>43.638275499000002</v>
      </c>
      <c r="F12" s="37">
        <f t="shared" si="0"/>
        <v>43.64</v>
      </c>
      <c r="J12" s="132"/>
      <c r="K12" s="15" t="s">
        <v>704</v>
      </c>
    </row>
    <row r="13" spans="1:12" x14ac:dyDescent="0.2">
      <c r="F13" s="85"/>
      <c r="J13" s="57" t="s">
        <v>690</v>
      </c>
      <c r="K13" s="15" t="s">
        <v>689</v>
      </c>
    </row>
    <row r="14" spans="1:12" s="44" customFormat="1" x14ac:dyDescent="0.2">
      <c r="A14" s="85" t="s">
        <v>668</v>
      </c>
      <c r="B14" s="85" t="s">
        <v>710</v>
      </c>
      <c r="C14" s="85">
        <v>2024</v>
      </c>
      <c r="D14" s="85" t="s">
        <v>15</v>
      </c>
      <c r="E14" s="85">
        <v>46.968403074000001</v>
      </c>
      <c r="F14" s="37">
        <f t="shared" si="0"/>
        <v>46.97</v>
      </c>
    </row>
    <row r="15" spans="1:12" s="44" customFormat="1" x14ac:dyDescent="0.2">
      <c r="A15" s="85" t="s">
        <v>668</v>
      </c>
      <c r="B15" s="85" t="s">
        <v>671</v>
      </c>
      <c r="C15" s="85">
        <v>2024</v>
      </c>
      <c r="D15" s="85" t="s">
        <v>27</v>
      </c>
      <c r="E15" s="85">
        <v>44.604927781999997</v>
      </c>
      <c r="F15" s="37">
        <f t="shared" si="0"/>
        <v>44.6</v>
      </c>
    </row>
    <row r="16" spans="1:12" x14ac:dyDescent="0.2">
      <c r="A16" s="85" t="s">
        <v>668</v>
      </c>
      <c r="B16" s="85" t="s">
        <v>671</v>
      </c>
      <c r="C16" s="85">
        <v>2024</v>
      </c>
      <c r="D16" s="85" t="s">
        <v>16</v>
      </c>
      <c r="E16" s="85">
        <v>45.773421562999999</v>
      </c>
      <c r="F16" s="37">
        <f t="shared" si="0"/>
        <v>45.77</v>
      </c>
    </row>
    <row r="17" spans="1:9" x14ac:dyDescent="0.2">
      <c r="A17" s="85" t="s">
        <v>668</v>
      </c>
      <c r="B17" s="85" t="s">
        <v>671</v>
      </c>
      <c r="C17" s="85">
        <v>2024</v>
      </c>
      <c r="D17" s="85" t="s">
        <v>17</v>
      </c>
      <c r="E17" s="85">
        <v>43.110881186</v>
      </c>
      <c r="F17" s="37">
        <f t="shared" si="0"/>
        <v>43.11</v>
      </c>
    </row>
    <row r="18" spans="1:9" x14ac:dyDescent="0.2">
      <c r="A18" s="85" t="s">
        <v>668</v>
      </c>
      <c r="B18" s="85" t="s">
        <v>671</v>
      </c>
      <c r="C18" s="85">
        <v>2024</v>
      </c>
      <c r="D18" s="85" t="s">
        <v>18</v>
      </c>
      <c r="E18" s="85">
        <v>43.039285483</v>
      </c>
      <c r="F18" s="37">
        <f t="shared" si="0"/>
        <v>43.04</v>
      </c>
    </row>
    <row r="19" spans="1:9" x14ac:dyDescent="0.2">
      <c r="A19" s="85" t="s">
        <v>668</v>
      </c>
      <c r="B19" s="85" t="s">
        <v>671</v>
      </c>
      <c r="C19" s="85">
        <v>2024</v>
      </c>
      <c r="D19" s="85" t="s">
        <v>28</v>
      </c>
      <c r="E19" s="85">
        <v>48</v>
      </c>
      <c r="F19" s="37">
        <f t="shared" si="0"/>
        <v>48</v>
      </c>
    </row>
    <row r="20" spans="1:9" x14ac:dyDescent="0.2">
      <c r="A20" s="85" t="s">
        <v>668</v>
      </c>
      <c r="B20" s="85" t="s">
        <v>671</v>
      </c>
      <c r="C20" s="85">
        <v>2024</v>
      </c>
      <c r="D20" s="85" t="s">
        <v>19</v>
      </c>
      <c r="E20" s="85">
        <v>39.735099337999998</v>
      </c>
      <c r="F20" s="37">
        <f t="shared" si="0"/>
        <v>39.74</v>
      </c>
    </row>
    <row r="21" spans="1:9" x14ac:dyDescent="0.2">
      <c r="A21" s="85" t="s">
        <v>668</v>
      </c>
      <c r="B21" s="85" t="s">
        <v>671</v>
      </c>
      <c r="C21" s="85">
        <v>2024</v>
      </c>
      <c r="D21" s="85" t="s">
        <v>20</v>
      </c>
      <c r="E21" s="85">
        <v>41.563737599</v>
      </c>
      <c r="F21" s="37">
        <f t="shared" si="0"/>
        <v>41.56</v>
      </c>
      <c r="G21" s="44"/>
      <c r="H21" s="44"/>
      <c r="I21" s="44"/>
    </row>
    <row r="22" spans="1:9" x14ac:dyDescent="0.2">
      <c r="A22" s="85" t="s">
        <v>668</v>
      </c>
      <c r="B22" s="85" t="s">
        <v>671</v>
      </c>
      <c r="C22" s="85">
        <v>2024</v>
      </c>
      <c r="D22" s="85" t="s">
        <v>21</v>
      </c>
      <c r="E22" s="85">
        <v>39.692604240999998</v>
      </c>
      <c r="F22" s="37">
        <f t="shared" si="0"/>
        <v>39.69</v>
      </c>
      <c r="G22" s="44"/>
      <c r="H22" s="44"/>
      <c r="I22" s="44"/>
    </row>
    <row r="23" spans="1:9" x14ac:dyDescent="0.2">
      <c r="A23" s="85" t="s">
        <v>668</v>
      </c>
      <c r="B23" s="85" t="s">
        <v>671</v>
      </c>
      <c r="C23" s="85">
        <v>2023</v>
      </c>
      <c r="D23" s="85" t="s">
        <v>13</v>
      </c>
      <c r="E23" s="85">
        <v>41.421001566999998</v>
      </c>
      <c r="F23" s="37">
        <f t="shared" si="0"/>
        <v>41.42</v>
      </c>
    </row>
    <row r="24" spans="1:9" s="37" customFormat="1" x14ac:dyDescent="0.2">
      <c r="A24" s="85"/>
      <c r="B24" s="85"/>
      <c r="C24" s="85"/>
      <c r="D24" s="85"/>
      <c r="E24" s="85"/>
      <c r="F24" s="85"/>
    </row>
    <row r="25" spans="1:9" x14ac:dyDescent="0.2">
      <c r="A25" s="85" t="s">
        <v>668</v>
      </c>
      <c r="B25" s="85" t="s">
        <v>672</v>
      </c>
      <c r="C25" s="85">
        <v>2024</v>
      </c>
      <c r="D25" s="85" t="s">
        <v>15</v>
      </c>
      <c r="E25" s="85">
        <v>31.901928454</v>
      </c>
      <c r="F25" s="37">
        <f t="shared" si="0"/>
        <v>31.9</v>
      </c>
      <c r="G25" s="44"/>
      <c r="H25" s="44"/>
      <c r="I25" s="44"/>
    </row>
    <row r="26" spans="1:9" x14ac:dyDescent="0.2">
      <c r="A26" s="85" t="s">
        <v>668</v>
      </c>
      <c r="B26" s="85" t="s">
        <v>672</v>
      </c>
      <c r="C26" s="85">
        <v>2024</v>
      </c>
      <c r="D26" s="85" t="s">
        <v>27</v>
      </c>
      <c r="E26" s="85">
        <v>43.948738782</v>
      </c>
      <c r="F26" s="37">
        <f t="shared" si="0"/>
        <v>43.95</v>
      </c>
      <c r="G26" s="44"/>
      <c r="H26" s="44"/>
      <c r="I26" s="44"/>
    </row>
    <row r="27" spans="1:9" x14ac:dyDescent="0.2">
      <c r="A27" s="85" t="s">
        <v>668</v>
      </c>
      <c r="B27" s="85" t="s">
        <v>672</v>
      </c>
      <c r="C27" s="85">
        <v>2024</v>
      </c>
      <c r="D27" s="85" t="s">
        <v>16</v>
      </c>
      <c r="E27" s="85">
        <v>40.436885109000002</v>
      </c>
      <c r="F27" s="37">
        <f t="shared" si="0"/>
        <v>40.44</v>
      </c>
      <c r="G27" s="44"/>
      <c r="H27" s="44"/>
      <c r="I27" s="44"/>
    </row>
    <row r="28" spans="1:9" x14ac:dyDescent="0.2">
      <c r="A28" s="85" t="s">
        <v>668</v>
      </c>
      <c r="B28" s="85" t="s">
        <v>672</v>
      </c>
      <c r="C28" s="85">
        <v>2024</v>
      </c>
      <c r="D28" s="85" t="s">
        <v>17</v>
      </c>
      <c r="E28" s="85">
        <v>49.530866185999997</v>
      </c>
      <c r="F28" s="37">
        <f t="shared" si="0"/>
        <v>49.53</v>
      </c>
      <c r="G28" s="44"/>
      <c r="H28" s="44"/>
      <c r="I28" s="44"/>
    </row>
    <row r="29" spans="1:9" x14ac:dyDescent="0.2">
      <c r="A29" s="85" t="s">
        <v>668</v>
      </c>
      <c r="B29" s="85" t="s">
        <v>672</v>
      </c>
      <c r="C29" s="85">
        <v>2024</v>
      </c>
      <c r="D29" s="85" t="s">
        <v>18</v>
      </c>
      <c r="E29" s="85">
        <v>40.290088638</v>
      </c>
      <c r="F29" s="37">
        <f t="shared" si="0"/>
        <v>40.29</v>
      </c>
      <c r="G29" s="44"/>
      <c r="H29" s="44"/>
      <c r="I29" s="44"/>
    </row>
    <row r="30" spans="1:9" x14ac:dyDescent="0.2">
      <c r="A30" s="85" t="s">
        <v>668</v>
      </c>
      <c r="B30" s="85" t="s">
        <v>672</v>
      </c>
      <c r="C30" s="85">
        <v>2024</v>
      </c>
      <c r="D30" s="85" t="s">
        <v>28</v>
      </c>
      <c r="E30" s="85">
        <v>40.861825719000002</v>
      </c>
      <c r="F30" s="37">
        <f t="shared" si="0"/>
        <v>40.86</v>
      </c>
      <c r="G30" s="44"/>
      <c r="H30" s="44"/>
      <c r="I30" s="44"/>
    </row>
    <row r="31" spans="1:9" x14ac:dyDescent="0.2">
      <c r="A31" s="85" t="s">
        <v>668</v>
      </c>
      <c r="B31" s="85" t="s">
        <v>672</v>
      </c>
      <c r="C31" s="85">
        <v>2024</v>
      </c>
      <c r="D31" s="85" t="s">
        <v>19</v>
      </c>
      <c r="E31" s="85">
        <v>39.237567271000003</v>
      </c>
      <c r="F31" s="37">
        <f t="shared" si="0"/>
        <v>39.24</v>
      </c>
      <c r="G31" s="44"/>
      <c r="H31" s="44"/>
      <c r="I31" s="44"/>
    </row>
    <row r="32" spans="1:9" x14ac:dyDescent="0.2">
      <c r="A32" s="85" t="s">
        <v>668</v>
      </c>
      <c r="B32" s="85" t="s">
        <v>672</v>
      </c>
      <c r="C32" s="85">
        <v>2024</v>
      </c>
      <c r="D32" s="85" t="s">
        <v>20</v>
      </c>
      <c r="E32" s="85">
        <v>37.054464181</v>
      </c>
      <c r="F32" s="37">
        <f t="shared" si="0"/>
        <v>37.049999999999997</v>
      </c>
      <c r="G32" s="44"/>
      <c r="H32" s="44"/>
      <c r="I32" s="44"/>
    </row>
    <row r="33" spans="1:9" x14ac:dyDescent="0.2">
      <c r="A33" s="85" t="s">
        <v>668</v>
      </c>
      <c r="B33" s="85" t="s">
        <v>672</v>
      </c>
      <c r="C33" s="85">
        <v>2024</v>
      </c>
      <c r="D33" s="85" t="s">
        <v>21</v>
      </c>
      <c r="E33" s="85">
        <v>33.206247693999998</v>
      </c>
      <c r="F33" s="37">
        <f t="shared" si="0"/>
        <v>33.21</v>
      </c>
      <c r="G33" s="44"/>
      <c r="H33" s="44"/>
      <c r="I33" s="44"/>
    </row>
    <row r="34" spans="1:9" x14ac:dyDescent="0.2">
      <c r="A34" s="85" t="s">
        <v>668</v>
      </c>
      <c r="B34" s="85" t="s">
        <v>672</v>
      </c>
      <c r="C34" s="85">
        <v>2024</v>
      </c>
      <c r="D34" s="85" t="s">
        <v>29</v>
      </c>
      <c r="E34" s="85">
        <v>39.131435586999999</v>
      </c>
      <c r="F34" s="37">
        <f t="shared" si="0"/>
        <v>39.130000000000003</v>
      </c>
      <c r="G34" s="44"/>
      <c r="H34" s="44"/>
      <c r="I34" s="44"/>
    </row>
    <row r="35" spans="1:9" s="37" customFormat="1" x14ac:dyDescent="0.2">
      <c r="A35" s="85" t="s">
        <v>668</v>
      </c>
      <c r="B35" s="85" t="s">
        <v>672</v>
      </c>
      <c r="C35" s="85">
        <v>2023</v>
      </c>
      <c r="D35" s="85" t="s">
        <v>13</v>
      </c>
      <c r="E35" s="85">
        <v>43.256195220000002</v>
      </c>
      <c r="F35" s="37">
        <f t="shared" si="0"/>
        <v>43.26</v>
      </c>
    </row>
    <row r="36" spans="1:9" s="37" customFormat="1" x14ac:dyDescent="0.2">
      <c r="A36" s="85"/>
      <c r="B36" s="85"/>
      <c r="C36" s="85"/>
      <c r="D36" s="85"/>
      <c r="E36" s="85"/>
    </row>
    <row r="37" spans="1:9" s="37" customFormat="1" x14ac:dyDescent="0.2">
      <c r="A37" s="85"/>
      <c r="B37" s="85"/>
      <c r="C37" s="85"/>
      <c r="D37" s="85"/>
      <c r="E37" s="85"/>
    </row>
    <row r="38" spans="1:9" s="37" customFormat="1" x14ac:dyDescent="0.2">
      <c r="A38" s="85"/>
      <c r="B38" s="85"/>
      <c r="C38" s="85"/>
      <c r="D38" s="85"/>
      <c r="E38" s="85"/>
    </row>
    <row r="39" spans="1:9" s="37" customFormat="1" x14ac:dyDescent="0.2">
      <c r="A39" s="85"/>
      <c r="B39" s="85"/>
      <c r="C39" s="85"/>
      <c r="D39" s="85"/>
      <c r="E39" s="85"/>
    </row>
    <row r="40" spans="1:9" s="44" customFormat="1" x14ac:dyDescent="0.2"/>
    <row r="41" spans="1:9" x14ac:dyDescent="0.2">
      <c r="A41" s="43"/>
      <c r="B41" s="43"/>
      <c r="C41" s="43"/>
      <c r="D41" s="43"/>
      <c r="E41" s="43"/>
      <c r="F41" s="43"/>
      <c r="G41" s="43"/>
      <c r="H41" s="43"/>
    </row>
    <row r="42" spans="1:9" x14ac:dyDescent="0.2">
      <c r="A42" s="43"/>
      <c r="B42" s="43"/>
      <c r="C42" s="43"/>
      <c r="D42" s="43"/>
      <c r="E42" s="43"/>
      <c r="F42" s="43"/>
      <c r="G42" s="43"/>
      <c r="H42" s="43"/>
    </row>
    <row r="43" spans="1:9" x14ac:dyDescent="0.2">
      <c r="A43" s="43"/>
      <c r="B43" s="43"/>
      <c r="C43" s="43"/>
      <c r="D43" s="43"/>
      <c r="E43" s="43"/>
      <c r="F43" s="43"/>
      <c r="G43" s="43"/>
      <c r="H43" s="43"/>
    </row>
    <row r="44" spans="1:9" x14ac:dyDescent="0.2">
      <c r="A44" s="43"/>
      <c r="B44" s="43"/>
      <c r="C44" s="43"/>
      <c r="D44" s="43"/>
      <c r="E44" s="43"/>
      <c r="F44" s="43"/>
      <c r="G44" s="43"/>
      <c r="H44" s="43"/>
    </row>
    <row r="45" spans="1:9" x14ac:dyDescent="0.2">
      <c r="A45" s="43"/>
      <c r="B45" s="43"/>
      <c r="C45" s="43"/>
      <c r="D45" s="43"/>
      <c r="E45" s="43"/>
      <c r="F45" s="43"/>
      <c r="G45" s="43"/>
      <c r="H45" s="43"/>
    </row>
    <row r="46" spans="1:9" x14ac:dyDescent="0.2">
      <c r="A46" s="43"/>
      <c r="B46" s="43"/>
      <c r="C46" s="43"/>
      <c r="D46" s="43"/>
      <c r="E46" s="43"/>
      <c r="F46" s="43"/>
      <c r="G46" s="43"/>
      <c r="H46" s="43"/>
    </row>
    <row r="47" spans="1:9" x14ac:dyDescent="0.2">
      <c r="A47" s="43"/>
      <c r="B47" s="43"/>
      <c r="C47" s="43"/>
      <c r="D47" s="43"/>
      <c r="E47" s="43"/>
      <c r="F47" s="43"/>
      <c r="G47" s="43"/>
      <c r="H47" s="43"/>
    </row>
    <row r="48" spans="1:9" x14ac:dyDescent="0.2">
      <c r="A48" s="43"/>
      <c r="B48" s="43"/>
      <c r="C48" s="43"/>
      <c r="D48" s="43"/>
      <c r="E48" s="43"/>
      <c r="F48" s="43"/>
      <c r="G48" s="43"/>
      <c r="H48" s="43"/>
    </row>
    <row r="49" spans="1:8"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43"/>
      <c r="B53" s="43"/>
      <c r="C53" s="43"/>
      <c r="D53" s="43"/>
      <c r="E53" s="43"/>
      <c r="F53" s="43"/>
      <c r="G53" s="43"/>
      <c r="H53" s="43"/>
    </row>
    <row r="54" spans="1:8" x14ac:dyDescent="0.2">
      <c r="A54" s="43"/>
      <c r="B54" s="43"/>
      <c r="C54" s="43"/>
      <c r="D54" s="43"/>
      <c r="E54" s="43"/>
      <c r="F54" s="43"/>
      <c r="G54" s="43"/>
      <c r="H54" s="43"/>
    </row>
    <row r="55" spans="1:8" x14ac:dyDescent="0.2">
      <c r="A55" s="43"/>
      <c r="B55" s="43"/>
      <c r="C55" s="43"/>
      <c r="D55" s="43"/>
      <c r="E55" s="43"/>
      <c r="F55" s="43"/>
      <c r="G55" s="43"/>
      <c r="H55" s="43"/>
    </row>
    <row r="56" spans="1:8" x14ac:dyDescent="0.2">
      <c r="A56" s="43"/>
      <c r="B56" s="43"/>
      <c r="C56" s="43"/>
      <c r="D56" s="43"/>
      <c r="E56" s="43"/>
      <c r="F56" s="43"/>
      <c r="G56" s="43"/>
      <c r="H56" s="43"/>
    </row>
    <row r="57" spans="1:8" x14ac:dyDescent="0.2">
      <c r="A57" s="43"/>
      <c r="B57" s="43"/>
      <c r="C57" s="43"/>
      <c r="D57" s="43"/>
      <c r="E57" s="43"/>
      <c r="F57" s="43"/>
      <c r="G57" s="43"/>
      <c r="H57" s="43"/>
    </row>
  </sheetData>
  <mergeCells count="4">
    <mergeCell ref="J2:J3"/>
    <mergeCell ref="J4:J6"/>
    <mergeCell ref="J7:J9"/>
    <mergeCell ref="J10:J12"/>
  </mergeCells>
  <phoneticPr fontId="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T36" sqref="T36"/>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6" t="s">
        <v>681</v>
      </c>
      <c r="N1" s="46" t="s">
        <v>680</v>
      </c>
      <c r="O1" s="46" t="s">
        <v>682</v>
      </c>
      <c r="P1" s="46" t="s">
        <v>706</v>
      </c>
      <c r="V1" s="1" t="s">
        <v>708</v>
      </c>
    </row>
    <row r="2" spans="2:22" x14ac:dyDescent="0.2">
      <c r="L2" s="85" t="s">
        <v>670</v>
      </c>
      <c r="M2">
        <v>2800</v>
      </c>
      <c r="N2">
        <v>46.16</v>
      </c>
      <c r="O2" s="40">
        <v>45566</v>
      </c>
      <c r="P2">
        <f>ROUND(M2/N2,2)</f>
        <v>60.66</v>
      </c>
      <c r="R2" s="133" t="s">
        <v>559</v>
      </c>
      <c r="S2" s="15" t="s">
        <v>694</v>
      </c>
      <c r="T2" s="1">
        <f>P13</f>
        <v>51.99</v>
      </c>
    </row>
    <row r="3" spans="2:22" x14ac:dyDescent="0.2">
      <c r="B3" s="46" t="s">
        <v>7</v>
      </c>
      <c r="C3">
        <v>60.47</v>
      </c>
      <c r="D3" s="46" t="s">
        <v>501</v>
      </c>
      <c r="E3" s="46" t="s">
        <v>500</v>
      </c>
      <c r="F3">
        <v>3100</v>
      </c>
      <c r="G3">
        <f t="shared" ref="G3:G17" si="0">ROUND(F3/C3,2)</f>
        <v>51.27</v>
      </c>
      <c r="H3" s="40">
        <v>45462</v>
      </c>
      <c r="K3" s="85"/>
      <c r="M3">
        <v>2300</v>
      </c>
      <c r="N3">
        <v>46.16</v>
      </c>
      <c r="O3" s="40">
        <v>45536</v>
      </c>
      <c r="P3">
        <f t="shared" ref="P3:P41" si="1">ROUND(M3/N3,2)</f>
        <v>49.83</v>
      </c>
      <c r="R3" s="134"/>
      <c r="S3" s="15" t="s">
        <v>695</v>
      </c>
      <c r="T3" s="1" t="s">
        <v>707</v>
      </c>
    </row>
    <row r="4" spans="2:22" x14ac:dyDescent="0.2">
      <c r="C4">
        <v>56.98</v>
      </c>
      <c r="D4" s="46" t="s">
        <v>505</v>
      </c>
      <c r="E4" s="46" t="s">
        <v>500</v>
      </c>
      <c r="F4">
        <v>3500</v>
      </c>
      <c r="G4">
        <f t="shared" si="0"/>
        <v>61.43</v>
      </c>
      <c r="H4" s="40">
        <v>45428</v>
      </c>
      <c r="I4" s="151">
        <f>ROUND(AVERAGE(G4:G6),2)</f>
        <v>61.17</v>
      </c>
      <c r="J4">
        <f>G4</f>
        <v>61.43</v>
      </c>
      <c r="M4">
        <v>2900</v>
      </c>
      <c r="N4">
        <v>60.11</v>
      </c>
      <c r="O4" s="40">
        <v>45536</v>
      </c>
      <c r="P4">
        <f t="shared" si="1"/>
        <v>48.24</v>
      </c>
      <c r="R4" s="132" t="s">
        <v>560</v>
      </c>
      <c r="S4" s="15" t="s">
        <v>696</v>
      </c>
      <c r="T4" s="1">
        <f>P12</f>
        <v>43.1</v>
      </c>
    </row>
    <row r="5" spans="2:22" x14ac:dyDescent="0.2">
      <c r="C5">
        <v>56</v>
      </c>
      <c r="D5" s="46" t="s">
        <v>499</v>
      </c>
      <c r="E5" s="46" t="s">
        <v>500</v>
      </c>
      <c r="F5">
        <v>3000</v>
      </c>
      <c r="G5">
        <f t="shared" si="0"/>
        <v>53.57</v>
      </c>
      <c r="H5" s="40">
        <v>45411</v>
      </c>
      <c r="I5" s="151"/>
      <c r="J5" s="150">
        <f>ROUND(AVERAGE(G5:G6),2)</f>
        <v>61.04</v>
      </c>
      <c r="M5">
        <v>2500</v>
      </c>
      <c r="N5">
        <v>60.6</v>
      </c>
      <c r="O5" s="40">
        <v>45444</v>
      </c>
      <c r="P5">
        <f t="shared" si="1"/>
        <v>41.25</v>
      </c>
      <c r="R5" s="132"/>
      <c r="S5" s="15" t="s">
        <v>697</v>
      </c>
      <c r="T5" s="1">
        <f>P11</f>
        <v>45.45</v>
      </c>
    </row>
    <row r="6" spans="2:22" x14ac:dyDescent="0.2">
      <c r="C6">
        <v>51.09</v>
      </c>
      <c r="D6" s="46" t="s">
        <v>499</v>
      </c>
      <c r="E6" s="46" t="s">
        <v>500</v>
      </c>
      <c r="F6">
        <v>3500</v>
      </c>
      <c r="G6">
        <f t="shared" si="0"/>
        <v>68.510000000000005</v>
      </c>
      <c r="H6" s="40">
        <v>45410</v>
      </c>
      <c r="I6" s="151"/>
      <c r="J6" s="150"/>
      <c r="M6">
        <v>3100</v>
      </c>
      <c r="N6">
        <v>77</v>
      </c>
      <c r="O6" s="40">
        <v>45444</v>
      </c>
      <c r="P6">
        <f t="shared" si="1"/>
        <v>40.26</v>
      </c>
      <c r="R6" s="132"/>
      <c r="S6" s="15" t="s">
        <v>698</v>
      </c>
      <c r="T6" s="1">
        <f>ROUND(AVERAGE(P9:P10),2)</f>
        <v>55.83</v>
      </c>
      <c r="V6" s="1">
        <v>2</v>
      </c>
    </row>
    <row r="7" spans="2:22" x14ac:dyDescent="0.2">
      <c r="C7">
        <v>51.09</v>
      </c>
      <c r="D7" s="46" t="s">
        <v>506</v>
      </c>
      <c r="E7" s="46" t="s">
        <v>507</v>
      </c>
      <c r="F7">
        <v>3500</v>
      </c>
      <c r="G7">
        <f t="shared" si="0"/>
        <v>68.510000000000005</v>
      </c>
      <c r="H7" s="40">
        <v>45381</v>
      </c>
      <c r="I7" s="151">
        <f>ROUND(AVERAGE(G7:G9),2)</f>
        <v>70.099999999999994</v>
      </c>
      <c r="J7">
        <f>G7</f>
        <v>68.510000000000005</v>
      </c>
      <c r="M7">
        <v>2000</v>
      </c>
      <c r="N7">
        <v>62</v>
      </c>
      <c r="O7" s="40">
        <v>45444</v>
      </c>
      <c r="P7">
        <f t="shared" si="1"/>
        <v>32.26</v>
      </c>
      <c r="R7" s="132" t="s">
        <v>561</v>
      </c>
      <c r="S7" s="15" t="s">
        <v>699</v>
      </c>
      <c r="T7" s="1" t="s">
        <v>707</v>
      </c>
    </row>
    <row r="8" spans="2:22" x14ac:dyDescent="0.2">
      <c r="C8">
        <v>64.37</v>
      </c>
      <c r="D8" s="46" t="s">
        <v>503</v>
      </c>
      <c r="E8" s="46" t="s">
        <v>504</v>
      </c>
      <c r="F8">
        <v>4300</v>
      </c>
      <c r="G8">
        <f t="shared" si="0"/>
        <v>66.8</v>
      </c>
      <c r="H8" s="40">
        <v>45316</v>
      </c>
      <c r="I8" s="151"/>
      <c r="J8" s="150">
        <f>ROUND(AVERAGE(G8:G9),2)</f>
        <v>70.900000000000006</v>
      </c>
      <c r="M8">
        <v>2700</v>
      </c>
      <c r="N8">
        <v>74.14</v>
      </c>
      <c r="O8" s="40">
        <v>45413</v>
      </c>
      <c r="P8">
        <f t="shared" si="1"/>
        <v>36.42</v>
      </c>
      <c r="R8" s="132"/>
      <c r="S8" s="15" t="s">
        <v>700</v>
      </c>
      <c r="T8" s="1">
        <f>P8</f>
        <v>36.42</v>
      </c>
    </row>
    <row r="9" spans="2:22" x14ac:dyDescent="0.2">
      <c r="C9">
        <v>52</v>
      </c>
      <c r="D9" s="46" t="s">
        <v>502</v>
      </c>
      <c r="E9" s="46" t="s">
        <v>500</v>
      </c>
      <c r="F9">
        <v>3900</v>
      </c>
      <c r="G9">
        <f t="shared" si="0"/>
        <v>75</v>
      </c>
      <c r="H9" s="40">
        <v>45315</v>
      </c>
      <c r="I9" s="151"/>
      <c r="J9" s="150"/>
      <c r="M9">
        <v>2800</v>
      </c>
      <c r="N9">
        <v>45.76</v>
      </c>
      <c r="O9" s="40">
        <v>45352</v>
      </c>
      <c r="P9">
        <f t="shared" si="1"/>
        <v>61.19</v>
      </c>
      <c r="R9" s="132"/>
      <c r="S9" s="15" t="s">
        <v>701</v>
      </c>
      <c r="T9" s="1">
        <f>ROUND(AVERAGE(P5:P7),2)</f>
        <v>37.92</v>
      </c>
      <c r="V9" s="1">
        <v>3</v>
      </c>
    </row>
    <row r="10" spans="2:22" x14ac:dyDescent="0.2">
      <c r="C10">
        <v>64.349999999999994</v>
      </c>
      <c r="D10" s="46" t="s">
        <v>505</v>
      </c>
      <c r="E10" s="46" t="s">
        <v>511</v>
      </c>
      <c r="F10">
        <v>4380</v>
      </c>
      <c r="G10">
        <f t="shared" si="0"/>
        <v>68.069999999999993</v>
      </c>
      <c r="H10" s="40">
        <v>45200</v>
      </c>
      <c r="I10" s="48">
        <f>G10</f>
        <v>68.069999999999993</v>
      </c>
      <c r="J10">
        <f>I10</f>
        <v>68.069999999999993</v>
      </c>
      <c r="M10">
        <v>3200</v>
      </c>
      <c r="N10">
        <v>63.4</v>
      </c>
      <c r="O10" s="40">
        <v>45352</v>
      </c>
      <c r="P10">
        <f t="shared" si="1"/>
        <v>50.47</v>
      </c>
      <c r="R10" s="132" t="s">
        <v>691</v>
      </c>
      <c r="S10" s="15" t="s">
        <v>702</v>
      </c>
      <c r="T10" s="1" t="s">
        <v>707</v>
      </c>
    </row>
    <row r="11" spans="2:22" x14ac:dyDescent="0.2">
      <c r="C11">
        <v>51.72</v>
      </c>
      <c r="D11" s="46" t="s">
        <v>506</v>
      </c>
      <c r="E11" s="46" t="s">
        <v>507</v>
      </c>
      <c r="F11">
        <v>4300</v>
      </c>
      <c r="G11">
        <f t="shared" si="0"/>
        <v>83.14</v>
      </c>
      <c r="H11" s="40">
        <v>45165</v>
      </c>
      <c r="I11" s="151">
        <f>ROUND(AVERAGE(G11:G15),2)</f>
        <v>81.81</v>
      </c>
      <c r="J11" s="150">
        <f>ROUND(AVERAGE(G11:G12),2)</f>
        <v>82.88</v>
      </c>
      <c r="M11">
        <v>3500</v>
      </c>
      <c r="N11">
        <v>77</v>
      </c>
      <c r="O11" s="40">
        <v>45323</v>
      </c>
      <c r="P11">
        <f t="shared" si="1"/>
        <v>45.45</v>
      </c>
      <c r="R11" s="132"/>
      <c r="S11" s="15" t="s">
        <v>703</v>
      </c>
      <c r="T11" s="1" t="s">
        <v>707</v>
      </c>
    </row>
    <row r="12" spans="2:22" x14ac:dyDescent="0.2">
      <c r="C12">
        <v>52.05</v>
      </c>
      <c r="D12" s="46" t="s">
        <v>508</v>
      </c>
      <c r="E12" s="46" t="s">
        <v>509</v>
      </c>
      <c r="F12">
        <v>4300</v>
      </c>
      <c r="G12">
        <f t="shared" si="0"/>
        <v>82.61</v>
      </c>
      <c r="H12" s="40">
        <v>45156</v>
      </c>
      <c r="I12" s="151"/>
      <c r="J12" s="150"/>
      <c r="M12">
        <v>2500</v>
      </c>
      <c r="N12">
        <v>58</v>
      </c>
      <c r="O12" s="40">
        <v>45292</v>
      </c>
      <c r="P12">
        <f t="shared" si="1"/>
        <v>43.1</v>
      </c>
      <c r="R12" s="132"/>
      <c r="S12" s="15" t="s">
        <v>704</v>
      </c>
      <c r="T12" s="1">
        <f>ROUND(AVERAGE(P3:P4),2)</f>
        <v>49.04</v>
      </c>
      <c r="V12" s="1">
        <v>2</v>
      </c>
    </row>
    <row r="13" spans="2:22" x14ac:dyDescent="0.2">
      <c r="C13">
        <v>51.09</v>
      </c>
      <c r="D13" s="46" t="s">
        <v>506</v>
      </c>
      <c r="E13" s="46" t="s">
        <v>507</v>
      </c>
      <c r="F13">
        <v>4300</v>
      </c>
      <c r="G13">
        <f t="shared" si="0"/>
        <v>84.17</v>
      </c>
      <c r="H13" s="40">
        <v>45129</v>
      </c>
      <c r="I13" s="151"/>
      <c r="J13" s="150">
        <f>ROUND(AVERAGE(G13:G15),2)</f>
        <v>81.099999999999994</v>
      </c>
      <c r="M13">
        <v>2400</v>
      </c>
      <c r="N13">
        <v>46.16</v>
      </c>
      <c r="O13" s="40">
        <v>45231</v>
      </c>
      <c r="P13">
        <f t="shared" si="1"/>
        <v>51.99</v>
      </c>
      <c r="R13" s="57" t="s">
        <v>690</v>
      </c>
      <c r="S13" s="15" t="s">
        <v>689</v>
      </c>
      <c r="T13" s="1">
        <f>P2</f>
        <v>60.66</v>
      </c>
    </row>
    <row r="14" spans="2:22" x14ac:dyDescent="0.2">
      <c r="C14">
        <v>52.05</v>
      </c>
      <c r="D14" s="46" t="s">
        <v>502</v>
      </c>
      <c r="E14" s="46" t="s">
        <v>507</v>
      </c>
      <c r="F14">
        <v>3800</v>
      </c>
      <c r="G14">
        <f t="shared" si="0"/>
        <v>73.010000000000005</v>
      </c>
      <c r="H14" s="40">
        <v>45124</v>
      </c>
      <c r="I14" s="151"/>
      <c r="J14" s="150"/>
    </row>
    <row r="15" spans="2:22" x14ac:dyDescent="0.2">
      <c r="C15">
        <v>51.09</v>
      </c>
      <c r="D15" s="46" t="s">
        <v>508</v>
      </c>
      <c r="E15" s="46" t="s">
        <v>509</v>
      </c>
      <c r="F15">
        <v>4400</v>
      </c>
      <c r="G15">
        <f t="shared" si="0"/>
        <v>86.12</v>
      </c>
      <c r="H15" s="40">
        <v>45119</v>
      </c>
      <c r="I15" s="151"/>
      <c r="J15" s="150"/>
      <c r="M15" s="46" t="s">
        <v>681</v>
      </c>
      <c r="N15" s="46" t="s">
        <v>680</v>
      </c>
      <c r="O15" s="46" t="s">
        <v>682</v>
      </c>
    </row>
    <row r="16" spans="2:22" x14ac:dyDescent="0.2">
      <c r="C16">
        <v>52.05</v>
      </c>
      <c r="D16" s="46" t="s">
        <v>502</v>
      </c>
      <c r="E16" s="46" t="s">
        <v>500</v>
      </c>
      <c r="F16">
        <v>4000</v>
      </c>
      <c r="G16">
        <f t="shared" si="0"/>
        <v>76.849999999999994</v>
      </c>
      <c r="H16" s="40">
        <v>45083</v>
      </c>
      <c r="I16" s="151">
        <f>ROUND(AVERAGE(G16:G17),2)</f>
        <v>73.16</v>
      </c>
      <c r="J16" s="150">
        <f>I16</f>
        <v>73.16</v>
      </c>
      <c r="L16" s="85" t="s">
        <v>671</v>
      </c>
      <c r="M16" s="46">
        <v>2600</v>
      </c>
      <c r="N16" s="46">
        <v>53</v>
      </c>
      <c r="O16" s="40">
        <v>45566</v>
      </c>
      <c r="P16">
        <f t="shared" si="1"/>
        <v>49.06</v>
      </c>
      <c r="R16" s="133" t="s">
        <v>559</v>
      </c>
      <c r="S16" s="15" t="s">
        <v>694</v>
      </c>
      <c r="T16" s="1">
        <f>P26</f>
        <v>39.770000000000003</v>
      </c>
    </row>
    <row r="17" spans="2:22" x14ac:dyDescent="0.2">
      <c r="C17">
        <v>60.47</v>
      </c>
      <c r="D17" s="46" t="s">
        <v>510</v>
      </c>
      <c r="E17" s="46" t="s">
        <v>500</v>
      </c>
      <c r="F17">
        <v>4200</v>
      </c>
      <c r="G17">
        <f t="shared" si="0"/>
        <v>69.459999999999994</v>
      </c>
      <c r="H17" s="40">
        <v>45080</v>
      </c>
      <c r="I17" s="151"/>
      <c r="J17" s="150"/>
      <c r="M17" s="46">
        <v>3000</v>
      </c>
      <c r="N17" s="46">
        <v>67</v>
      </c>
      <c r="O17" s="40">
        <v>45474</v>
      </c>
      <c r="P17">
        <f t="shared" si="1"/>
        <v>44.78</v>
      </c>
      <c r="R17" s="134"/>
      <c r="S17" s="15" t="s">
        <v>695</v>
      </c>
      <c r="T17" s="1">
        <f>P25</f>
        <v>38.64</v>
      </c>
    </row>
    <row r="18" spans="2:22" x14ac:dyDescent="0.2">
      <c r="D18" s="46"/>
      <c r="E18" s="46"/>
      <c r="H18" s="40"/>
      <c r="M18" s="46">
        <v>3500</v>
      </c>
      <c r="N18" s="46">
        <v>86.92</v>
      </c>
      <c r="O18" s="40">
        <v>45444</v>
      </c>
      <c r="P18">
        <f t="shared" si="1"/>
        <v>40.270000000000003</v>
      </c>
      <c r="R18" s="132" t="s">
        <v>560</v>
      </c>
      <c r="S18" s="15" t="s">
        <v>696</v>
      </c>
      <c r="T18" s="17" t="s">
        <v>707</v>
      </c>
    </row>
    <row r="19" spans="2:22" x14ac:dyDescent="0.2">
      <c r="M19" s="46">
        <v>4300</v>
      </c>
      <c r="N19" s="46">
        <v>96</v>
      </c>
      <c r="O19" s="40">
        <v>45413</v>
      </c>
      <c r="P19">
        <f t="shared" si="1"/>
        <v>44.79</v>
      </c>
      <c r="R19" s="132"/>
      <c r="S19" s="15" t="s">
        <v>697</v>
      </c>
      <c r="T19" s="1">
        <f>ROUND(AVERAGE(P23:P24),2)</f>
        <v>35.72</v>
      </c>
      <c r="V19" s="1">
        <v>2</v>
      </c>
    </row>
    <row r="20" spans="2:22" x14ac:dyDescent="0.2">
      <c r="M20" s="46">
        <v>3500</v>
      </c>
      <c r="N20" s="46">
        <v>88</v>
      </c>
      <c r="O20" s="40">
        <v>45383</v>
      </c>
      <c r="P20">
        <f t="shared" si="1"/>
        <v>39.770000000000003</v>
      </c>
      <c r="R20" s="132"/>
      <c r="S20" s="15" t="s">
        <v>698</v>
      </c>
      <c r="T20" s="1">
        <f>ROUND(AVERAGE(P21:P22),2)</f>
        <v>39.42</v>
      </c>
      <c r="V20" s="1">
        <v>2</v>
      </c>
    </row>
    <row r="21" spans="2:22" x14ac:dyDescent="0.2">
      <c r="M21" s="46">
        <v>3300</v>
      </c>
      <c r="N21" s="46">
        <v>87</v>
      </c>
      <c r="O21" s="40">
        <v>45352</v>
      </c>
      <c r="P21">
        <f t="shared" si="1"/>
        <v>37.93</v>
      </c>
      <c r="R21" s="132" t="s">
        <v>561</v>
      </c>
      <c r="S21" s="15" t="s">
        <v>699</v>
      </c>
      <c r="T21" s="1">
        <f>P20</f>
        <v>39.770000000000003</v>
      </c>
    </row>
    <row r="22" spans="2:22" x14ac:dyDescent="0.2">
      <c r="B22" s="46" t="s">
        <v>521</v>
      </c>
      <c r="C22">
        <v>60</v>
      </c>
      <c r="D22" s="46" t="s">
        <v>523</v>
      </c>
      <c r="E22" s="46" t="s">
        <v>500</v>
      </c>
      <c r="F22">
        <v>4000</v>
      </c>
      <c r="G22">
        <f t="shared" ref="G22:G57" si="2">ROUND(F22/C22,2)</f>
        <v>66.67</v>
      </c>
      <c r="H22" s="40">
        <v>45465</v>
      </c>
      <c r="M22" s="46">
        <v>4500</v>
      </c>
      <c r="N22" s="46">
        <v>110</v>
      </c>
      <c r="O22" s="40">
        <v>45352</v>
      </c>
      <c r="P22">
        <f t="shared" si="1"/>
        <v>40.909999999999997</v>
      </c>
      <c r="R22" s="132"/>
      <c r="S22" s="15" t="s">
        <v>700</v>
      </c>
      <c r="T22" s="1">
        <f>P19</f>
        <v>44.79</v>
      </c>
    </row>
    <row r="23" spans="2:22" x14ac:dyDescent="0.2">
      <c r="C23">
        <v>77</v>
      </c>
      <c r="D23" s="46" t="s">
        <v>531</v>
      </c>
      <c r="E23" s="46" t="s">
        <v>500</v>
      </c>
      <c r="F23">
        <v>4200</v>
      </c>
      <c r="G23">
        <f t="shared" si="2"/>
        <v>54.55</v>
      </c>
      <c r="H23" s="40">
        <v>45460</v>
      </c>
      <c r="M23" s="46">
        <v>2900</v>
      </c>
      <c r="N23" s="46">
        <v>87.73</v>
      </c>
      <c r="O23" s="40">
        <v>45323</v>
      </c>
      <c r="P23">
        <f t="shared" si="1"/>
        <v>33.06</v>
      </c>
      <c r="R23" s="132"/>
      <c r="S23" s="15" t="s">
        <v>701</v>
      </c>
      <c r="T23" s="1">
        <f>P18</f>
        <v>40.270000000000003</v>
      </c>
    </row>
    <row r="24" spans="2:22" x14ac:dyDescent="0.2">
      <c r="C24">
        <v>76</v>
      </c>
      <c r="D24" s="46" t="s">
        <v>522</v>
      </c>
      <c r="E24" s="46" t="s">
        <v>500</v>
      </c>
      <c r="F24">
        <v>4600</v>
      </c>
      <c r="G24">
        <f t="shared" si="2"/>
        <v>60.53</v>
      </c>
      <c r="H24" s="40">
        <v>45451</v>
      </c>
      <c r="M24" s="46">
        <v>3300</v>
      </c>
      <c r="N24" s="46">
        <v>86</v>
      </c>
      <c r="O24" s="40">
        <v>45323</v>
      </c>
      <c r="P24">
        <f t="shared" si="1"/>
        <v>38.369999999999997</v>
      </c>
      <c r="R24" s="132" t="s">
        <v>691</v>
      </c>
      <c r="S24" s="15" t="s">
        <v>702</v>
      </c>
      <c r="T24" s="1">
        <f>P17</f>
        <v>44.78</v>
      </c>
    </row>
    <row r="25" spans="2:22" x14ac:dyDescent="0.2">
      <c r="C25">
        <v>79</v>
      </c>
      <c r="D25" s="46" t="s">
        <v>524</v>
      </c>
      <c r="E25" s="46" t="s">
        <v>504</v>
      </c>
      <c r="F25">
        <v>4700</v>
      </c>
      <c r="G25">
        <f t="shared" si="2"/>
        <v>59.49</v>
      </c>
      <c r="H25" s="40">
        <v>45449</v>
      </c>
      <c r="M25" s="46">
        <v>3400</v>
      </c>
      <c r="N25" s="46">
        <v>88</v>
      </c>
      <c r="O25" s="40">
        <v>45261</v>
      </c>
      <c r="P25">
        <f t="shared" si="1"/>
        <v>38.64</v>
      </c>
      <c r="R25" s="132"/>
      <c r="S25" s="15" t="s">
        <v>703</v>
      </c>
      <c r="T25" s="17" t="s">
        <v>707</v>
      </c>
    </row>
    <row r="26" spans="2:22" x14ac:dyDescent="0.2">
      <c r="C26">
        <v>79</v>
      </c>
      <c r="D26" s="46" t="s">
        <v>525</v>
      </c>
      <c r="E26" s="46" t="s">
        <v>526</v>
      </c>
      <c r="F26">
        <v>4500</v>
      </c>
      <c r="G26">
        <f t="shared" si="2"/>
        <v>56.96</v>
      </c>
      <c r="H26" s="40">
        <v>45445</v>
      </c>
      <c r="M26" s="46">
        <v>3500</v>
      </c>
      <c r="N26" s="46">
        <v>88</v>
      </c>
      <c r="O26" s="40">
        <v>45231</v>
      </c>
      <c r="P26">
        <f t="shared" si="1"/>
        <v>39.770000000000003</v>
      </c>
      <c r="R26" s="132"/>
      <c r="S26" s="15" t="s">
        <v>704</v>
      </c>
      <c r="T26" s="17" t="s">
        <v>707</v>
      </c>
    </row>
    <row r="27" spans="2:22" x14ac:dyDescent="0.2">
      <c r="C27">
        <v>78.599999999999994</v>
      </c>
      <c r="D27" s="46" t="s">
        <v>524</v>
      </c>
      <c r="E27" s="46" t="s">
        <v>511</v>
      </c>
      <c r="F27">
        <v>5000</v>
      </c>
      <c r="G27">
        <f t="shared" si="2"/>
        <v>63.61</v>
      </c>
      <c r="H27" s="40">
        <v>45444</v>
      </c>
      <c r="R27" s="57" t="s">
        <v>690</v>
      </c>
      <c r="S27" s="15" t="s">
        <v>689</v>
      </c>
      <c r="T27" s="1">
        <f>P16</f>
        <v>49.06</v>
      </c>
    </row>
    <row r="28" spans="2:22" x14ac:dyDescent="0.2">
      <c r="C28">
        <v>78</v>
      </c>
      <c r="D28" s="46" t="s">
        <v>525</v>
      </c>
      <c r="E28" s="46" t="s">
        <v>500</v>
      </c>
      <c r="F28">
        <v>4300</v>
      </c>
      <c r="G28">
        <f t="shared" si="2"/>
        <v>55.13</v>
      </c>
      <c r="H28" s="40">
        <v>45427</v>
      </c>
      <c r="I28" s="149">
        <f>ROUND(AVERAGE(G28:G39),2)</f>
        <v>59.21</v>
      </c>
      <c r="J28" s="149">
        <f>ROUND(AVERAGE(G28:G30),2)</f>
        <v>56.11</v>
      </c>
    </row>
    <row r="29" spans="2:22" x14ac:dyDescent="0.2">
      <c r="C29">
        <v>80</v>
      </c>
      <c r="D29" s="46" t="s">
        <v>527</v>
      </c>
      <c r="E29" s="46" t="s">
        <v>511</v>
      </c>
      <c r="F29">
        <v>4600</v>
      </c>
      <c r="G29">
        <f t="shared" si="2"/>
        <v>57.5</v>
      </c>
      <c r="H29" s="40">
        <v>45426</v>
      </c>
      <c r="I29" s="149"/>
      <c r="J29" s="149"/>
      <c r="M29" s="46" t="s">
        <v>681</v>
      </c>
      <c r="N29" s="46" t="s">
        <v>680</v>
      </c>
      <c r="O29" s="46" t="s">
        <v>682</v>
      </c>
    </row>
    <row r="30" spans="2:22" ht="15.75" x14ac:dyDescent="0.25">
      <c r="C30">
        <v>79</v>
      </c>
      <c r="D30" s="46" t="s">
        <v>524</v>
      </c>
      <c r="E30" s="46" t="s">
        <v>500</v>
      </c>
      <c r="F30">
        <v>4400</v>
      </c>
      <c r="G30">
        <f t="shared" si="2"/>
        <v>55.7</v>
      </c>
      <c r="H30" s="40">
        <v>45424</v>
      </c>
      <c r="I30" s="149"/>
      <c r="J30" s="149"/>
      <c r="L30" s="86" t="s">
        <v>679</v>
      </c>
      <c r="M30">
        <v>3000</v>
      </c>
      <c r="N30">
        <v>85</v>
      </c>
      <c r="O30" s="40">
        <v>45566</v>
      </c>
      <c r="P30">
        <f t="shared" si="1"/>
        <v>35.29</v>
      </c>
      <c r="R30" s="133" t="s">
        <v>559</v>
      </c>
      <c r="S30" s="15" t="s">
        <v>694</v>
      </c>
      <c r="T30" s="1">
        <f>P41</f>
        <v>39.08</v>
      </c>
    </row>
    <row r="31" spans="2:22" x14ac:dyDescent="0.2">
      <c r="C31">
        <v>60</v>
      </c>
      <c r="D31" s="46" t="s">
        <v>529</v>
      </c>
      <c r="E31" s="46" t="s">
        <v>500</v>
      </c>
      <c r="F31">
        <v>3600</v>
      </c>
      <c r="G31">
        <f t="shared" si="2"/>
        <v>60</v>
      </c>
      <c r="H31" s="40">
        <v>45409</v>
      </c>
      <c r="I31" s="149"/>
      <c r="J31" s="149">
        <f>ROUND(AVERAGE(G31:G39),2)</f>
        <v>60.24</v>
      </c>
      <c r="M31">
        <v>3100</v>
      </c>
      <c r="N31">
        <v>87</v>
      </c>
      <c r="O31" s="40">
        <v>45474</v>
      </c>
      <c r="P31">
        <f t="shared" si="1"/>
        <v>35.630000000000003</v>
      </c>
      <c r="R31" s="134"/>
      <c r="S31" s="15" t="s">
        <v>695</v>
      </c>
      <c r="T31" s="17" t="s">
        <v>707</v>
      </c>
    </row>
    <row r="32" spans="2:22" x14ac:dyDescent="0.2">
      <c r="C32">
        <v>77</v>
      </c>
      <c r="D32" s="46" t="s">
        <v>524</v>
      </c>
      <c r="E32" s="46" t="s">
        <v>511</v>
      </c>
      <c r="F32">
        <v>4500</v>
      </c>
      <c r="G32">
        <f t="shared" si="2"/>
        <v>58.44</v>
      </c>
      <c r="H32" s="40">
        <v>45408</v>
      </c>
      <c r="I32" s="149"/>
      <c r="J32" s="149"/>
      <c r="M32">
        <v>3700</v>
      </c>
      <c r="N32">
        <v>92.67</v>
      </c>
      <c r="O32" s="40">
        <v>45444</v>
      </c>
      <c r="P32">
        <f t="shared" si="1"/>
        <v>39.93</v>
      </c>
      <c r="R32" s="132" t="s">
        <v>560</v>
      </c>
      <c r="S32" s="15" t="s">
        <v>696</v>
      </c>
      <c r="T32" s="1" t="str">
        <f>P40</f>
        <v>-</v>
      </c>
    </row>
    <row r="33" spans="3:22" x14ac:dyDescent="0.2">
      <c r="C33">
        <v>79.98</v>
      </c>
      <c r="D33" s="46" t="s">
        <v>527</v>
      </c>
      <c r="E33" s="46" t="s">
        <v>511</v>
      </c>
      <c r="F33">
        <v>5000</v>
      </c>
      <c r="G33">
        <f t="shared" si="2"/>
        <v>62.52</v>
      </c>
      <c r="H33" s="40">
        <v>45403</v>
      </c>
      <c r="I33" s="149"/>
      <c r="J33" s="149"/>
      <c r="M33">
        <v>3300</v>
      </c>
      <c r="N33">
        <v>88</v>
      </c>
      <c r="O33" s="40">
        <v>45444</v>
      </c>
      <c r="P33" s="46" t="s">
        <v>707</v>
      </c>
      <c r="R33" s="132"/>
      <c r="S33" s="15" t="s">
        <v>697</v>
      </c>
      <c r="T33" s="1">
        <f>P39</f>
        <v>36.9</v>
      </c>
    </row>
    <row r="34" spans="3:22" x14ac:dyDescent="0.2">
      <c r="C34">
        <v>82</v>
      </c>
      <c r="D34" s="46" t="s">
        <v>523</v>
      </c>
      <c r="E34" s="46" t="s">
        <v>511</v>
      </c>
      <c r="F34">
        <v>4800</v>
      </c>
      <c r="G34">
        <f t="shared" si="2"/>
        <v>58.54</v>
      </c>
      <c r="H34" s="40">
        <v>45397</v>
      </c>
      <c r="I34" s="149"/>
      <c r="J34" s="149"/>
      <c r="M34">
        <v>3000</v>
      </c>
      <c r="N34">
        <v>78</v>
      </c>
      <c r="O34" s="40">
        <v>45444</v>
      </c>
      <c r="P34">
        <f t="shared" si="1"/>
        <v>38.46</v>
      </c>
      <c r="R34" s="132"/>
      <c r="S34" s="15" t="s">
        <v>698</v>
      </c>
      <c r="T34" s="1">
        <f>P38</f>
        <v>34.83</v>
      </c>
    </row>
    <row r="35" spans="3:22" x14ac:dyDescent="0.2">
      <c r="C35">
        <v>80</v>
      </c>
      <c r="D35" s="46" t="s">
        <v>532</v>
      </c>
      <c r="E35" s="46" t="s">
        <v>511</v>
      </c>
      <c r="F35">
        <v>4800</v>
      </c>
      <c r="G35">
        <f t="shared" si="2"/>
        <v>60</v>
      </c>
      <c r="H35" s="40">
        <v>45397</v>
      </c>
      <c r="I35" s="149"/>
      <c r="J35" s="149"/>
      <c r="M35">
        <v>4000</v>
      </c>
      <c r="N35">
        <v>128</v>
      </c>
      <c r="O35" s="40">
        <v>45413</v>
      </c>
      <c r="P35" s="46" t="s">
        <v>707</v>
      </c>
      <c r="R35" s="132" t="s">
        <v>561</v>
      </c>
      <c r="S35" s="15" t="s">
        <v>699</v>
      </c>
      <c r="T35" s="1">
        <f>ROUND(AVERAGE(P36:P37),2)</f>
        <v>49.72</v>
      </c>
    </row>
    <row r="36" spans="3:22" x14ac:dyDescent="0.2">
      <c r="C36">
        <v>80</v>
      </c>
      <c r="D36" s="46" t="s">
        <v>524</v>
      </c>
      <c r="E36" s="46" t="s">
        <v>504</v>
      </c>
      <c r="F36">
        <v>4500</v>
      </c>
      <c r="G36">
        <f t="shared" si="2"/>
        <v>56.25</v>
      </c>
      <c r="H36" s="40">
        <v>45394</v>
      </c>
      <c r="I36" s="149"/>
      <c r="J36" s="149"/>
      <c r="M36">
        <v>2800</v>
      </c>
      <c r="N36">
        <v>56.31</v>
      </c>
      <c r="O36" s="40">
        <v>45383</v>
      </c>
      <c r="P36">
        <f t="shared" si="1"/>
        <v>49.72</v>
      </c>
      <c r="R36" s="132"/>
      <c r="S36" s="15" t="s">
        <v>700</v>
      </c>
      <c r="T36" s="1" t="str">
        <f>P35</f>
        <v>-</v>
      </c>
    </row>
    <row r="37" spans="3:22" x14ac:dyDescent="0.2">
      <c r="C37">
        <v>86</v>
      </c>
      <c r="D37" s="46" t="s">
        <v>524</v>
      </c>
      <c r="E37" s="46" t="s">
        <v>511</v>
      </c>
      <c r="F37">
        <v>4800</v>
      </c>
      <c r="G37">
        <f t="shared" si="2"/>
        <v>55.81</v>
      </c>
      <c r="H37" s="40">
        <v>45391</v>
      </c>
      <c r="I37" s="149"/>
      <c r="J37" s="149"/>
      <c r="M37">
        <v>3200</v>
      </c>
      <c r="N37">
        <v>72</v>
      </c>
      <c r="O37" s="40">
        <v>45383</v>
      </c>
      <c r="P37" s="46" t="s">
        <v>707</v>
      </c>
      <c r="R37" s="132"/>
      <c r="S37" s="15" t="s">
        <v>701</v>
      </c>
      <c r="T37" s="1">
        <f>ROUND(AVERAGE(P32:P34),2)</f>
        <v>39.200000000000003</v>
      </c>
      <c r="V37" s="1">
        <v>2</v>
      </c>
    </row>
    <row r="38" spans="3:22" x14ac:dyDescent="0.2">
      <c r="C38">
        <v>58.39</v>
      </c>
      <c r="D38" s="46" t="s">
        <v>530</v>
      </c>
      <c r="E38" s="46" t="s">
        <v>500</v>
      </c>
      <c r="F38">
        <v>4000</v>
      </c>
      <c r="G38">
        <f t="shared" si="2"/>
        <v>68.5</v>
      </c>
      <c r="H38" s="40">
        <v>45386</v>
      </c>
      <c r="I38" s="149"/>
      <c r="J38" s="149"/>
      <c r="M38">
        <v>3100</v>
      </c>
      <c r="N38">
        <v>89</v>
      </c>
      <c r="O38" s="40">
        <v>45352</v>
      </c>
      <c r="P38">
        <f t="shared" si="1"/>
        <v>34.83</v>
      </c>
      <c r="R38" s="132" t="s">
        <v>691</v>
      </c>
      <c r="S38" s="15" t="s">
        <v>702</v>
      </c>
      <c r="T38" s="1">
        <f>P31</f>
        <v>35.630000000000003</v>
      </c>
    </row>
    <row r="39" spans="3:22" x14ac:dyDescent="0.2">
      <c r="C39">
        <v>103</v>
      </c>
      <c r="D39" s="46" t="s">
        <v>541</v>
      </c>
      <c r="E39" s="46" t="s">
        <v>500</v>
      </c>
      <c r="F39">
        <v>6400</v>
      </c>
      <c r="G39">
        <f t="shared" si="2"/>
        <v>62.14</v>
      </c>
      <c r="H39" s="40">
        <v>45383</v>
      </c>
      <c r="I39" s="149"/>
      <c r="J39" s="149"/>
      <c r="M39">
        <v>3000</v>
      </c>
      <c r="N39">
        <v>81.31</v>
      </c>
      <c r="O39" s="40">
        <v>45323</v>
      </c>
      <c r="P39">
        <f t="shared" si="1"/>
        <v>36.9</v>
      </c>
      <c r="R39" s="132"/>
      <c r="S39" s="15" t="s">
        <v>703</v>
      </c>
      <c r="T39" s="17" t="s">
        <v>707</v>
      </c>
    </row>
    <row r="40" spans="3:22" x14ac:dyDescent="0.2">
      <c r="C40">
        <v>80</v>
      </c>
      <c r="D40" s="46" t="s">
        <v>525</v>
      </c>
      <c r="E40" s="46" t="s">
        <v>511</v>
      </c>
      <c r="F40">
        <v>4600</v>
      </c>
      <c r="G40">
        <f t="shared" si="2"/>
        <v>57.5</v>
      </c>
      <c r="H40" s="40">
        <v>45382</v>
      </c>
      <c r="I40" s="149">
        <f>ROUND(AVERAGE(G40:G50),2)</f>
        <v>60.12</v>
      </c>
      <c r="J40" s="149">
        <f>ROUND(AVERAGE(G40:G45),2)</f>
        <v>59.7</v>
      </c>
      <c r="M40">
        <v>2700</v>
      </c>
      <c r="N40">
        <v>82</v>
      </c>
      <c r="O40" s="40">
        <v>45292</v>
      </c>
      <c r="P40" s="46" t="s">
        <v>707</v>
      </c>
      <c r="R40" s="132"/>
      <c r="S40" s="15" t="s">
        <v>704</v>
      </c>
      <c r="T40" s="17" t="s">
        <v>707</v>
      </c>
    </row>
    <row r="41" spans="3:22" x14ac:dyDescent="0.2">
      <c r="C41">
        <v>90</v>
      </c>
      <c r="D41" s="46" t="s">
        <v>531</v>
      </c>
      <c r="E41" s="46" t="s">
        <v>511</v>
      </c>
      <c r="F41">
        <v>4500</v>
      </c>
      <c r="G41">
        <f t="shared" si="2"/>
        <v>50</v>
      </c>
      <c r="H41" s="40">
        <v>45381</v>
      </c>
      <c r="I41" s="149"/>
      <c r="J41" s="149"/>
      <c r="M41">
        <v>3400</v>
      </c>
      <c r="N41">
        <v>87</v>
      </c>
      <c r="O41" s="40">
        <v>45231</v>
      </c>
      <c r="P41">
        <f t="shared" si="1"/>
        <v>39.08</v>
      </c>
      <c r="R41" s="57" t="s">
        <v>690</v>
      </c>
      <c r="S41" s="15" t="s">
        <v>689</v>
      </c>
      <c r="T41" s="1">
        <f>P30</f>
        <v>35.29</v>
      </c>
    </row>
    <row r="42" spans="3:22" x14ac:dyDescent="0.2">
      <c r="C42">
        <v>57</v>
      </c>
      <c r="D42" s="46" t="s">
        <v>542</v>
      </c>
      <c r="E42" s="46" t="s">
        <v>511</v>
      </c>
      <c r="F42">
        <v>4200</v>
      </c>
      <c r="G42">
        <f t="shared" si="2"/>
        <v>73.680000000000007</v>
      </c>
      <c r="H42" s="40">
        <v>45381</v>
      </c>
      <c r="I42" s="149"/>
      <c r="J42" s="149"/>
    </row>
    <row r="43" spans="3:22" x14ac:dyDescent="0.2">
      <c r="C43">
        <v>64</v>
      </c>
      <c r="D43" s="46" t="s">
        <v>542</v>
      </c>
      <c r="E43" s="46" t="s">
        <v>500</v>
      </c>
      <c r="F43">
        <v>4000</v>
      </c>
      <c r="G43">
        <f t="shared" si="2"/>
        <v>62.5</v>
      </c>
      <c r="H43" s="40">
        <v>45375</v>
      </c>
      <c r="I43" s="149"/>
      <c r="J43" s="149"/>
    </row>
    <row r="44" spans="3:22" x14ac:dyDescent="0.2">
      <c r="C44">
        <v>90.5</v>
      </c>
      <c r="D44" s="46" t="s">
        <v>529</v>
      </c>
      <c r="E44" s="46" t="s">
        <v>511</v>
      </c>
      <c r="F44">
        <v>5000</v>
      </c>
      <c r="G44">
        <f t="shared" si="2"/>
        <v>55.25</v>
      </c>
      <c r="H44" s="40">
        <v>45368</v>
      </c>
      <c r="I44" s="149"/>
      <c r="J44" s="149"/>
    </row>
    <row r="45" spans="3:22" x14ac:dyDescent="0.2">
      <c r="C45">
        <v>81</v>
      </c>
      <c r="D45" s="46" t="s">
        <v>523</v>
      </c>
      <c r="E45" s="46" t="s">
        <v>511</v>
      </c>
      <c r="F45">
        <v>4800</v>
      </c>
      <c r="G45">
        <f t="shared" si="2"/>
        <v>59.26</v>
      </c>
      <c r="H45" s="40">
        <v>45367</v>
      </c>
      <c r="I45" s="149"/>
      <c r="J45" s="149"/>
    </row>
    <row r="46" spans="3:22" x14ac:dyDescent="0.2">
      <c r="C46">
        <v>58.39</v>
      </c>
      <c r="D46" s="46" t="s">
        <v>530</v>
      </c>
      <c r="E46" s="46" t="s">
        <v>500</v>
      </c>
      <c r="F46">
        <v>4000</v>
      </c>
      <c r="G46">
        <f t="shared" si="2"/>
        <v>68.5</v>
      </c>
      <c r="H46" s="40">
        <v>45350</v>
      </c>
      <c r="I46" s="149"/>
      <c r="J46" s="149">
        <f>ROUND(AVERAGE(G46:G47),2)</f>
        <v>65.02</v>
      </c>
    </row>
    <row r="47" spans="3:22" x14ac:dyDescent="0.2">
      <c r="C47">
        <v>78</v>
      </c>
      <c r="D47" s="46" t="s">
        <v>527</v>
      </c>
      <c r="E47" s="46" t="s">
        <v>526</v>
      </c>
      <c r="F47">
        <v>4800</v>
      </c>
      <c r="G47">
        <f t="shared" si="2"/>
        <v>61.54</v>
      </c>
      <c r="H47" s="40">
        <v>45323</v>
      </c>
      <c r="I47" s="149"/>
      <c r="J47" s="149"/>
    </row>
    <row r="48" spans="3:22" x14ac:dyDescent="0.2">
      <c r="C48">
        <v>56.97</v>
      </c>
      <c r="D48" s="46" t="s">
        <v>530</v>
      </c>
      <c r="E48" s="46" t="s">
        <v>500</v>
      </c>
      <c r="F48">
        <v>3600</v>
      </c>
      <c r="G48">
        <f t="shared" si="2"/>
        <v>63.19</v>
      </c>
      <c r="H48" s="40">
        <v>45314</v>
      </c>
      <c r="I48" s="149"/>
      <c r="J48" s="149">
        <f>ROUND(AVERAGE(G48:G50),2)</f>
        <v>57.7</v>
      </c>
    </row>
    <row r="49" spans="3:10" x14ac:dyDescent="0.2">
      <c r="C49">
        <v>105.15</v>
      </c>
      <c r="D49" s="46" t="s">
        <v>531</v>
      </c>
      <c r="E49" s="46" t="s">
        <v>511</v>
      </c>
      <c r="F49">
        <v>5800</v>
      </c>
      <c r="G49">
        <f t="shared" si="2"/>
        <v>55.16</v>
      </c>
      <c r="H49" s="40">
        <v>45313</v>
      </c>
      <c r="I49" s="149"/>
      <c r="J49" s="149"/>
    </row>
    <row r="50" spans="3:10" x14ac:dyDescent="0.2">
      <c r="C50">
        <v>78.56</v>
      </c>
      <c r="D50" s="46" t="s">
        <v>532</v>
      </c>
      <c r="E50" s="46" t="s">
        <v>500</v>
      </c>
      <c r="F50">
        <v>4300</v>
      </c>
      <c r="G50">
        <f t="shared" si="2"/>
        <v>54.74</v>
      </c>
      <c r="H50" s="40">
        <v>45311</v>
      </c>
      <c r="I50" s="149"/>
      <c r="J50" s="149"/>
    </row>
    <row r="51" spans="3:10" x14ac:dyDescent="0.2">
      <c r="C51">
        <v>58.53</v>
      </c>
      <c r="D51" s="46" t="s">
        <v>525</v>
      </c>
      <c r="E51" s="46" t="s">
        <v>500</v>
      </c>
      <c r="F51">
        <v>3500</v>
      </c>
      <c r="G51">
        <f t="shared" si="2"/>
        <v>59.8</v>
      </c>
      <c r="H51" s="40">
        <v>45291</v>
      </c>
      <c r="I51" s="149">
        <f>ROUND(AVERAGE(G51:G53),2)</f>
        <v>62.38</v>
      </c>
      <c r="J51" s="149">
        <f>I51</f>
        <v>62.38</v>
      </c>
    </row>
    <row r="52" spans="3:10" x14ac:dyDescent="0.2">
      <c r="C52">
        <v>80</v>
      </c>
      <c r="D52" s="46" t="s">
        <v>532</v>
      </c>
      <c r="E52" s="46" t="s">
        <v>511</v>
      </c>
      <c r="F52">
        <v>5000</v>
      </c>
      <c r="G52">
        <f t="shared" si="2"/>
        <v>62.5</v>
      </c>
      <c r="H52" s="40">
        <v>45290</v>
      </c>
      <c r="I52" s="149"/>
      <c r="J52" s="149"/>
    </row>
    <row r="53" spans="3:10" x14ac:dyDescent="0.2">
      <c r="C53">
        <v>74.03</v>
      </c>
      <c r="D53" s="46" t="s">
        <v>534</v>
      </c>
      <c r="E53" s="46" t="s">
        <v>504</v>
      </c>
      <c r="F53">
        <v>4800</v>
      </c>
      <c r="G53">
        <f t="shared" si="2"/>
        <v>64.84</v>
      </c>
      <c r="H53" s="40">
        <v>45275</v>
      </c>
      <c r="I53" s="149"/>
      <c r="J53" s="149"/>
    </row>
    <row r="54" spans="3:10" x14ac:dyDescent="0.2">
      <c r="C54">
        <v>78</v>
      </c>
      <c r="D54" s="46" t="s">
        <v>535</v>
      </c>
      <c r="E54" s="46" t="s">
        <v>504</v>
      </c>
      <c r="F54">
        <v>5200</v>
      </c>
      <c r="G54">
        <f t="shared" si="2"/>
        <v>66.67</v>
      </c>
      <c r="H54" s="40">
        <v>45154</v>
      </c>
      <c r="I54" s="149">
        <f>ROUND(AVERAGE(G54:G55),2)</f>
        <v>66.95</v>
      </c>
      <c r="J54" s="1">
        <f>G54</f>
        <v>66.67</v>
      </c>
    </row>
    <row r="55" spans="3:10" x14ac:dyDescent="0.2">
      <c r="C55">
        <v>63.97</v>
      </c>
      <c r="D55" s="46" t="s">
        <v>529</v>
      </c>
      <c r="E55" s="46" t="s">
        <v>500</v>
      </c>
      <c r="F55">
        <v>4300</v>
      </c>
      <c r="G55">
        <f t="shared" si="2"/>
        <v>67.22</v>
      </c>
      <c r="H55" s="40">
        <v>45197</v>
      </c>
      <c r="I55" s="149"/>
      <c r="J55" s="1">
        <f>G55</f>
        <v>67.22</v>
      </c>
    </row>
    <row r="56" spans="3:10" x14ac:dyDescent="0.2">
      <c r="C56">
        <v>76.540000000000006</v>
      </c>
      <c r="D56" s="46" t="s">
        <v>528</v>
      </c>
      <c r="E56" s="46" t="s">
        <v>504</v>
      </c>
      <c r="F56">
        <v>5000</v>
      </c>
      <c r="G56">
        <f t="shared" si="2"/>
        <v>65.33</v>
      </c>
      <c r="H56" s="40">
        <v>45095</v>
      </c>
      <c r="I56" s="149">
        <f>ROUND(AVERAGE(G56:G57),2)</f>
        <v>70.41</v>
      </c>
      <c r="J56" s="149">
        <f>I56</f>
        <v>70.41</v>
      </c>
    </row>
    <row r="57" spans="3:10" x14ac:dyDescent="0.2">
      <c r="C57">
        <v>56.97</v>
      </c>
      <c r="D57" s="46" t="s">
        <v>533</v>
      </c>
      <c r="E57" s="46" t="s">
        <v>500</v>
      </c>
      <c r="F57">
        <v>4300</v>
      </c>
      <c r="G57">
        <f t="shared" si="2"/>
        <v>75.48</v>
      </c>
      <c r="H57" s="40">
        <v>45080</v>
      </c>
      <c r="I57" s="149"/>
      <c r="J57" s="149"/>
    </row>
    <row r="58" spans="3:10" x14ac:dyDescent="0.2">
      <c r="D58" s="46"/>
      <c r="E58" s="46"/>
      <c r="H58" s="40"/>
    </row>
    <row r="59" spans="3:10" x14ac:dyDescent="0.2">
      <c r="C59">
        <v>74.64</v>
      </c>
      <c r="D59" s="46" t="s">
        <v>519</v>
      </c>
      <c r="E59" s="46" t="s">
        <v>514</v>
      </c>
      <c r="F59">
        <v>4100</v>
      </c>
      <c r="G59">
        <f t="shared" ref="G59:G96" si="3">ROUND(F59/C59,2)</f>
        <v>54.93</v>
      </c>
      <c r="H59" s="40">
        <v>45462</v>
      </c>
    </row>
    <row r="60" spans="3:10" x14ac:dyDescent="0.2">
      <c r="C60">
        <v>104.79</v>
      </c>
      <c r="D60" s="46" t="s">
        <v>546</v>
      </c>
      <c r="E60" s="46" t="s">
        <v>504</v>
      </c>
      <c r="F60">
        <v>4100</v>
      </c>
      <c r="G60">
        <f t="shared" si="3"/>
        <v>39.130000000000003</v>
      </c>
      <c r="H60" s="40">
        <v>45462</v>
      </c>
    </row>
    <row r="61" spans="3:10" x14ac:dyDescent="0.2">
      <c r="C61">
        <v>100.41</v>
      </c>
      <c r="D61" s="46" t="s">
        <v>518</v>
      </c>
      <c r="E61" s="46" t="s">
        <v>526</v>
      </c>
      <c r="F61">
        <v>4900</v>
      </c>
      <c r="G61">
        <f t="shared" si="3"/>
        <v>48.8</v>
      </c>
      <c r="H61" s="40">
        <v>45459</v>
      </c>
    </row>
    <row r="62" spans="3:10" x14ac:dyDescent="0.2">
      <c r="C62">
        <v>74.349999999999994</v>
      </c>
      <c r="D62" s="46" t="s">
        <v>536</v>
      </c>
      <c r="E62" s="46" t="s">
        <v>526</v>
      </c>
      <c r="F62">
        <v>3800</v>
      </c>
      <c r="G62">
        <f t="shared" si="3"/>
        <v>51.11</v>
      </c>
      <c r="H62" s="40">
        <v>45452</v>
      </c>
    </row>
    <row r="63" spans="3:10" x14ac:dyDescent="0.2">
      <c r="C63">
        <v>83</v>
      </c>
      <c r="D63" s="46" t="s">
        <v>545</v>
      </c>
      <c r="E63" s="46" t="s">
        <v>511</v>
      </c>
      <c r="F63">
        <v>5600</v>
      </c>
      <c r="G63">
        <f t="shared" si="3"/>
        <v>67.47</v>
      </c>
      <c r="H63" s="40">
        <v>45440</v>
      </c>
      <c r="I63" s="149">
        <f>ROUND(AVERAGE(G63:G69),2)</f>
        <v>58.22</v>
      </c>
      <c r="J63" s="149">
        <f>ROUND(AVERAGE(G63:G64),2)</f>
        <v>58.46</v>
      </c>
    </row>
    <row r="64" spans="3:10" x14ac:dyDescent="0.2">
      <c r="C64">
        <v>91</v>
      </c>
      <c r="D64" s="46" t="s">
        <v>512</v>
      </c>
      <c r="E64" s="46" t="s">
        <v>511</v>
      </c>
      <c r="F64">
        <v>4500</v>
      </c>
      <c r="G64">
        <f t="shared" si="3"/>
        <v>49.45</v>
      </c>
      <c r="H64" s="40">
        <v>45435</v>
      </c>
      <c r="I64" s="149"/>
      <c r="J64" s="149"/>
    </row>
    <row r="65" spans="3:10" x14ac:dyDescent="0.2">
      <c r="C65">
        <v>66.36</v>
      </c>
      <c r="D65" s="46" t="s">
        <v>543</v>
      </c>
      <c r="E65" s="46" t="s">
        <v>520</v>
      </c>
      <c r="F65">
        <v>4000</v>
      </c>
      <c r="G65">
        <f t="shared" si="3"/>
        <v>60.28</v>
      </c>
      <c r="H65" s="40">
        <v>45408</v>
      </c>
      <c r="I65" s="149"/>
      <c r="J65" s="150">
        <f>ROUND(AVERAGE(G65:G69),2)</f>
        <v>58.12</v>
      </c>
    </row>
    <row r="66" spans="3:10" x14ac:dyDescent="0.2">
      <c r="C66">
        <v>55</v>
      </c>
      <c r="D66" s="46" t="s">
        <v>516</v>
      </c>
      <c r="E66" s="46" t="s">
        <v>526</v>
      </c>
      <c r="F66">
        <v>3800</v>
      </c>
      <c r="G66">
        <f t="shared" si="3"/>
        <v>69.09</v>
      </c>
      <c r="H66" s="40">
        <v>45406</v>
      </c>
      <c r="I66" s="149"/>
      <c r="J66" s="150"/>
    </row>
    <row r="67" spans="3:10" x14ac:dyDescent="0.2">
      <c r="C67">
        <v>66.819999999999993</v>
      </c>
      <c r="D67" s="46" t="s">
        <v>512</v>
      </c>
      <c r="E67" s="46" t="s">
        <v>544</v>
      </c>
      <c r="F67">
        <v>3800</v>
      </c>
      <c r="G67">
        <f t="shared" si="3"/>
        <v>56.87</v>
      </c>
      <c r="H67" s="40">
        <v>45401</v>
      </c>
      <c r="I67" s="149"/>
      <c r="J67" s="150"/>
    </row>
    <row r="68" spans="3:10" x14ac:dyDescent="0.2">
      <c r="C68">
        <v>65</v>
      </c>
      <c r="D68" s="46" t="s">
        <v>517</v>
      </c>
      <c r="E68" s="46" t="s">
        <v>520</v>
      </c>
      <c r="F68">
        <v>3500</v>
      </c>
      <c r="G68">
        <f t="shared" si="3"/>
        <v>53.85</v>
      </c>
      <c r="H68" s="40">
        <v>45393</v>
      </c>
      <c r="I68" s="149"/>
      <c r="J68" s="150"/>
    </row>
    <row r="69" spans="3:10" x14ac:dyDescent="0.2">
      <c r="C69">
        <v>104.89</v>
      </c>
      <c r="D69" s="46" t="s">
        <v>537</v>
      </c>
      <c r="E69" s="46" t="s">
        <v>526</v>
      </c>
      <c r="F69">
        <v>5300</v>
      </c>
      <c r="G69">
        <f t="shared" si="3"/>
        <v>50.53</v>
      </c>
      <c r="H69" s="40">
        <v>45390</v>
      </c>
      <c r="I69" s="149"/>
      <c r="J69" s="150"/>
    </row>
    <row r="70" spans="3:10" x14ac:dyDescent="0.2">
      <c r="C70">
        <v>75</v>
      </c>
      <c r="D70" s="46" t="s">
        <v>538</v>
      </c>
      <c r="E70" s="46" t="s">
        <v>544</v>
      </c>
      <c r="F70">
        <v>4200</v>
      </c>
      <c r="G70">
        <f t="shared" si="3"/>
        <v>56</v>
      </c>
      <c r="H70" s="40">
        <v>45382</v>
      </c>
      <c r="I70" s="149">
        <f>ROUND(AVERAGE(G70:G77),2)</f>
        <v>57.95</v>
      </c>
      <c r="J70" s="149">
        <f>ROUND(AVERAGE(G70:G76),2)</f>
        <v>59.02</v>
      </c>
    </row>
    <row r="71" spans="3:10" x14ac:dyDescent="0.2">
      <c r="C71">
        <v>100.41</v>
      </c>
      <c r="D71" s="46" t="s">
        <v>517</v>
      </c>
      <c r="E71" s="46" t="s">
        <v>504</v>
      </c>
      <c r="F71">
        <v>5500</v>
      </c>
      <c r="G71">
        <f t="shared" si="3"/>
        <v>54.78</v>
      </c>
      <c r="H71" s="40">
        <v>45380</v>
      </c>
      <c r="I71" s="149"/>
      <c r="J71" s="149"/>
    </row>
    <row r="72" spans="3:10" x14ac:dyDescent="0.2">
      <c r="C72">
        <v>105</v>
      </c>
      <c r="D72" s="46" t="s">
        <v>537</v>
      </c>
      <c r="E72" s="46" t="s">
        <v>504</v>
      </c>
      <c r="F72">
        <v>5000</v>
      </c>
      <c r="G72">
        <f t="shared" si="3"/>
        <v>47.62</v>
      </c>
      <c r="H72" s="40">
        <v>45374</v>
      </c>
      <c r="I72" s="149"/>
      <c r="J72" s="149"/>
    </row>
    <row r="73" spans="3:10" x14ac:dyDescent="0.2">
      <c r="C73">
        <v>75</v>
      </c>
      <c r="D73" s="46" t="s">
        <v>537</v>
      </c>
      <c r="E73" s="46" t="s">
        <v>514</v>
      </c>
      <c r="F73">
        <v>5300</v>
      </c>
      <c r="G73">
        <f t="shared" si="3"/>
        <v>70.67</v>
      </c>
      <c r="H73" s="40">
        <v>45364</v>
      </c>
      <c r="I73" s="149"/>
      <c r="J73" s="149"/>
    </row>
    <row r="74" spans="3:10" x14ac:dyDescent="0.2">
      <c r="C74">
        <v>66</v>
      </c>
      <c r="D74" s="46" t="s">
        <v>538</v>
      </c>
      <c r="E74" s="46" t="s">
        <v>520</v>
      </c>
      <c r="F74">
        <v>4200</v>
      </c>
      <c r="G74">
        <f t="shared" si="3"/>
        <v>63.64</v>
      </c>
      <c r="H74" s="40">
        <v>45356</v>
      </c>
      <c r="I74" s="149"/>
      <c r="J74" s="149"/>
    </row>
    <row r="75" spans="3:10" x14ac:dyDescent="0.2">
      <c r="C75">
        <v>91</v>
      </c>
      <c r="D75" s="46" t="s">
        <v>515</v>
      </c>
      <c r="E75" s="46" t="s">
        <v>511</v>
      </c>
      <c r="F75">
        <v>5600</v>
      </c>
      <c r="G75">
        <f t="shared" si="3"/>
        <v>61.54</v>
      </c>
      <c r="H75" s="40">
        <v>45354</v>
      </c>
      <c r="I75" s="149"/>
      <c r="J75" s="149"/>
    </row>
    <row r="76" spans="3:10" x14ac:dyDescent="0.2">
      <c r="C76">
        <v>98.5</v>
      </c>
      <c r="D76" s="46" t="s">
        <v>513</v>
      </c>
      <c r="E76" s="46" t="s">
        <v>507</v>
      </c>
      <c r="F76">
        <v>5800</v>
      </c>
      <c r="G76">
        <f t="shared" si="3"/>
        <v>58.88</v>
      </c>
      <c r="H76" s="40">
        <v>45352</v>
      </c>
      <c r="I76" s="149"/>
      <c r="J76" s="149"/>
    </row>
    <row r="77" spans="3:10" x14ac:dyDescent="0.2">
      <c r="C77">
        <v>105</v>
      </c>
      <c r="D77" s="46" t="s">
        <v>543</v>
      </c>
      <c r="E77" s="46" t="s">
        <v>526</v>
      </c>
      <c r="F77">
        <v>5300</v>
      </c>
      <c r="G77">
        <f t="shared" si="3"/>
        <v>50.48</v>
      </c>
      <c r="H77" s="40">
        <v>45343</v>
      </c>
      <c r="I77" s="149"/>
      <c r="J77" s="1">
        <f>G77</f>
        <v>50.48</v>
      </c>
    </row>
    <row r="78" spans="3:10" x14ac:dyDescent="0.2">
      <c r="C78">
        <v>91</v>
      </c>
      <c r="D78" s="46" t="s">
        <v>513</v>
      </c>
      <c r="E78" s="46" t="s">
        <v>511</v>
      </c>
      <c r="F78">
        <v>5200</v>
      </c>
      <c r="G78">
        <f t="shared" si="3"/>
        <v>57.14</v>
      </c>
      <c r="H78" s="40">
        <v>45287</v>
      </c>
      <c r="I78" s="149">
        <f>ROUND(AVERAGE(G78:G82),2)</f>
        <v>71.22</v>
      </c>
      <c r="J78" s="149">
        <f>ROUND(AVERAGE(G78:G79),2)</f>
        <v>74.03</v>
      </c>
    </row>
    <row r="79" spans="3:10" x14ac:dyDescent="0.2">
      <c r="C79">
        <v>66</v>
      </c>
      <c r="D79" s="46" t="s">
        <v>512</v>
      </c>
      <c r="E79" s="46" t="s">
        <v>520</v>
      </c>
      <c r="F79">
        <v>6000</v>
      </c>
      <c r="G79">
        <f t="shared" si="3"/>
        <v>90.91</v>
      </c>
      <c r="H79" s="40">
        <v>45283</v>
      </c>
      <c r="I79" s="149"/>
      <c r="J79" s="149"/>
    </row>
    <row r="80" spans="3:10" x14ac:dyDescent="0.2">
      <c r="C80">
        <v>66</v>
      </c>
      <c r="D80" s="46" t="s">
        <v>537</v>
      </c>
      <c r="E80" s="46" t="s">
        <v>520</v>
      </c>
      <c r="F80">
        <v>4700</v>
      </c>
      <c r="G80">
        <f t="shared" si="3"/>
        <v>71.209999999999994</v>
      </c>
      <c r="H80" s="40">
        <v>45253</v>
      </c>
      <c r="I80" s="149"/>
      <c r="J80" s="149">
        <f>ROUND(AVERAGE(G80:G81),2)</f>
        <v>70.680000000000007</v>
      </c>
    </row>
    <row r="81" spans="3:10" x14ac:dyDescent="0.2">
      <c r="C81">
        <v>67</v>
      </c>
      <c r="D81" s="46" t="s">
        <v>543</v>
      </c>
      <c r="E81" s="46" t="s">
        <v>520</v>
      </c>
      <c r="F81">
        <v>4700</v>
      </c>
      <c r="G81">
        <f t="shared" si="3"/>
        <v>70.150000000000006</v>
      </c>
      <c r="H81" s="40">
        <v>45243</v>
      </c>
      <c r="I81" s="149"/>
      <c r="J81" s="149"/>
    </row>
    <row r="82" spans="3:10" x14ac:dyDescent="0.2">
      <c r="C82">
        <v>65.97</v>
      </c>
      <c r="D82" s="46" t="s">
        <v>537</v>
      </c>
      <c r="E82" s="46" t="s">
        <v>520</v>
      </c>
      <c r="F82">
        <v>4400</v>
      </c>
      <c r="G82">
        <f t="shared" si="3"/>
        <v>66.7</v>
      </c>
      <c r="H82" s="40">
        <v>45201</v>
      </c>
      <c r="I82" s="149"/>
      <c r="J82" s="1">
        <f>G82</f>
        <v>66.7</v>
      </c>
    </row>
    <row r="83" spans="3:10" x14ac:dyDescent="0.2">
      <c r="C83">
        <v>75</v>
      </c>
      <c r="D83" s="46" t="s">
        <v>519</v>
      </c>
      <c r="E83" s="46" t="s">
        <v>514</v>
      </c>
      <c r="F83">
        <v>5000</v>
      </c>
      <c r="G83">
        <f t="shared" si="3"/>
        <v>66.67</v>
      </c>
      <c r="H83" s="40">
        <v>45196</v>
      </c>
      <c r="I83" s="149">
        <f>ROUND(AVERAGE(G83:G89),2)</f>
        <v>59.39</v>
      </c>
      <c r="J83" s="149">
        <f>ROUND(AVERAGE(G83:G84),2)</f>
        <v>60.48</v>
      </c>
    </row>
    <row r="84" spans="3:10" x14ac:dyDescent="0.2">
      <c r="C84">
        <v>105</v>
      </c>
      <c r="D84" s="46" t="s">
        <v>538</v>
      </c>
      <c r="E84" s="46" t="s">
        <v>526</v>
      </c>
      <c r="F84">
        <v>5700</v>
      </c>
      <c r="G84">
        <f t="shared" si="3"/>
        <v>54.29</v>
      </c>
      <c r="H84" s="40">
        <v>45186</v>
      </c>
      <c r="I84" s="149"/>
      <c r="J84" s="149"/>
    </row>
    <row r="85" spans="3:10" x14ac:dyDescent="0.2">
      <c r="C85">
        <v>105</v>
      </c>
      <c r="D85" s="46" t="s">
        <v>543</v>
      </c>
      <c r="E85" s="46" t="s">
        <v>526</v>
      </c>
      <c r="F85">
        <v>6000</v>
      </c>
      <c r="G85">
        <f t="shared" si="3"/>
        <v>57.14</v>
      </c>
      <c r="H85" s="40">
        <v>45136</v>
      </c>
      <c r="I85" s="149"/>
      <c r="J85" s="149">
        <f>ROUND(AVERAGE(G85:G89),2)</f>
        <v>58.96</v>
      </c>
    </row>
    <row r="86" spans="3:10" x14ac:dyDescent="0.2">
      <c r="C86">
        <v>90</v>
      </c>
      <c r="D86" s="46" t="s">
        <v>515</v>
      </c>
      <c r="E86" s="46" t="s">
        <v>511</v>
      </c>
      <c r="F86">
        <v>5200</v>
      </c>
      <c r="G86">
        <f t="shared" si="3"/>
        <v>57.78</v>
      </c>
      <c r="H86" s="40">
        <v>45132</v>
      </c>
      <c r="I86" s="149"/>
      <c r="J86" s="149"/>
    </row>
    <row r="87" spans="3:10" x14ac:dyDescent="0.2">
      <c r="C87">
        <v>65.650000000000006</v>
      </c>
      <c r="D87" s="46" t="s">
        <v>538</v>
      </c>
      <c r="E87" s="46" t="s">
        <v>520</v>
      </c>
      <c r="F87">
        <v>4500</v>
      </c>
      <c r="G87">
        <f t="shared" si="3"/>
        <v>68.55</v>
      </c>
      <c r="H87" s="40">
        <v>45130</v>
      </c>
      <c r="I87" s="149"/>
      <c r="J87" s="149"/>
    </row>
    <row r="88" spans="3:10" x14ac:dyDescent="0.2">
      <c r="C88">
        <v>77</v>
      </c>
      <c r="D88" s="46" t="s">
        <v>539</v>
      </c>
      <c r="E88" s="46" t="s">
        <v>511</v>
      </c>
      <c r="F88">
        <v>5000</v>
      </c>
      <c r="G88">
        <f t="shared" si="3"/>
        <v>64.94</v>
      </c>
      <c r="H88" s="40">
        <v>45126</v>
      </c>
      <c r="I88" s="149"/>
      <c r="J88" s="149"/>
    </row>
    <row r="89" spans="3:10" x14ac:dyDescent="0.2">
      <c r="C89">
        <v>97</v>
      </c>
      <c r="D89" s="46" t="s">
        <v>540</v>
      </c>
      <c r="E89" s="46" t="s">
        <v>511</v>
      </c>
      <c r="F89">
        <v>4500</v>
      </c>
      <c r="G89">
        <f t="shared" si="3"/>
        <v>46.39</v>
      </c>
      <c r="H89" s="40">
        <v>45116</v>
      </c>
      <c r="I89" s="149"/>
      <c r="J89" s="149"/>
    </row>
    <row r="90" spans="3:10" x14ac:dyDescent="0.2">
      <c r="C90">
        <v>66</v>
      </c>
      <c r="D90" s="46" t="s">
        <v>546</v>
      </c>
      <c r="E90" s="46" t="s">
        <v>520</v>
      </c>
      <c r="F90">
        <v>4800</v>
      </c>
      <c r="G90">
        <f t="shared" si="3"/>
        <v>72.73</v>
      </c>
      <c r="H90" s="40">
        <v>45105</v>
      </c>
      <c r="I90" s="149">
        <f>ROUND(AVERAGE(G90:G91),2)</f>
        <v>72.02</v>
      </c>
      <c r="J90" s="149">
        <f>I90</f>
        <v>72.02</v>
      </c>
    </row>
    <row r="91" spans="3:10" x14ac:dyDescent="0.2">
      <c r="C91">
        <v>56.09</v>
      </c>
      <c r="D91" s="46" t="s">
        <v>538</v>
      </c>
      <c r="E91" s="46" t="s">
        <v>526</v>
      </c>
      <c r="F91">
        <v>4000</v>
      </c>
      <c r="G91">
        <f t="shared" si="3"/>
        <v>71.31</v>
      </c>
      <c r="H91" s="40">
        <v>45105</v>
      </c>
      <c r="I91" s="149"/>
      <c r="J91" s="149"/>
    </row>
    <row r="92" spans="3:10" x14ac:dyDescent="0.2">
      <c r="C92">
        <v>66</v>
      </c>
      <c r="D92" s="46" t="s">
        <v>546</v>
      </c>
      <c r="E92" s="46" t="s">
        <v>520</v>
      </c>
      <c r="F92">
        <v>5000</v>
      </c>
      <c r="G92">
        <f t="shared" si="3"/>
        <v>75.760000000000005</v>
      </c>
      <c r="H92" s="40">
        <v>45072</v>
      </c>
    </row>
    <row r="93" spans="3:10" x14ac:dyDescent="0.2">
      <c r="C93">
        <v>105</v>
      </c>
      <c r="D93" s="46" t="s">
        <v>517</v>
      </c>
      <c r="E93" s="46" t="s">
        <v>504</v>
      </c>
      <c r="F93">
        <v>5700</v>
      </c>
      <c r="G93">
        <f t="shared" si="3"/>
        <v>54.29</v>
      </c>
      <c r="H93" s="40">
        <v>45067</v>
      </c>
    </row>
    <row r="94" spans="3:10" x14ac:dyDescent="0.2">
      <c r="C94">
        <v>79</v>
      </c>
      <c r="D94" s="46" t="s">
        <v>512</v>
      </c>
      <c r="E94" s="46" t="s">
        <v>500</v>
      </c>
      <c r="F94">
        <v>5000</v>
      </c>
      <c r="G94">
        <f t="shared" si="3"/>
        <v>63.29</v>
      </c>
      <c r="H94" s="40">
        <v>45061</v>
      </c>
    </row>
    <row r="95" spans="3:10" x14ac:dyDescent="0.2">
      <c r="C95">
        <v>65.489999999999995</v>
      </c>
      <c r="D95" s="46" t="s">
        <v>538</v>
      </c>
      <c r="E95" s="46" t="s">
        <v>520</v>
      </c>
      <c r="F95">
        <v>4500</v>
      </c>
      <c r="G95">
        <f t="shared" si="3"/>
        <v>68.709999999999994</v>
      </c>
      <c r="H95" s="40">
        <v>45051</v>
      </c>
    </row>
    <row r="96" spans="3:10" x14ac:dyDescent="0.2">
      <c r="C96">
        <v>57</v>
      </c>
      <c r="D96" s="46" t="s">
        <v>546</v>
      </c>
      <c r="E96" s="46" t="s">
        <v>526</v>
      </c>
      <c r="F96">
        <v>4200</v>
      </c>
      <c r="G96">
        <f t="shared" si="3"/>
        <v>73.680000000000007</v>
      </c>
      <c r="H96" s="40">
        <v>44999</v>
      </c>
    </row>
  </sheetData>
  <mergeCells count="46">
    <mergeCell ref="R35:R37"/>
    <mergeCell ref="R38:R40"/>
    <mergeCell ref="R18:R20"/>
    <mergeCell ref="R21:R23"/>
    <mergeCell ref="R24:R26"/>
    <mergeCell ref="R30:R31"/>
    <mergeCell ref="R32:R34"/>
    <mergeCell ref="R2:R3"/>
    <mergeCell ref="R4:R6"/>
    <mergeCell ref="R7:R9"/>
    <mergeCell ref="R10:R12"/>
    <mergeCell ref="R16:R17"/>
    <mergeCell ref="I7:I9"/>
    <mergeCell ref="I4:I6"/>
    <mergeCell ref="I56:I57"/>
    <mergeCell ref="I54:I55"/>
    <mergeCell ref="I51:I53"/>
    <mergeCell ref="I40:I50"/>
    <mergeCell ref="I28:I39"/>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J63:J64"/>
    <mergeCell ref="J8:J9"/>
    <mergeCell ref="J5:J6"/>
    <mergeCell ref="J56:J57"/>
    <mergeCell ref="J51:J53"/>
    <mergeCell ref="J48:J50"/>
    <mergeCell ref="J46:J47"/>
    <mergeCell ref="J40:J45"/>
    <mergeCell ref="J31:J39"/>
    <mergeCell ref="J16:J17"/>
    <mergeCell ref="J28:J30"/>
  </mergeCells>
  <phoneticPr fontId="6"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52" t="s">
        <v>149</v>
      </c>
      <c r="B1" s="40">
        <v>45566.333831018521</v>
      </c>
      <c r="C1" s="40">
        <v>45536.333831018521</v>
      </c>
      <c r="D1" s="40">
        <v>45505</v>
      </c>
      <c r="E1" s="40">
        <v>45474</v>
      </c>
      <c r="F1" s="40">
        <v>45444</v>
      </c>
      <c r="G1" s="40">
        <v>45413</v>
      </c>
      <c r="H1" s="40">
        <v>45383</v>
      </c>
      <c r="I1" s="40">
        <v>45352</v>
      </c>
      <c r="J1" s="40">
        <v>45323</v>
      </c>
      <c r="K1" s="40">
        <v>45292</v>
      </c>
      <c r="L1" s="40">
        <v>45261</v>
      </c>
      <c r="M1" s="40">
        <v>45231</v>
      </c>
    </row>
    <row r="2" spans="1:13" x14ac:dyDescent="0.2">
      <c r="A2" s="152"/>
      <c r="B2" t="s">
        <v>150</v>
      </c>
      <c r="C2" t="s">
        <v>150</v>
      </c>
      <c r="D2" t="s">
        <v>150</v>
      </c>
      <c r="E2" t="s">
        <v>150</v>
      </c>
      <c r="F2" t="s">
        <v>150</v>
      </c>
      <c r="G2" t="s">
        <v>150</v>
      </c>
      <c r="H2" t="s">
        <v>150</v>
      </c>
      <c r="I2" t="s">
        <v>150</v>
      </c>
      <c r="J2" t="s">
        <v>150</v>
      </c>
      <c r="K2" t="s">
        <v>150</v>
      </c>
      <c r="L2" t="s">
        <v>150</v>
      </c>
      <c r="M2" t="s">
        <v>150</v>
      </c>
    </row>
    <row r="3" spans="1:13" ht="15.75" hidden="1" x14ac:dyDescent="0.25">
      <c r="A3" s="86" t="s">
        <v>678</v>
      </c>
      <c r="B3" s="87">
        <v>48.63</v>
      </c>
      <c r="C3" s="87">
        <v>48.72</v>
      </c>
      <c r="D3" s="87">
        <v>49.39</v>
      </c>
      <c r="E3" s="87">
        <v>44.4</v>
      </c>
      <c r="F3" s="87">
        <v>44.25</v>
      </c>
      <c r="G3" s="87">
        <v>52.78</v>
      </c>
      <c r="H3" s="87">
        <v>65.98</v>
      </c>
      <c r="I3" s="87">
        <v>64.150000000000006</v>
      </c>
      <c r="J3" s="87">
        <v>42.12</v>
      </c>
      <c r="K3" s="87">
        <v>44.61</v>
      </c>
      <c r="L3" s="87">
        <v>43.68</v>
      </c>
      <c r="M3" s="87">
        <v>40.200000000000003</v>
      </c>
    </row>
    <row r="4" spans="1:13" ht="15.75" x14ac:dyDescent="0.25">
      <c r="A4" s="85" t="s">
        <v>670</v>
      </c>
      <c r="B4" s="87">
        <v>52.23</v>
      </c>
      <c r="C4" s="87">
        <v>54.3</v>
      </c>
      <c r="D4" s="87">
        <v>54.77</v>
      </c>
      <c r="E4" s="87">
        <v>52.81</v>
      </c>
      <c r="F4" s="87">
        <v>49.86</v>
      </c>
      <c r="G4" s="87">
        <v>47.83</v>
      </c>
      <c r="H4" s="87">
        <v>46.76</v>
      </c>
      <c r="I4" s="87">
        <v>50.67</v>
      </c>
      <c r="J4" s="87">
        <v>49.48</v>
      </c>
      <c r="K4" s="87">
        <v>47.5</v>
      </c>
      <c r="L4" s="87">
        <v>47.87</v>
      </c>
      <c r="M4" s="87">
        <v>48.9</v>
      </c>
    </row>
    <row r="5" spans="1:13" ht="15.75" x14ac:dyDescent="0.25">
      <c r="A5" s="85" t="s">
        <v>671</v>
      </c>
      <c r="B5" s="87">
        <v>47.77</v>
      </c>
      <c r="C5" s="87">
        <v>52.06</v>
      </c>
      <c r="D5" s="87">
        <v>63.36</v>
      </c>
      <c r="E5" s="87">
        <v>55.57</v>
      </c>
      <c r="F5" s="87">
        <v>53.01</v>
      </c>
      <c r="G5" s="87">
        <v>53.23</v>
      </c>
      <c r="H5" s="87">
        <v>53</v>
      </c>
      <c r="I5" s="87">
        <v>40.08</v>
      </c>
      <c r="J5" s="87">
        <v>46.22</v>
      </c>
      <c r="K5" s="87">
        <v>56.79</v>
      </c>
      <c r="L5" s="87">
        <v>55.45</v>
      </c>
      <c r="M5" s="87">
        <v>44.69</v>
      </c>
    </row>
    <row r="6" spans="1:13" ht="15.75" x14ac:dyDescent="0.25">
      <c r="A6" s="86" t="s">
        <v>679</v>
      </c>
      <c r="B6">
        <v>55.16</v>
      </c>
      <c r="C6" s="87">
        <v>52.25</v>
      </c>
      <c r="D6" s="87">
        <v>50.01</v>
      </c>
      <c r="E6" s="87">
        <v>56.56</v>
      </c>
      <c r="F6" s="87">
        <v>54.48</v>
      </c>
      <c r="G6" s="87">
        <v>48.12</v>
      </c>
      <c r="H6" s="87">
        <v>47.36</v>
      </c>
      <c r="I6" s="87">
        <v>46.54</v>
      </c>
      <c r="J6" s="87">
        <v>43.51</v>
      </c>
      <c r="K6" s="87">
        <v>44.61</v>
      </c>
      <c r="L6" s="87">
        <v>47.27</v>
      </c>
      <c r="M6" s="87">
        <v>45.02</v>
      </c>
    </row>
    <row r="12" spans="1:13" x14ac:dyDescent="0.2">
      <c r="D12" s="85" t="s">
        <v>670</v>
      </c>
    </row>
    <row r="13" spans="1:13" x14ac:dyDescent="0.2">
      <c r="D13" s="133" t="s">
        <v>559</v>
      </c>
      <c r="E13" s="15" t="s">
        <v>694</v>
      </c>
      <c r="F13">
        <f>M4</f>
        <v>48.9</v>
      </c>
    </row>
    <row r="14" spans="1:13" x14ac:dyDescent="0.2">
      <c r="D14" s="134"/>
      <c r="E14" s="15" t="s">
        <v>695</v>
      </c>
      <c r="F14">
        <f>L4</f>
        <v>47.87</v>
      </c>
    </row>
    <row r="15" spans="1:13" x14ac:dyDescent="0.2">
      <c r="D15" s="132" t="s">
        <v>560</v>
      </c>
      <c r="E15" s="15" t="s">
        <v>696</v>
      </c>
      <c r="F15">
        <f>K4</f>
        <v>47.5</v>
      </c>
    </row>
    <row r="16" spans="1:13" x14ac:dyDescent="0.2">
      <c r="D16" s="132"/>
      <c r="E16" s="15" t="s">
        <v>697</v>
      </c>
      <c r="F16">
        <f>J4</f>
        <v>49.48</v>
      </c>
    </row>
    <row r="17" spans="4:6" x14ac:dyDescent="0.2">
      <c r="D17" s="132"/>
      <c r="E17" s="15" t="s">
        <v>698</v>
      </c>
      <c r="F17">
        <f>I4</f>
        <v>50.67</v>
      </c>
    </row>
    <row r="18" spans="4:6" x14ac:dyDescent="0.2">
      <c r="D18" s="132" t="s">
        <v>561</v>
      </c>
      <c r="E18" s="15" t="s">
        <v>699</v>
      </c>
      <c r="F18">
        <f>H4</f>
        <v>46.76</v>
      </c>
    </row>
    <row r="19" spans="4:6" x14ac:dyDescent="0.2">
      <c r="D19" s="132"/>
      <c r="E19" s="15" t="s">
        <v>700</v>
      </c>
      <c r="F19">
        <f>G4</f>
        <v>47.83</v>
      </c>
    </row>
    <row r="20" spans="4:6" x14ac:dyDescent="0.2">
      <c r="D20" s="132"/>
      <c r="E20" s="15" t="s">
        <v>701</v>
      </c>
      <c r="F20">
        <f>F4</f>
        <v>49.86</v>
      </c>
    </row>
    <row r="21" spans="4:6" ht="13.5" customHeight="1" x14ac:dyDescent="0.2">
      <c r="D21" s="132" t="s">
        <v>691</v>
      </c>
      <c r="E21" s="15" t="s">
        <v>702</v>
      </c>
      <c r="F21">
        <f>E4</f>
        <v>52.81</v>
      </c>
    </row>
    <row r="22" spans="4:6" x14ac:dyDescent="0.2">
      <c r="D22" s="132"/>
      <c r="E22" s="15" t="s">
        <v>703</v>
      </c>
      <c r="F22">
        <f>D4</f>
        <v>54.77</v>
      </c>
    </row>
    <row r="23" spans="4:6" x14ac:dyDescent="0.2">
      <c r="D23" s="132"/>
      <c r="E23" s="15" t="s">
        <v>704</v>
      </c>
      <c r="F23">
        <f>C4</f>
        <v>54.3</v>
      </c>
    </row>
    <row r="24" spans="4:6" x14ac:dyDescent="0.2">
      <c r="D24" s="57" t="s">
        <v>690</v>
      </c>
      <c r="E24" s="15" t="s">
        <v>689</v>
      </c>
      <c r="F24">
        <f>B4</f>
        <v>52.23</v>
      </c>
    </row>
    <row r="27" spans="4:6" x14ac:dyDescent="0.2">
      <c r="D27" t="str">
        <f>A5</f>
        <v>锦华园</v>
      </c>
    </row>
    <row r="28" spans="4:6" x14ac:dyDescent="0.2">
      <c r="D28" s="133" t="s">
        <v>559</v>
      </c>
      <c r="E28" s="15" t="s">
        <v>694</v>
      </c>
      <c r="F28">
        <f>M5</f>
        <v>44.69</v>
      </c>
    </row>
    <row r="29" spans="4:6" x14ac:dyDescent="0.2">
      <c r="D29" s="134"/>
      <c r="E29" s="15" t="s">
        <v>695</v>
      </c>
      <c r="F29">
        <f>L5</f>
        <v>55.45</v>
      </c>
    </row>
    <row r="30" spans="4:6" x14ac:dyDescent="0.2">
      <c r="D30" s="132" t="s">
        <v>560</v>
      </c>
      <c r="E30" s="15" t="s">
        <v>696</v>
      </c>
      <c r="F30">
        <f>K5</f>
        <v>56.79</v>
      </c>
    </row>
    <row r="31" spans="4:6" x14ac:dyDescent="0.2">
      <c r="D31" s="132"/>
      <c r="E31" s="15" t="s">
        <v>697</v>
      </c>
      <c r="F31">
        <f>J5</f>
        <v>46.22</v>
      </c>
    </row>
    <row r="32" spans="4:6" x14ac:dyDescent="0.2">
      <c r="D32" s="132"/>
      <c r="E32" s="15" t="s">
        <v>698</v>
      </c>
      <c r="F32">
        <f>I5</f>
        <v>40.08</v>
      </c>
    </row>
    <row r="33" spans="4:6" x14ac:dyDescent="0.2">
      <c r="D33" s="132" t="s">
        <v>561</v>
      </c>
      <c r="E33" s="15" t="s">
        <v>699</v>
      </c>
      <c r="F33">
        <f>H5</f>
        <v>53</v>
      </c>
    </row>
    <row r="34" spans="4:6" x14ac:dyDescent="0.2">
      <c r="D34" s="132"/>
      <c r="E34" s="15" t="s">
        <v>700</v>
      </c>
      <c r="F34">
        <f>G5</f>
        <v>53.23</v>
      </c>
    </row>
    <row r="35" spans="4:6" x14ac:dyDescent="0.2">
      <c r="D35" s="132"/>
      <c r="E35" s="15" t="s">
        <v>701</v>
      </c>
      <c r="F35">
        <f>F5</f>
        <v>53.01</v>
      </c>
    </row>
    <row r="36" spans="4:6" x14ac:dyDescent="0.2">
      <c r="D36" s="132" t="s">
        <v>691</v>
      </c>
      <c r="E36" s="15" t="s">
        <v>702</v>
      </c>
      <c r="F36">
        <f>E5</f>
        <v>55.57</v>
      </c>
    </row>
    <row r="37" spans="4:6" x14ac:dyDescent="0.2">
      <c r="D37" s="132"/>
      <c r="E37" s="15" t="s">
        <v>703</v>
      </c>
      <c r="F37">
        <f>D5</f>
        <v>63.36</v>
      </c>
    </row>
    <row r="38" spans="4:6" x14ac:dyDescent="0.2">
      <c r="D38" s="132"/>
      <c r="E38" s="15" t="s">
        <v>704</v>
      </c>
      <c r="F38">
        <f>C5</f>
        <v>52.06</v>
      </c>
    </row>
    <row r="39" spans="4:6" x14ac:dyDescent="0.2">
      <c r="D39" s="57" t="s">
        <v>690</v>
      </c>
      <c r="E39" s="15" t="s">
        <v>689</v>
      </c>
      <c r="F39">
        <f>B5</f>
        <v>47.77</v>
      </c>
    </row>
    <row r="43" spans="4:6" x14ac:dyDescent="0.2">
      <c r="D43" t="str">
        <f>A6</f>
        <v>义和庄东里</v>
      </c>
    </row>
    <row r="44" spans="4:6" x14ac:dyDescent="0.2">
      <c r="D44" s="133" t="s">
        <v>559</v>
      </c>
      <c r="E44" s="15" t="s">
        <v>694</v>
      </c>
      <c r="F44">
        <f>M6</f>
        <v>45.02</v>
      </c>
    </row>
    <row r="45" spans="4:6" x14ac:dyDescent="0.2">
      <c r="D45" s="134"/>
      <c r="E45" s="15" t="s">
        <v>695</v>
      </c>
      <c r="F45">
        <f>L6</f>
        <v>47.27</v>
      </c>
    </row>
    <row r="46" spans="4:6" x14ac:dyDescent="0.2">
      <c r="D46" s="132" t="s">
        <v>560</v>
      </c>
      <c r="E46" s="15" t="s">
        <v>696</v>
      </c>
      <c r="F46">
        <f>K6</f>
        <v>44.61</v>
      </c>
    </row>
    <row r="47" spans="4:6" x14ac:dyDescent="0.2">
      <c r="D47" s="132"/>
      <c r="E47" s="15" t="s">
        <v>697</v>
      </c>
      <c r="F47">
        <f>J6</f>
        <v>43.51</v>
      </c>
    </row>
    <row r="48" spans="4:6" x14ac:dyDescent="0.2">
      <c r="D48" s="132"/>
      <c r="E48" s="15" t="s">
        <v>698</v>
      </c>
      <c r="F48">
        <f>I6</f>
        <v>46.54</v>
      </c>
    </row>
    <row r="49" spans="4:6" x14ac:dyDescent="0.2">
      <c r="D49" s="132" t="s">
        <v>561</v>
      </c>
      <c r="E49" s="15" t="s">
        <v>699</v>
      </c>
      <c r="F49">
        <f>H6</f>
        <v>47.36</v>
      </c>
    </row>
    <row r="50" spans="4:6" x14ac:dyDescent="0.2">
      <c r="D50" s="132"/>
      <c r="E50" s="15" t="s">
        <v>700</v>
      </c>
      <c r="F50">
        <f>G6</f>
        <v>48.12</v>
      </c>
    </row>
    <row r="51" spans="4:6" x14ac:dyDescent="0.2">
      <c r="D51" s="132"/>
      <c r="E51" s="15" t="s">
        <v>701</v>
      </c>
      <c r="F51">
        <f>F6</f>
        <v>54.48</v>
      </c>
    </row>
    <row r="52" spans="4:6" x14ac:dyDescent="0.2">
      <c r="D52" s="132" t="s">
        <v>691</v>
      </c>
      <c r="E52" s="15" t="s">
        <v>702</v>
      </c>
      <c r="F52">
        <f>E6</f>
        <v>56.56</v>
      </c>
    </row>
    <row r="53" spans="4:6" x14ac:dyDescent="0.2">
      <c r="D53" s="132"/>
      <c r="E53" s="15" t="s">
        <v>703</v>
      </c>
      <c r="F53">
        <f>D6</f>
        <v>50.01</v>
      </c>
    </row>
    <row r="54" spans="4:6" x14ac:dyDescent="0.2">
      <c r="D54" s="132"/>
      <c r="E54" s="15" t="s">
        <v>704</v>
      </c>
      <c r="F54">
        <f>C6</f>
        <v>52.25</v>
      </c>
    </row>
    <row r="55" spans="4:6" x14ac:dyDescent="0.2">
      <c r="D55" s="57" t="s">
        <v>690</v>
      </c>
      <c r="E55" s="15" t="s">
        <v>689</v>
      </c>
      <c r="F55">
        <f>B6</f>
        <v>55.16</v>
      </c>
    </row>
  </sheetData>
  <mergeCells count="13">
    <mergeCell ref="D46:D48"/>
    <mergeCell ref="D49:D51"/>
    <mergeCell ref="D52:D54"/>
    <mergeCell ref="D28:D29"/>
    <mergeCell ref="D30:D32"/>
    <mergeCell ref="D33:D35"/>
    <mergeCell ref="D36:D38"/>
    <mergeCell ref="D44:D45"/>
    <mergeCell ref="A1:A2"/>
    <mergeCell ref="D13:D14"/>
    <mergeCell ref="D15:D17"/>
    <mergeCell ref="D18:D20"/>
    <mergeCell ref="D21:D23"/>
  </mergeCells>
  <phoneticPr fontId="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14</vt:i4>
      </vt:variant>
    </vt:vector>
  </HeadingPairs>
  <TitlesOfParts>
    <vt:vector size="14" baseType="lpstr">
      <vt:lpstr>系统读取表</vt:lpstr>
      <vt:lpstr>项目信息</vt:lpstr>
      <vt:lpstr>测算表</vt:lpstr>
      <vt:lpstr>成本分析</vt:lpstr>
      <vt:lpstr>案例汇总</vt:lpstr>
      <vt:lpstr>案例汇总 -月</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2024-12-17T10:54:33Z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