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司法-丰葆路98号（等违建范围说明）\"/>
    </mc:Choice>
  </mc:AlternateContent>
  <xr:revisionPtr revIDLastSave="0" documentId="13_ncr:1_{06533C30-05B4-44EE-A984-B1CF8AACC726}"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住宅租金" sheetId="82"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4"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4">'比较法-住宅租金'!$A$1:$K$54,'比较法-住宅租金'!$A$57:$M$131</definedName>
    <definedName name="_xlnm.Print_Area" localSheetId="18">成本法!$A$1:$G$57</definedName>
    <definedName name="_xlnm.Print_Area" localSheetId="35">'成本法 (元)'!$A$1:$G$57</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4">'比较法-住宅租金'!$B$88:$M$88</definedName>
    <definedName name="住宅朝向">'比较法-住宅'!$B$88:$M$88</definedName>
    <definedName name="住宅房型" localSheetId="34">'比较法-住宅租金'!$B$118:$M$118</definedName>
    <definedName name="住宅房型">'比较法-住宅'!$B$118:$M$118</definedName>
    <definedName name="住宅公共部分装修" localSheetId="34">'比较法-住宅租金'!$B$109:$M$109</definedName>
    <definedName name="住宅公共部分装修">'比较法-住宅'!$B$109:$M$109</definedName>
    <definedName name="住宅基础设施水平" localSheetId="34">'比较法-住宅租金'!$B$116:$M$116</definedName>
    <definedName name="住宅基础设施水平">'比较法-住宅'!$B$116:$M$116</definedName>
    <definedName name="住宅建筑结构" localSheetId="34">'比较法-住宅租金'!$B$105:$M$105</definedName>
    <definedName name="住宅建筑结构">'比较法-住宅'!$B$105:$M$105</definedName>
    <definedName name="住宅建筑类型" localSheetId="34">'比较法-住宅租金'!$B$100:$M$100</definedName>
    <definedName name="住宅建筑类型">'比较法-住宅'!$B$100:$M$100</definedName>
    <definedName name="住宅建筑品质" localSheetId="34">'比较法-住宅租金'!$B$107:$M$107</definedName>
    <definedName name="住宅建筑品质">'比较法-住宅'!$B$107:$M$107</definedName>
    <definedName name="住宅交易情况" localSheetId="34">'比较法-住宅租金'!$A$61:$M$61</definedName>
    <definedName name="住宅交易情况">'比较法-住宅'!$A$61:$M$61</definedName>
    <definedName name="住宅楼层" localSheetId="34">'比较法-住宅租金'!$B$86:$M$86</definedName>
    <definedName name="住宅楼层">'比较法-住宅'!$B$86:$M$86</definedName>
    <definedName name="住宅内部装修" localSheetId="34">'比较法-住宅租金'!$B$122:$M$122</definedName>
    <definedName name="住宅内部装修">'比较法-住宅'!$B$122:$M$122</definedName>
    <definedName name="住宅物业管理" localSheetId="34">'比较法-住宅租金'!$B$114:$M$114</definedName>
    <definedName name="住宅物业管理">'比较法-住宅'!$B$114:$M$114</definedName>
    <definedName name="住宅用途" localSheetId="34">'比较法-住宅租金'!$B$63:$M$63</definedName>
    <definedName name="住宅用途">'比较法-住宅'!$B$63:$M$63</definedName>
    <definedName name="住宅主力户型面积" localSheetId="34">'比较法-住宅租金'!$B$120:$M$120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H6" i="1" l="1"/>
  <c r="I33" i="82"/>
  <c r="I47" i="82"/>
  <c r="P58" i="82"/>
  <c r="G47" i="82"/>
  <c r="E47" i="82"/>
  <c r="G33" i="82"/>
  <c r="E33" i="82"/>
  <c r="G7" i="82"/>
  <c r="E7" i="82"/>
  <c r="C5" i="82"/>
  <c r="M35" i="80"/>
  <c r="M34" i="80"/>
  <c r="I47" i="21"/>
  <c r="I33" i="21"/>
  <c r="T8" i="80"/>
  <c r="J32" i="80"/>
  <c r="J31" i="80"/>
  <c r="J30" i="80"/>
  <c r="J29" i="80"/>
  <c r="J27" i="80"/>
  <c r="J26" i="80"/>
  <c r="J25" i="80"/>
  <c r="J24" i="80"/>
  <c r="J21" i="80"/>
  <c r="J22" i="80"/>
  <c r="J23" i="80"/>
  <c r="J20" i="80"/>
  <c r="G47" i="21"/>
  <c r="E47" i="21"/>
  <c r="G33" i="21"/>
  <c r="E33" i="21"/>
  <c r="I7" i="21"/>
  <c r="G7" i="21"/>
  <c r="E7" i="21"/>
  <c r="C6" i="69"/>
  <c r="L23" i="1"/>
  <c r="L25" i="1"/>
  <c r="T9" i="80"/>
  <c r="T7" i="80"/>
  <c r="B21" i="1"/>
  <c r="M13" i="4"/>
  <c r="M12" i="4"/>
  <c r="D14" i="9"/>
  <c r="E104" i="82" l="1"/>
  <c r="F104" i="82" s="1"/>
  <c r="G104" i="82" s="1"/>
  <c r="D104" i="82"/>
  <c r="V47" i="82"/>
  <c r="T47" i="82"/>
  <c r="R47" i="82"/>
  <c r="C145" i="82"/>
  <c r="J142" i="82"/>
  <c r="K141" i="82"/>
  <c r="J140" i="82"/>
  <c r="K139" i="82"/>
  <c r="K145" i="82" s="1"/>
  <c r="B130" i="82"/>
  <c r="B128" i="82"/>
  <c r="B126" i="82"/>
  <c r="E125" i="82"/>
  <c r="F125" i="82" s="1"/>
  <c r="G125" i="82" s="1"/>
  <c r="D125" i="82"/>
  <c r="D123" i="82"/>
  <c r="E123" i="82" s="1"/>
  <c r="F123" i="82" s="1"/>
  <c r="G123" i="82" s="1"/>
  <c r="H123" i="82" s="1"/>
  <c r="I123" i="82" s="1"/>
  <c r="J123" i="82" s="1"/>
  <c r="K123" i="82" s="1"/>
  <c r="L123" i="82" s="1"/>
  <c r="M123" i="82" s="1"/>
  <c r="E119" i="82"/>
  <c r="F119" i="82" s="1"/>
  <c r="G119" i="82" s="1"/>
  <c r="H119" i="82" s="1"/>
  <c r="I119" i="82" s="1"/>
  <c r="J119" i="82" s="1"/>
  <c r="K119" i="82" s="1"/>
  <c r="L119" i="82" s="1"/>
  <c r="M119"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F110" i="82"/>
  <c r="G110" i="82" s="1"/>
  <c r="H110" i="82" s="1"/>
  <c r="I110" i="82" s="1"/>
  <c r="J110" i="82" s="1"/>
  <c r="K110" i="82" s="1"/>
  <c r="L110" i="82" s="1"/>
  <c r="M110" i="82" s="1"/>
  <c r="D110" i="82"/>
  <c r="E110" i="82" s="1"/>
  <c r="D108" i="82"/>
  <c r="E108" i="82" s="1"/>
  <c r="F108" i="82" s="1"/>
  <c r="G108" i="82" s="1"/>
  <c r="H108" i="82" s="1"/>
  <c r="I108" i="82" s="1"/>
  <c r="J108" i="82" s="1"/>
  <c r="K108" i="82" s="1"/>
  <c r="L108" i="82" s="1"/>
  <c r="M108" i="82" s="1"/>
  <c r="F106" i="82"/>
  <c r="G106" i="82" s="1"/>
  <c r="H106" i="82" s="1"/>
  <c r="I106" i="82" s="1"/>
  <c r="J106" i="82" s="1"/>
  <c r="K106" i="82" s="1"/>
  <c r="L106" i="82" s="1"/>
  <c r="M106" i="82" s="1"/>
  <c r="D106" i="82"/>
  <c r="E106" i="82" s="1"/>
  <c r="M102" i="82"/>
  <c r="L102" i="82"/>
  <c r="K102" i="82"/>
  <c r="J102" i="82"/>
  <c r="I102" i="82"/>
  <c r="H102" i="82"/>
  <c r="G102" i="82"/>
  <c r="F102" i="82"/>
  <c r="E102" i="82"/>
  <c r="D102" i="82"/>
  <c r="C102" i="82"/>
  <c r="G101" i="82"/>
  <c r="H101" i="82" s="1"/>
  <c r="I101" i="82" s="1"/>
  <c r="J101" i="82" s="1"/>
  <c r="K101" i="82" s="1"/>
  <c r="L101" i="82" s="1"/>
  <c r="M101" i="82" s="1"/>
  <c r="E101" i="82"/>
  <c r="F101" i="82" s="1"/>
  <c r="D101" i="82"/>
  <c r="B98" i="82"/>
  <c r="H31" i="82" s="1"/>
  <c r="B96" i="82"/>
  <c r="B94" i="82"/>
  <c r="H29" i="82" s="1"/>
  <c r="B92" i="82"/>
  <c r="B90" i="82"/>
  <c r="H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P49" i="82"/>
  <c r="P48" i="82"/>
  <c r="K48" i="82"/>
  <c r="P47" i="82"/>
  <c r="AA46" i="82"/>
  <c r="W46" i="82"/>
  <c r="Q46" i="82"/>
  <c r="Z46" i="82" s="1"/>
  <c r="J46" i="82"/>
  <c r="AC46" i="82" s="1"/>
  <c r="H46" i="82"/>
  <c r="AB46" i="82" s="1"/>
  <c r="F46" i="82"/>
  <c r="S46" i="82" s="1"/>
  <c r="Z45" i="82"/>
  <c r="Q45" i="82"/>
  <c r="AA44" i="82"/>
  <c r="Q44" i="82"/>
  <c r="Z44" i="82" s="1"/>
  <c r="J44" i="82"/>
  <c r="W44" i="82" s="1"/>
  <c r="H44" i="82"/>
  <c r="AB44" i="82" s="1"/>
  <c r="F44" i="82"/>
  <c r="S44" i="82" s="1"/>
  <c r="Z43" i="82"/>
  <c r="Q43" i="82"/>
  <c r="J43" i="82"/>
  <c r="AC43" i="82" s="1"/>
  <c r="H43" i="82"/>
  <c r="U43" i="82" s="1"/>
  <c r="F43" i="82"/>
  <c r="AA43" i="82" s="1"/>
  <c r="Q42" i="82"/>
  <c r="Z42" i="82" s="1"/>
  <c r="J42" i="82"/>
  <c r="AC42" i="82" s="1"/>
  <c r="H42" i="82"/>
  <c r="AB42" i="82" s="1"/>
  <c r="F42" i="82"/>
  <c r="S42" i="82" s="1"/>
  <c r="Z41" i="82"/>
  <c r="U41" i="82"/>
  <c r="Q41" i="82"/>
  <c r="J41" i="82"/>
  <c r="AC41" i="82" s="1"/>
  <c r="H41" i="82"/>
  <c r="AB41" i="82" s="1"/>
  <c r="F41" i="82"/>
  <c r="AA41" i="82" s="1"/>
  <c r="AC40" i="82"/>
  <c r="W40" i="82"/>
  <c r="Q40" i="82"/>
  <c r="Z40" i="82" s="1"/>
  <c r="J40" i="82"/>
  <c r="H40" i="82"/>
  <c r="AB40" i="82" s="1"/>
  <c r="F40" i="82"/>
  <c r="AA40" i="82" s="1"/>
  <c r="AB39" i="82"/>
  <c r="U39" i="82"/>
  <c r="Q39" i="82"/>
  <c r="Z39" i="82" s="1"/>
  <c r="J39" i="82"/>
  <c r="AC39" i="82" s="1"/>
  <c r="H39" i="82"/>
  <c r="F39" i="82"/>
  <c r="AA39" i="82" s="1"/>
  <c r="Q38" i="82"/>
  <c r="Z38" i="82" s="1"/>
  <c r="J38" i="82"/>
  <c r="W38" i="82" s="1"/>
  <c r="H38" i="82"/>
  <c r="AB38" i="82" s="1"/>
  <c r="F38" i="82"/>
  <c r="AA38" i="82" s="1"/>
  <c r="Q37" i="82"/>
  <c r="Z37" i="82" s="1"/>
  <c r="E37" i="82"/>
  <c r="I37" i="82" s="1"/>
  <c r="J37" i="82" s="1"/>
  <c r="Z36" i="82"/>
  <c r="Q36" i="82"/>
  <c r="J36" i="82"/>
  <c r="AC36" i="82" s="1"/>
  <c r="H36" i="82"/>
  <c r="U36" i="82" s="1"/>
  <c r="F36" i="82"/>
  <c r="AA36" i="82" s="1"/>
  <c r="AA35" i="82"/>
  <c r="W35" i="82"/>
  <c r="Q35" i="82"/>
  <c r="Z35" i="82" s="1"/>
  <c r="J35" i="82"/>
  <c r="AC35" i="82" s="1"/>
  <c r="H35" i="82"/>
  <c r="AB35" i="82" s="1"/>
  <c r="F35" i="82"/>
  <c r="S35" i="82" s="1"/>
  <c r="Z34" i="82"/>
  <c r="Q34" i="82"/>
  <c r="J34" i="82"/>
  <c r="AC34" i="82" s="1"/>
  <c r="H34" i="82"/>
  <c r="AB34" i="82" s="1"/>
  <c r="F34" i="82"/>
  <c r="AA34" i="82" s="1"/>
  <c r="Q33" i="82"/>
  <c r="Z33" i="82" s="1"/>
  <c r="Q32" i="82"/>
  <c r="Z32" i="82" s="1"/>
  <c r="J32" i="82"/>
  <c r="AC32" i="82" s="1"/>
  <c r="H32" i="82"/>
  <c r="U32" i="82" s="1"/>
  <c r="F32" i="82"/>
  <c r="AA32" i="82" s="1"/>
  <c r="AC31" i="82"/>
  <c r="AA31" i="82"/>
  <c r="S31" i="82"/>
  <c r="Q31" i="82"/>
  <c r="Z31" i="82" s="1"/>
  <c r="J31" i="82"/>
  <c r="W31" i="82" s="1"/>
  <c r="F31" i="82"/>
  <c r="Z30" i="82"/>
  <c r="Q30" i="82"/>
  <c r="J30" i="82"/>
  <c r="AC30" i="82" s="1"/>
  <c r="H30" i="82"/>
  <c r="U30" i="82" s="1"/>
  <c r="F30" i="82"/>
  <c r="AA30" i="82" s="1"/>
  <c r="W29" i="82"/>
  <c r="Q29" i="82"/>
  <c r="Z29" i="82" s="1"/>
  <c r="J29" i="82"/>
  <c r="AC29" i="82" s="1"/>
  <c r="F29" i="82"/>
  <c r="S29" i="82" s="1"/>
  <c r="Z28" i="82"/>
  <c r="Q28" i="82"/>
  <c r="J28" i="82"/>
  <c r="AC28" i="82" s="1"/>
  <c r="H28" i="82"/>
  <c r="AB28" i="82" s="1"/>
  <c r="F28" i="82"/>
  <c r="S28" i="82" s="1"/>
  <c r="AA27" i="82"/>
  <c r="Z27" i="82"/>
  <c r="Q27" i="82"/>
  <c r="J27" i="82"/>
  <c r="W27" i="82" s="1"/>
  <c r="F27" i="82"/>
  <c r="S27" i="82" s="1"/>
  <c r="Z26" i="82"/>
  <c r="Q26" i="82"/>
  <c r="J26" i="82"/>
  <c r="W26" i="82" s="1"/>
  <c r="H26" i="82"/>
  <c r="U26" i="82" s="1"/>
  <c r="F26" i="82"/>
  <c r="AA26" i="82" s="1"/>
  <c r="AC25" i="82"/>
  <c r="AB25" i="82"/>
  <c r="Q25" i="82"/>
  <c r="Z25" i="82" s="1"/>
  <c r="J25" i="82"/>
  <c r="W25" i="82" s="1"/>
  <c r="H25" i="82"/>
  <c r="U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U8" i="82" s="1"/>
  <c r="F8" i="82"/>
  <c r="S8" i="82" s="1"/>
  <c r="E37" i="21"/>
  <c r="I37" i="21" s="1"/>
  <c r="Y6" i="1"/>
  <c r="F19" i="6"/>
  <c r="D2" i="82"/>
  <c r="AA8" i="82" l="1"/>
  <c r="I54" i="82"/>
  <c r="J54" i="82" s="1"/>
  <c r="D33" i="43"/>
  <c r="B14" i="74"/>
  <c r="C33" i="21"/>
  <c r="C33" i="82"/>
  <c r="J33" i="82" s="1"/>
  <c r="AC33" i="82" s="1"/>
  <c r="G37" i="82"/>
  <c r="G37" i="21"/>
  <c r="U34" i="82"/>
  <c r="AB26" i="82"/>
  <c r="AC38" i="82"/>
  <c r="AB32" i="82"/>
  <c r="W42" i="82"/>
  <c r="AA42" i="82"/>
  <c r="U9" i="82"/>
  <c r="W10" i="82"/>
  <c r="W17" i="82"/>
  <c r="W23" i="82"/>
  <c r="S25" i="82"/>
  <c r="U28" i="82"/>
  <c r="H33" i="82"/>
  <c r="AC37" i="82"/>
  <c r="W37" i="82"/>
  <c r="S40" i="82"/>
  <c r="F45" i="82"/>
  <c r="J45" i="82"/>
  <c r="AB8" i="82"/>
  <c r="W9" i="82"/>
  <c r="S11" i="82"/>
  <c r="U12" i="82"/>
  <c r="W13" i="82"/>
  <c r="AA29" i="82"/>
  <c r="AB30" i="82"/>
  <c r="AB36" i="82"/>
  <c r="S38" i="82"/>
  <c r="AB43" i="82"/>
  <c r="AC44" i="82"/>
  <c r="E54" i="82"/>
  <c r="F54" i="82" s="1"/>
  <c r="AB27" i="82"/>
  <c r="U27" i="82"/>
  <c r="AB31" i="82"/>
  <c r="U31" i="82"/>
  <c r="S12" i="82"/>
  <c r="U13" i="82"/>
  <c r="W14" i="82"/>
  <c r="W19" i="82"/>
  <c r="AC8" i="82"/>
  <c r="S10" i="82"/>
  <c r="U11" i="82"/>
  <c r="W12" i="82"/>
  <c r="S14" i="82"/>
  <c r="S15" i="82"/>
  <c r="S17" i="82"/>
  <c r="S19" i="82"/>
  <c r="S21" i="82"/>
  <c r="S23" i="82"/>
  <c r="AC26" i="82"/>
  <c r="AC27" i="82"/>
  <c r="AA28" i="82"/>
  <c r="F37" i="82"/>
  <c r="H45" i="82"/>
  <c r="G54" i="82"/>
  <c r="H54" i="82" s="1"/>
  <c r="K143" i="82"/>
  <c r="W15" i="82"/>
  <c r="W21" i="82"/>
  <c r="S9" i="82"/>
  <c r="U10" i="82"/>
  <c r="W11" i="82"/>
  <c r="S13" i="82"/>
  <c r="U14" i="82"/>
  <c r="U15" i="82"/>
  <c r="U17" i="82"/>
  <c r="U19" i="82"/>
  <c r="U21" i="82"/>
  <c r="U23" i="82"/>
  <c r="H37" i="82"/>
  <c r="AB29" i="82"/>
  <c r="U29" i="82"/>
  <c r="K144" i="82"/>
  <c r="W30" i="82"/>
  <c r="S32" i="82"/>
  <c r="W34" i="82"/>
  <c r="S36" i="82"/>
  <c r="S39" i="82"/>
  <c r="U40" i="82"/>
  <c r="W41" i="82"/>
  <c r="S43" i="82"/>
  <c r="U44" i="82"/>
  <c r="S26" i="82"/>
  <c r="W28" i="82"/>
  <c r="S30" i="82"/>
  <c r="W32" i="82"/>
  <c r="S34" i="82"/>
  <c r="U35" i="82"/>
  <c r="W36" i="82"/>
  <c r="U38" i="82"/>
  <c r="W39" i="82"/>
  <c r="S41" i="82"/>
  <c r="U42" i="82"/>
  <c r="W43" i="82"/>
  <c r="U46" i="82"/>
  <c r="D3" i="4"/>
  <c r="E27" i="45"/>
  <c r="F33" i="82" l="1"/>
  <c r="S33" i="82" s="1"/>
  <c r="W33" i="82"/>
  <c r="AB45" i="82"/>
  <c r="U45" i="82"/>
  <c r="AC45" i="82"/>
  <c r="W45" i="82"/>
  <c r="U37" i="82"/>
  <c r="AB37" i="82"/>
  <c r="AA37" i="82"/>
  <c r="S37" i="82"/>
  <c r="AA45" i="82"/>
  <c r="S45" i="82"/>
  <c r="AB33" i="82"/>
  <c r="U33" i="82"/>
  <c r="G14" i="73"/>
  <c r="F14" i="73"/>
  <c r="E14" i="73"/>
  <c r="AA33" i="82"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W22" i="79"/>
  <c r="AK22" i="79" s="1"/>
  <c r="AH22" i="79"/>
  <c r="Z3" i="79"/>
  <c r="AA31" i="79"/>
  <c r="AD31" i="79" s="1"/>
  <c r="U46" i="79"/>
  <c r="AI46" i="79" s="1"/>
  <c r="S48" i="79"/>
  <c r="AG48" i="79" s="1"/>
  <c r="U50" i="79"/>
  <c r="AI50" i="79" s="1"/>
  <c r="AD51" i="79"/>
  <c r="AR18" i="79"/>
  <c r="AR19" i="79" s="1"/>
  <c r="AR20" i="79" s="1"/>
  <c r="AR21" i="79" s="1"/>
  <c r="AR22" i="79" s="1"/>
  <c r="AR23" i="79" s="1"/>
  <c r="AR24" i="79" s="1"/>
  <c r="T35" i="79"/>
  <c r="T33" i="79"/>
  <c r="T34" i="79"/>
  <c r="S34" i="79"/>
  <c r="AG34" i="79" s="1"/>
  <c r="S33" i="79"/>
  <c r="AG33" i="79" s="1"/>
  <c r="S35" i="79"/>
  <c r="AG35" i="79" s="1"/>
  <c r="T40" i="79"/>
  <c r="AD47"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46" i="79"/>
  <c r="AK46" i="79" s="1"/>
  <c r="AH46" i="79"/>
  <c r="W14" i="79"/>
  <c r="AK14" i="79" s="1"/>
  <c r="AH14" i="79"/>
  <c r="W19" i="79"/>
  <c r="AK19" i="79" s="1"/>
  <c r="AH19" i="79"/>
  <c r="W16" i="79"/>
  <c r="AK16" i="79" s="1"/>
  <c r="AH16" i="79"/>
  <c r="W50" i="79"/>
  <c r="AK50" i="79" s="1"/>
  <c r="AH50" i="79"/>
  <c r="W51" i="79"/>
  <c r="AK51" i="79" s="1"/>
  <c r="AH51" i="79"/>
  <c r="W41" i="79"/>
  <c r="AK41" i="79" s="1"/>
  <c r="AH41" i="79"/>
  <c r="W44" i="79"/>
  <c r="AK44" i="79" s="1"/>
  <c r="AH44"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E75" i="71"/>
  <c r="E74" i="71"/>
  <c r="D76" i="71"/>
  <c r="C79" i="71"/>
  <c r="E79" i="71"/>
  <c r="E78" i="71"/>
  <c r="D80" i="71"/>
  <c r="C83" i="71"/>
  <c r="C87" i="71"/>
  <c r="C86" i="71" s="1"/>
  <c r="D86" i="71" s="1"/>
  <c r="F28" i="71"/>
  <c r="F27" i="71"/>
  <c r="F26" i="71"/>
  <c r="AA3" i="71"/>
  <c r="D63" i="71"/>
  <c r="D83" i="71"/>
  <c r="C82" i="71"/>
  <c r="D82" i="71"/>
  <c r="D75" i="71"/>
  <c r="C74" i="71"/>
  <c r="D74" i="71" s="1"/>
  <c r="D87" i="71"/>
  <c r="D79" i="71"/>
  <c r="C78" i="71"/>
  <c r="D78" i="71" s="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8" i="82"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U31" i="21" s="1"/>
  <c r="B96" i="21"/>
  <c r="B94" i="21"/>
  <c r="J29" i="21"/>
  <c r="AC29" i="21" s="1"/>
  <c r="B92" i="21"/>
  <c r="H28" i="21" s="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s="1"/>
  <c r="Q31" i="21"/>
  <c r="Z31" i="21"/>
  <c r="Q32" i="21"/>
  <c r="Z32" i="21"/>
  <c r="Q33" i="21"/>
  <c r="Z33" i="21"/>
  <c r="Q34" i="21"/>
  <c r="Z34" i="21"/>
  <c r="J35" i="21"/>
  <c r="W35" i="21"/>
  <c r="Q35" i="21"/>
  <c r="Z35" i="21"/>
  <c r="Q36" i="21"/>
  <c r="Z36" i="21"/>
  <c r="Q37" i="21"/>
  <c r="Z37" i="21"/>
  <c r="J38" i="21"/>
  <c r="W38" i="21" s="1"/>
  <c r="Q38" i="21"/>
  <c r="Z38" i="21"/>
  <c r="J39" i="21"/>
  <c r="AC39" i="21"/>
  <c r="Q39" i="21"/>
  <c r="Z39" i="21" s="1"/>
  <c r="H40" i="21"/>
  <c r="AB40" i="21"/>
  <c r="Q40" i="21"/>
  <c r="Z40" i="21" s="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S40" i="33"/>
  <c r="W33"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H37" i="33"/>
  <c r="AB37" i="33" s="1"/>
  <c r="H15" i="33"/>
  <c r="AB15" i="33" s="1"/>
  <c r="H11" i="33"/>
  <c r="AB11" i="33" s="1"/>
  <c r="F28" i="40"/>
  <c r="AA28" i="40" s="1"/>
  <c r="AA42" i="34"/>
  <c r="S42" i="34"/>
  <c r="AC38" i="34"/>
  <c r="AA38" i="34"/>
  <c r="J37" i="34"/>
  <c r="AC37" i="34" s="1"/>
  <c r="J11" i="33"/>
  <c r="W11" i="33" s="1"/>
  <c r="S28" i="34"/>
  <c r="J44" i="34"/>
  <c r="W44" i="34" s="1"/>
  <c r="F44" i="34"/>
  <c r="AA44" i="34"/>
  <c r="J10" i="35"/>
  <c r="AC10" i="35" s="1"/>
  <c r="J14" i="21"/>
  <c r="W14" i="21" s="1"/>
  <c r="F14" i="21"/>
  <c r="S14" i="21" s="1"/>
  <c r="H14" i="21"/>
  <c r="U14" i="21"/>
  <c r="J28" i="21"/>
  <c r="W28" i="21" s="1"/>
  <c r="H30" i="21"/>
  <c r="U30" i="21" s="1"/>
  <c r="F30" i="21"/>
  <c r="S30" i="21" s="1"/>
  <c r="J30" i="21"/>
  <c r="AC30" i="21" s="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F43" i="33"/>
  <c r="AA43" i="33"/>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S11" i="39" s="1"/>
  <c r="G4" i="4"/>
  <c r="I4" i="4"/>
  <c r="A2" i="9"/>
  <c r="F61" i="43"/>
  <c r="H64" i="43" s="1"/>
  <c r="AZ497" i="3"/>
  <c r="BL549" i="3"/>
  <c r="AZ494" i="3"/>
  <c r="AZ522" i="3"/>
  <c r="G546" i="3"/>
  <c r="G524" i="3"/>
  <c r="G303" i="3"/>
  <c r="BL304" i="3"/>
  <c r="G305" i="3"/>
  <c r="BL306" i="3"/>
  <c r="BA308" i="3"/>
  <c r="AZ308" i="3" s="1"/>
  <c r="BA309" i="3"/>
  <c r="BL309" i="3"/>
  <c r="G310" i="3"/>
  <c r="BA311" i="3"/>
  <c r="G319" i="3"/>
  <c r="BL320" i="3"/>
  <c r="AZ320" i="3" s="1"/>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55"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380" i="3"/>
  <c r="AZ499" i="3"/>
  <c r="AZ509" i="3"/>
  <c r="G509" i="3"/>
  <c r="BL493" i="3"/>
  <c r="AZ493" i="3"/>
  <c r="U36" i="40"/>
  <c r="F83" i="43"/>
  <c r="H85" i="43" s="1"/>
  <c r="F50" i="43"/>
  <c r="H54" i="43" s="1"/>
  <c r="F72" i="43"/>
  <c r="H75" i="43" s="1"/>
  <c r="U17" i="39"/>
  <c r="S14" i="35"/>
  <c r="U43" i="21"/>
  <c r="U35" i="21"/>
  <c r="AC35" i="21"/>
  <c r="AZ563" i="3"/>
  <c r="AZ501" i="3"/>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AZ82"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G29" i="6"/>
  <c r="AC26" i="33"/>
  <c r="W26" i="33"/>
  <c r="W27" i="34"/>
  <c r="AC27" i="34"/>
  <c r="U34" i="36"/>
  <c r="AB33" i="36"/>
  <c r="U33" i="36"/>
  <c r="AC12" i="39"/>
  <c r="W12" i="39"/>
  <c r="AC39" i="40"/>
  <c r="W39" i="40"/>
  <c r="AZ412" i="3"/>
  <c r="AZ433" i="3"/>
  <c r="W12" i="33"/>
  <c r="AA32" i="36"/>
  <c r="S32" i="36"/>
  <c r="AZ437" i="3"/>
  <c r="AZ473" i="3"/>
  <c r="BL14" i="3"/>
  <c r="U30" i="33"/>
  <c r="AC13" i="34"/>
  <c r="AA47" i="34"/>
  <c r="W28" i="37"/>
  <c r="S19" i="39"/>
  <c r="F12" i="33"/>
  <c r="H12" i="39"/>
  <c r="AB12" i="39" s="1"/>
  <c r="F39" i="40"/>
  <c r="S39" i="40" s="1"/>
  <c r="BA14" i="3"/>
  <c r="AZ14" i="3" s="1"/>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A19"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C30" i="35"/>
  <c r="S32" i="35"/>
  <c r="AA36" i="35"/>
  <c r="S28" i="35"/>
  <c r="AB16" i="35"/>
  <c r="U22" i="35"/>
  <c r="S20" i="35"/>
  <c r="AC20" i="35"/>
  <c r="S22"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36" i="21"/>
  <c r="AB39" i="21"/>
  <c r="S39"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B14" i="21"/>
  <c r="AB46" i="21"/>
  <c r="U40" i="21"/>
  <c r="U13" i="21"/>
  <c r="AB13" i="21"/>
  <c r="S35" i="21"/>
  <c r="J37" i="21"/>
  <c r="W37" i="21" s="1"/>
  <c r="H15" i="21"/>
  <c r="U15" i="21" s="1"/>
  <c r="J17" i="21"/>
  <c r="AC17" i="21" s="1"/>
  <c r="AC19" i="21"/>
  <c r="W39" i="21"/>
  <c r="AC14" i="21"/>
  <c r="S46" i="21"/>
  <c r="H45" i="21"/>
  <c r="U45" i="21" s="1"/>
  <c r="F29" i="21"/>
  <c r="AA29" i="21" s="1"/>
  <c r="F13" i="21"/>
  <c r="AA13" i="21" s="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AC45" i="21"/>
  <c r="F10" i="21"/>
  <c r="AA10" i="21" s="1"/>
  <c r="K145" i="21"/>
  <c r="S2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12" i="33"/>
  <c r="AA12" i="33"/>
  <c r="D68" i="9"/>
  <c r="J32" i="39"/>
  <c r="W32" i="39" s="1"/>
  <c r="H32" i="39"/>
  <c r="AB32" i="39" s="1"/>
  <c r="AA32" i="39"/>
  <c r="S32" i="39"/>
  <c r="AB21" i="39"/>
  <c r="U21" i="39"/>
  <c r="AA21" i="39"/>
  <c r="S21" i="39"/>
  <c r="AC17" i="37"/>
  <c r="S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W17" i="33"/>
  <c r="J23" i="21"/>
  <c r="W23" i="21" s="1"/>
  <c r="F85" i="21"/>
  <c r="G85" i="21" s="1"/>
  <c r="H23" i="21"/>
  <c r="U23" i="21" s="1"/>
  <c r="S13" i="21"/>
  <c r="AP7" i="1"/>
  <c r="AB45" i="21"/>
  <c r="A18" i="62"/>
  <c r="B64" i="72" s="1"/>
  <c r="U32" i="39"/>
  <c r="W23" i="37"/>
  <c r="J63" i="37"/>
  <c r="K63" i="37" s="1"/>
  <c r="L63" i="37" s="1"/>
  <c r="M63" i="37" s="1"/>
  <c r="J11" i="37"/>
  <c r="AC11" i="37" s="1"/>
  <c r="H70" i="34"/>
  <c r="I70" i="34" s="1"/>
  <c r="J70" i="34" s="1"/>
  <c r="K70" i="34" s="1"/>
  <c r="L70" i="34" s="1"/>
  <c r="M70" i="34" s="1"/>
  <c r="J11" i="34"/>
  <c r="W11" i="34" s="1"/>
  <c r="W27"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6" i="73"/>
  <c r="E12" i="76"/>
  <c r="M8" i="67"/>
  <c r="E2" i="68"/>
  <c r="B9" i="76"/>
  <c r="B12" i="76"/>
  <c r="F7" i="73"/>
  <c r="F5" i="73"/>
  <c r="B8" i="76"/>
  <c r="D35" i="9"/>
  <c r="B10" i="76"/>
  <c r="B7" i="76"/>
  <c r="AO13" i="1"/>
  <c r="L47" i="67"/>
  <c r="J15" i="67"/>
  <c r="E11" i="76"/>
  <c r="D34" i="9"/>
  <c r="F20" i="31"/>
  <c r="F38" i="67"/>
  <c r="F4" i="73"/>
  <c r="E10" i="76"/>
  <c r="F13" i="67"/>
  <c r="E9" i="76"/>
  <c r="E8" i="76"/>
  <c r="F37" i="67"/>
  <c r="F3" i="73"/>
  <c r="E2" i="69"/>
  <c r="B11" i="76"/>
  <c r="C76" i="67"/>
  <c r="E13" i="76"/>
  <c r="M22" i="67"/>
  <c r="E7" i="76"/>
  <c r="F7" i="67"/>
  <c r="B13" i="76"/>
  <c r="F6" i="73"/>
  <c r="L48" i="67"/>
  <c r="W41" i="21" l="1"/>
  <c r="AB28" i="21"/>
  <c r="U28" i="21"/>
  <c r="AB31" i="21"/>
  <c r="W31" i="21"/>
  <c r="W30" i="21"/>
  <c r="F28" i="21"/>
  <c r="D58" i="82"/>
  <c r="E58" i="82" s="1"/>
  <c r="F58" i="82" s="1"/>
  <c r="G58" i="82" s="1"/>
  <c r="H58" i="82" s="1"/>
  <c r="I58" i="82" s="1"/>
  <c r="J58" i="82" s="1"/>
  <c r="K58" i="82" s="1"/>
  <c r="L58" i="82" s="1"/>
  <c r="M58" i="82" s="1"/>
  <c r="N58" i="82" s="1"/>
  <c r="O58" i="82" s="1"/>
  <c r="J7" i="82"/>
  <c r="B79" i="43"/>
  <c r="C15" i="39"/>
  <c r="AC9" i="21"/>
  <c r="AB23" i="21"/>
  <c r="AA26" i="21"/>
  <c r="AC23" i="21"/>
  <c r="AC21" i="21"/>
  <c r="W17" i="21"/>
  <c r="S17" i="21"/>
  <c r="AA15" i="21"/>
  <c r="U34" i="21"/>
  <c r="H42" i="21"/>
  <c r="U42" i="21" s="1"/>
  <c r="J42" i="21"/>
  <c r="AC42" i="21" s="1"/>
  <c r="F42" i="21"/>
  <c r="AA42" i="21" s="1"/>
  <c r="AA43" i="21"/>
  <c r="W43" i="21"/>
  <c r="AC38" i="21"/>
  <c r="AA38" i="21"/>
  <c r="U38" i="21"/>
  <c r="AB42" i="21"/>
  <c r="S37" i="21"/>
  <c r="U32" i="21"/>
  <c r="S32" i="21"/>
  <c r="M18" i="15"/>
  <c r="M18" i="67"/>
  <c r="F32" i="15"/>
  <c r="F60" i="15" s="1"/>
  <c r="F52" i="9"/>
  <c r="F30" i="68"/>
  <c r="F48" i="68" s="1"/>
  <c r="F30" i="11"/>
  <c r="C48" i="11" s="1"/>
  <c r="F54" i="9"/>
  <c r="F30" i="69"/>
  <c r="F48" i="69" s="1"/>
  <c r="F31" i="12"/>
  <c r="C21" i="68"/>
  <c r="C40" i="69"/>
  <c r="G1" i="15"/>
  <c r="B6" i="1"/>
  <c r="E6" i="1" s="1"/>
  <c r="K1" i="12"/>
  <c r="K6" i="1"/>
  <c r="G1" i="68"/>
  <c r="AA23" i="21"/>
  <c r="S23" i="21"/>
  <c r="AA36" i="33"/>
  <c r="S36" i="33"/>
  <c r="AB32" i="37"/>
  <c r="U32" i="37"/>
  <c r="D121" i="9"/>
  <c r="D7" i="52" s="1"/>
  <c r="D6" i="52"/>
  <c r="S23" i="37"/>
  <c r="AA23" i="37"/>
  <c r="AC27" i="40"/>
  <c r="W27" i="40"/>
  <c r="W20" i="36"/>
  <c r="AC20" i="36"/>
  <c r="AZ365" i="3"/>
  <c r="AC15" i="21"/>
  <c r="W15" i="21"/>
  <c r="S19" i="33"/>
  <c r="AA19" i="33"/>
  <c r="AA30" i="40"/>
  <c r="S30" i="40"/>
  <c r="AZ378" i="3"/>
  <c r="W11" i="39"/>
  <c r="AC11" i="39"/>
  <c r="U36" i="33"/>
  <c r="AB36" i="33"/>
  <c r="AB19" i="33"/>
  <c r="AC32" i="39"/>
  <c r="AB15" i="21"/>
  <c r="W25" i="33"/>
  <c r="AB9" i="21"/>
  <c r="U23" i="33"/>
  <c r="AB27" i="40"/>
  <c r="AC33" i="34"/>
  <c r="W33" i="34"/>
  <c r="S39" i="39"/>
  <c r="AA39" i="39"/>
  <c r="S40" i="34"/>
  <c r="AA40" i="34"/>
  <c r="W25" i="21"/>
  <c r="AA33" i="35"/>
  <c r="S15" i="37"/>
  <c r="AZ388" i="3"/>
  <c r="AZ345" i="3"/>
  <c r="AZ372" i="3"/>
  <c r="AZ347" i="3"/>
  <c r="AZ337" i="3"/>
  <c r="AZ376" i="3"/>
  <c r="AZ309" i="3"/>
  <c r="AZ549" i="3"/>
  <c r="AA11" i="39"/>
  <c r="AC12" i="37"/>
  <c r="U14" i="40"/>
  <c r="AZ515" i="3"/>
  <c r="AZ569" i="3"/>
  <c r="AZ571" i="3"/>
  <c r="AZ579" i="3"/>
  <c r="AZ516" i="3"/>
  <c r="AZ524" i="3"/>
  <c r="AC28" i="21"/>
  <c r="AC31" i="34"/>
  <c r="AC11" i="35"/>
  <c r="U23" i="34"/>
  <c r="AB23" i="34"/>
  <c r="W40" i="37"/>
  <c r="AZ505" i="3"/>
  <c r="AZ525" i="3"/>
  <c r="AZ529" i="3"/>
  <c r="AZ537" i="3"/>
  <c r="AZ526" i="3"/>
  <c r="AZ564" i="3"/>
  <c r="AZ580" i="3"/>
  <c r="S11" i="36"/>
  <c r="AB26" i="33"/>
  <c r="AA29" i="35"/>
  <c r="AB38" i="40"/>
  <c r="U38" i="40"/>
  <c r="AZ443" i="3"/>
  <c r="AZ366" i="3"/>
  <c r="AB35" i="34"/>
  <c r="AC15" i="37"/>
  <c r="U14" i="35"/>
  <c r="S14" i="36"/>
  <c r="S28" i="40"/>
  <c r="AC15" i="40"/>
  <c r="W24" i="36"/>
  <c r="F29" i="6"/>
  <c r="AZ391" i="3"/>
  <c r="AZ349" i="3"/>
  <c r="AZ318" i="3"/>
  <c r="AZ364" i="3"/>
  <c r="AZ329" i="3"/>
  <c r="AZ304" i="3"/>
  <c r="AZ306" i="3"/>
  <c r="AZ535" i="3"/>
  <c r="AZ577" i="3"/>
  <c r="AZ557" i="3"/>
  <c r="AZ513" i="3"/>
  <c r="AZ575" i="3"/>
  <c r="AZ528" i="3"/>
  <c r="AZ566" i="3"/>
  <c r="AZ574" i="3"/>
  <c r="AZ582" i="3"/>
  <c r="AZ540" i="3"/>
  <c r="AZ502" i="3"/>
  <c r="S45" i="33"/>
  <c r="U46" i="33"/>
  <c r="AA41" i="33"/>
  <c r="S41" i="33"/>
  <c r="BA551" i="3"/>
  <c r="AZ551" i="3" s="1"/>
  <c r="BA550" i="3"/>
  <c r="AZ550" i="3" s="1"/>
  <c r="BL548" i="3"/>
  <c r="AZ548" i="3" s="1"/>
  <c r="G399" i="3"/>
  <c r="BL400" i="3"/>
  <c r="AZ400" i="3" s="1"/>
  <c r="BL408" i="3"/>
  <c r="BL411" i="3"/>
  <c r="BL413" i="3"/>
  <c r="AZ413" i="3" s="1"/>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AZ459" i="3" s="1"/>
  <c r="G461" i="3"/>
  <c r="G462" i="3"/>
  <c r="BA465" i="3"/>
  <c r="AZ465" i="3" s="1"/>
  <c r="BA467" i="3"/>
  <c r="BA468" i="3"/>
  <c r="BL479" i="3"/>
  <c r="G481" i="3"/>
  <c r="BA482" i="3"/>
  <c r="BA484" i="3"/>
  <c r="AZ484" i="3" s="1"/>
  <c r="G489" i="3"/>
  <c r="G490" i="3"/>
  <c r="U35" i="33"/>
  <c r="BL585" i="3"/>
  <c r="AZ585" i="3" s="1"/>
  <c r="B75" i="43"/>
  <c r="H12" i="33"/>
  <c r="U12" i="33" s="1"/>
  <c r="AC31" i="35"/>
  <c r="H36" i="35"/>
  <c r="H24" i="36"/>
  <c r="G558" i="3"/>
  <c r="BL398" i="3"/>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AZ457" i="3" s="1"/>
  <c r="BL460" i="3"/>
  <c r="BL461" i="3"/>
  <c r="BL463" i="3"/>
  <c r="G465" i="3"/>
  <c r="BL469" i="3"/>
  <c r="BL476" i="3"/>
  <c r="BL477" i="3"/>
  <c r="BA487" i="3"/>
  <c r="AZ487" i="3" s="1"/>
  <c r="G323" i="3"/>
  <c r="J23" i="36"/>
  <c r="H39" i="40"/>
  <c r="BL550" i="3"/>
  <c r="AZ398" i="3"/>
  <c r="AZ415" i="3"/>
  <c r="AZ418" i="3"/>
  <c r="AZ421" i="3"/>
  <c r="AZ425" i="3"/>
  <c r="AZ435" i="3"/>
  <c r="AZ451" i="3"/>
  <c r="AZ454" i="3"/>
  <c r="AZ460" i="3"/>
  <c r="AZ461" i="3"/>
  <c r="AZ469" i="3"/>
  <c r="AZ476" i="3"/>
  <c r="BL587" i="3"/>
  <c r="AZ587" i="3" s="1"/>
  <c r="BL586" i="3"/>
  <c r="AZ586" i="3" s="1"/>
  <c r="G574" i="3"/>
  <c r="BL16" i="3"/>
  <c r="AZ16" i="3" s="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1" i="3"/>
  <c r="BL475" i="3"/>
  <c r="BA477" i="3"/>
  <c r="BA478" i="3"/>
  <c r="BA488" i="3"/>
  <c r="AZ488" i="3" s="1"/>
  <c r="BA471" i="3"/>
  <c r="AZ471" i="3" s="1"/>
  <c r="G486" i="3"/>
  <c r="G488" i="3"/>
  <c r="BL317" i="3"/>
  <c r="G318" i="3"/>
  <c r="BA349" i="3"/>
  <c r="BA353" i="3"/>
  <c r="AZ353" i="3" s="1"/>
  <c r="BL353" i="3"/>
  <c r="BA358" i="3"/>
  <c r="AZ358" i="3" s="1"/>
  <c r="BL365" i="3"/>
  <c r="BA368" i="3"/>
  <c r="AZ368" i="3" s="1"/>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80" i="3"/>
  <c r="AZ280" i="3" s="1"/>
  <c r="BA283" i="3"/>
  <c r="AZ283" i="3" s="1"/>
  <c r="BA284" i="3"/>
  <c r="AZ284" i="3" s="1"/>
  <c r="BL290" i="3"/>
  <c r="BA294" i="3"/>
  <c r="AZ294" i="3" s="1"/>
  <c r="BL301" i="3"/>
  <c r="BL302"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G281" i="3"/>
  <c r="BA282" i="3"/>
  <c r="BL282" i="3"/>
  <c r="G286" i="3"/>
  <c r="BL286" i="3"/>
  <c r="AZ286" i="3" s="1"/>
  <c r="G289" i="3"/>
  <c r="G290" i="3"/>
  <c r="BL292" i="3"/>
  <c r="G116" i="3"/>
  <c r="G295" i="3"/>
  <c r="BA296" i="3"/>
  <c r="BA301" i="3"/>
  <c r="AZ301" i="3" s="1"/>
  <c r="BA491" i="3"/>
  <c r="BL324" i="3"/>
  <c r="AZ324" i="3" s="1"/>
  <c r="BL328" i="3"/>
  <c r="AZ328" i="3" s="1"/>
  <c r="BA335" i="3"/>
  <c r="AZ335" i="3" s="1"/>
  <c r="BA339" i="3"/>
  <c r="AZ339" i="3" s="1"/>
  <c r="BA348" i="3"/>
  <c r="BA350" i="3"/>
  <c r="AZ350" i="3" s="1"/>
  <c r="BA354" i="3"/>
  <c r="BA366" i="3"/>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BL206" i="3"/>
  <c r="BA19" i="3"/>
  <c r="AZ19" i="3" s="1"/>
  <c r="G27" i="3"/>
  <c r="BA27" i="3"/>
  <c r="BL30" i="3"/>
  <c r="BL31" i="3"/>
  <c r="G37" i="3"/>
  <c r="BL40" i="3"/>
  <c r="BL41" i="3"/>
  <c r="BL45" i="3"/>
  <c r="BA48" i="3"/>
  <c r="BA49" i="3"/>
  <c r="BA51" i="3"/>
  <c r="G55" i="3"/>
  <c r="BL56" i="3"/>
  <c r="BA58" i="3"/>
  <c r="BL59" i="3"/>
  <c r="AZ59" i="3" s="1"/>
  <c r="BL60" i="3"/>
  <c r="BA61" i="3"/>
  <c r="AZ61" i="3" s="1"/>
  <c r="D31" i="71"/>
  <c r="C32" i="71"/>
  <c r="C55" i="71"/>
  <c r="D54" i="71"/>
  <c r="N67" i="71"/>
  <c r="B66" i="71"/>
  <c r="F66" i="71"/>
  <c r="Q67"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64" i="3"/>
  <c r="BA67" i="3"/>
  <c r="AZ67" i="3" s="1"/>
  <c r="BA68" i="3"/>
  <c r="BL70" i="3"/>
  <c r="BL71" i="3"/>
  <c r="BL91" i="3"/>
  <c r="BA94" i="3"/>
  <c r="AZ94" i="3" s="1"/>
  <c r="BA105" i="3"/>
  <c r="AZ105" i="3" s="1"/>
  <c r="BA114" i="3"/>
  <c r="BL123" i="3"/>
  <c r="AZ123" i="3" s="1"/>
  <c r="AZ177" i="3"/>
  <c r="AZ25" i="3"/>
  <c r="BA52" i="3"/>
  <c r="AZ52" i="3" s="1"/>
  <c r="BA53" i="3"/>
  <c r="BA54" i="3"/>
  <c r="BL57" i="3"/>
  <c r="G62" i="3"/>
  <c r="BL62" i="3"/>
  <c r="BL63" i="3"/>
  <c r="BA65" i="3"/>
  <c r="AZ65" i="3" s="1"/>
  <c r="BL69" i="3"/>
  <c r="BA72" i="3"/>
  <c r="AZ72" i="3" s="1"/>
  <c r="BA73" i="3"/>
  <c r="BA78" i="3"/>
  <c r="AZ100" i="3"/>
  <c r="C44" i="71"/>
  <c r="D43" i="71"/>
  <c r="C52" i="71"/>
  <c r="D51" i="71"/>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BL25" i="3"/>
  <c r="BL27" i="3"/>
  <c r="AZ27" i="3" s="1"/>
  <c r="BA28" i="3"/>
  <c r="AZ28" i="3" s="1"/>
  <c r="BA31" i="3"/>
  <c r="AZ31" i="3" s="1"/>
  <c r="BA32" i="3"/>
  <c r="G38" i="3"/>
  <c r="BA38" i="3"/>
  <c r="AZ38" i="3" s="1"/>
  <c r="BA41" i="3"/>
  <c r="AZ41" i="3" s="1"/>
  <c r="BA42" i="3"/>
  <c r="G47" i="3"/>
  <c r="BL48" i="3"/>
  <c r="AZ62" i="3"/>
  <c r="AZ70" i="3"/>
  <c r="C47" i="71"/>
  <c r="D47" i="71" s="1"/>
  <c r="D46" i="71"/>
  <c r="V24" i="71"/>
  <c r="E23" i="71"/>
  <c r="E22" i="71" s="1"/>
  <c r="E21" i="71" s="1"/>
  <c r="E20" i="71" s="1"/>
  <c r="BA64" i="3"/>
  <c r="AZ64" i="3" s="1"/>
  <c r="G67" i="3"/>
  <c r="BL68" i="3"/>
  <c r="BA69" i="3"/>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18" i="35"/>
  <c r="O67" i="71"/>
  <c r="AA28" i="71"/>
  <c r="AB27" i="71"/>
  <c r="AB25" i="71"/>
  <c r="X26" i="71"/>
  <c r="Y25" i="71"/>
  <c r="Z25" i="71" s="1"/>
  <c r="X38" i="71"/>
  <c r="C35"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71" i="71"/>
  <c r="C39" i="71"/>
  <c r="Y28" i="71"/>
  <c r="Z28" i="71" s="1"/>
  <c r="C28" i="71"/>
  <c r="Y37" i="71"/>
  <c r="Z37" i="71" s="1"/>
  <c r="X35" i="71"/>
  <c r="Y30" i="71"/>
  <c r="Z30" i="71" s="1"/>
  <c r="X28" i="71"/>
  <c r="X32" i="71"/>
  <c r="F40" i="71"/>
  <c r="V40" i="71" s="1"/>
  <c r="AB38" i="71"/>
  <c r="AA39" i="71"/>
  <c r="F75" i="71"/>
  <c r="F74" i="71" s="1"/>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J53" i="67"/>
  <c r="J57" i="67"/>
  <c r="J55" i="67" s="1"/>
  <c r="J58" i="67" s="1"/>
  <c r="Q50" i="67" s="1"/>
  <c r="L56" i="67"/>
  <c r="I54" i="67"/>
  <c r="F66" i="67"/>
  <c r="Q71" i="67"/>
  <c r="N59" i="67"/>
  <c r="L59" i="67"/>
  <c r="L58" i="67"/>
  <c r="M59" i="67"/>
  <c r="B13" i="70"/>
  <c r="M7" i="67"/>
  <c r="F50" i="67"/>
  <c r="D9" i="69"/>
  <c r="D9" i="68"/>
  <c r="F43" i="67"/>
  <c r="M28" i="15"/>
  <c r="D4" i="73"/>
  <c r="F42" i="15"/>
  <c r="M26" i="67"/>
  <c r="F9" i="67"/>
  <c r="M6" i="67"/>
  <c r="F42" i="67"/>
  <c r="C76" i="15"/>
  <c r="M23" i="15"/>
  <c r="M6" i="15"/>
  <c r="F26" i="67"/>
  <c r="F36" i="67"/>
  <c r="F40" i="67"/>
  <c r="F16" i="15"/>
  <c r="M9" i="15"/>
  <c r="M26" i="15"/>
  <c r="F38" i="15"/>
  <c r="M24" i="67"/>
  <c r="F40" i="15"/>
  <c r="F8" i="15"/>
  <c r="M23" i="67"/>
  <c r="M22" i="15"/>
  <c r="F36" i="15"/>
  <c r="F37" i="15"/>
  <c r="F26" i="15"/>
  <c r="M24" i="15"/>
  <c r="F7" i="15"/>
  <c r="F8" i="67"/>
  <c r="M29" i="67"/>
  <c r="F6" i="15"/>
  <c r="D5" i="73"/>
  <c r="M9" i="67"/>
  <c r="F13" i="15"/>
  <c r="F16" i="67"/>
  <c r="D7" i="73"/>
  <c r="L48" i="15"/>
  <c r="J15" i="15"/>
  <c r="F43" i="15"/>
  <c r="D3" i="73"/>
  <c r="M29" i="15"/>
  <c r="M8" i="15"/>
  <c r="M28" i="67"/>
  <c r="L47" i="15"/>
  <c r="F9" i="15"/>
  <c r="AA28" i="21" l="1"/>
  <c r="S28" i="21"/>
  <c r="F71" i="67"/>
  <c r="AP6" i="1"/>
  <c r="C36" i="69" s="1"/>
  <c r="H7" i="82"/>
  <c r="U7" i="82" s="1"/>
  <c r="F7" i="82"/>
  <c r="S7" i="82" s="1"/>
  <c r="W7" i="82"/>
  <c r="AC7" i="82"/>
  <c r="V48" i="82" s="1"/>
  <c r="I48" i="82" s="1"/>
  <c r="I52" i="82" s="1"/>
  <c r="J52" i="82" s="1"/>
  <c r="W42" i="21"/>
  <c r="S42" i="21"/>
  <c r="Q16" i="1"/>
  <c r="F27" i="69" s="1"/>
  <c r="C47" i="69" s="1"/>
  <c r="D45" i="69" s="1"/>
  <c r="M6" i="1"/>
  <c r="K16" i="1"/>
  <c r="F51" i="15"/>
  <c r="N59" i="15"/>
  <c r="M59" i="15"/>
  <c r="L59" i="15"/>
  <c r="Q74" i="15" s="1"/>
  <c r="F65" i="15"/>
  <c r="F26" i="43"/>
  <c r="F66" i="15"/>
  <c r="Q71" i="15"/>
  <c r="F64" i="67"/>
  <c r="I54" i="15"/>
  <c r="L58" i="15"/>
  <c r="Q60" i="15" s="1"/>
  <c r="J53" i="15"/>
  <c r="L56" i="15" s="1"/>
  <c r="J57" i="15"/>
  <c r="J55" i="15" s="1"/>
  <c r="J58" i="15" s="1"/>
  <c r="Q50" i="15" s="1"/>
  <c r="F68" i="15"/>
  <c r="C27" i="67"/>
  <c r="F68" i="67"/>
  <c r="F71" i="15"/>
  <c r="F64" i="15"/>
  <c r="M7" i="15"/>
  <c r="J6" i="15" s="1"/>
  <c r="J18" i="15" s="1"/>
  <c r="C6" i="15"/>
  <c r="F31" i="15"/>
  <c r="F50" i="15"/>
  <c r="C27" i="15"/>
  <c r="F51" i="67"/>
  <c r="C49" i="67" s="1"/>
  <c r="J6" i="67"/>
  <c r="J18" i="67" s="1"/>
  <c r="G26" i="43"/>
  <c r="G5" i="3"/>
  <c r="B3" i="3" s="1"/>
  <c r="E56" i="3" s="1"/>
  <c r="C70" i="71"/>
  <c r="D70" i="71" s="1"/>
  <c r="D71" i="71"/>
  <c r="O65" i="71"/>
  <c r="D66" i="71"/>
  <c r="O66" i="71"/>
  <c r="AZ108" i="3"/>
  <c r="AZ118" i="3"/>
  <c r="T52" i="71"/>
  <c r="D52" i="71"/>
  <c r="AZ197" i="3"/>
  <c r="AZ126" i="3"/>
  <c r="N65" i="71"/>
  <c r="N66" i="71"/>
  <c r="T32" i="71"/>
  <c r="D32" i="71"/>
  <c r="AZ51" i="3"/>
  <c r="AZ483" i="3"/>
  <c r="AZ274" i="3"/>
  <c r="AC23" i="36"/>
  <c r="W23" i="36"/>
  <c r="AZ408" i="3"/>
  <c r="AB36" i="35"/>
  <c r="U36" i="35"/>
  <c r="AZ84" i="3"/>
  <c r="T28" i="71"/>
  <c r="D28" i="71"/>
  <c r="U28" i="71" s="1"/>
  <c r="C27" i="71"/>
  <c r="AZ58" i="3"/>
  <c r="AZ49" i="3"/>
  <c r="C36" i="71"/>
  <c r="D35" i="71"/>
  <c r="AZ69" i="3"/>
  <c r="D44" i="71"/>
  <c r="T44" i="71"/>
  <c r="AZ53" i="3"/>
  <c r="AZ190" i="3"/>
  <c r="AZ302" i="3"/>
  <c r="AZ256" i="3"/>
  <c r="AZ491" i="3"/>
  <c r="AZ282" i="3"/>
  <c r="AZ271" i="3"/>
  <c r="AZ428" i="3"/>
  <c r="E26" i="43"/>
  <c r="C40" i="71"/>
  <c r="D39" i="71"/>
  <c r="C56" i="71"/>
  <c r="D55" i="71"/>
  <c r="U39" i="40"/>
  <c r="AB39" i="40"/>
  <c r="AB24" i="36"/>
  <c r="U24" i="36"/>
  <c r="G16" i="1"/>
  <c r="F10" i="39" s="1"/>
  <c r="S10" i="39" s="1"/>
  <c r="J7" i="37"/>
  <c r="AC7" i="37" s="1"/>
  <c r="K1" i="73"/>
  <c r="E430" i="3"/>
  <c r="E22" i="3"/>
  <c r="E223" i="3"/>
  <c r="E43" i="3"/>
  <c r="E101" i="3"/>
  <c r="E110" i="3"/>
  <c r="E266" i="3"/>
  <c r="E195" i="3"/>
  <c r="E157" i="3"/>
  <c r="E357" i="3"/>
  <c r="E71" i="3"/>
  <c r="E359" i="3"/>
  <c r="E17" i="3"/>
  <c r="E120" i="3"/>
  <c r="E394" i="3"/>
  <c r="E88" i="3"/>
  <c r="E396" i="3"/>
  <c r="E230" i="3"/>
  <c r="E395" i="3"/>
  <c r="E260" i="3"/>
  <c r="E61" i="3"/>
  <c r="E245" i="3"/>
  <c r="E293" i="3"/>
  <c r="E583" i="3"/>
  <c r="E85" i="3"/>
  <c r="E314" i="3"/>
  <c r="E45" i="3"/>
  <c r="E193" i="3"/>
  <c r="E458" i="3"/>
  <c r="E527" i="3"/>
  <c r="E571" i="3"/>
  <c r="E450" i="3"/>
  <c r="E111" i="3"/>
  <c r="E150" i="3"/>
  <c r="E318" i="3"/>
  <c r="E31" i="3"/>
  <c r="E269" i="3"/>
  <c r="E271" i="3"/>
  <c r="E515" i="3"/>
  <c r="E478" i="3"/>
  <c r="E505" i="3"/>
  <c r="AS6" i="3"/>
  <c r="E27" i="3"/>
  <c r="E162" i="3"/>
  <c r="E331" i="3"/>
  <c r="E384" i="3"/>
  <c r="E175" i="3"/>
  <c r="E530" i="3"/>
  <c r="E508" i="3"/>
  <c r="E388" i="3"/>
  <c r="E337" i="3"/>
  <c r="E143" i="3"/>
  <c r="AR6" i="3"/>
  <c r="E561" i="3"/>
  <c r="E380" i="3"/>
  <c r="E231" i="3"/>
  <c r="E261" i="3"/>
  <c r="E528" i="3"/>
  <c r="E503" i="3"/>
  <c r="E180" i="3"/>
  <c r="E301" i="3"/>
  <c r="E350" i="3"/>
  <c r="E124" i="3"/>
  <c r="E399" i="3"/>
  <c r="E568" i="3"/>
  <c r="E181" i="3"/>
  <c r="E228" i="3"/>
  <c r="E277" i="3"/>
  <c r="E560" i="3"/>
  <c r="E472" i="3"/>
  <c r="E587" i="3"/>
  <c r="E577" i="3"/>
  <c r="E106" i="3"/>
  <c r="E146" i="3"/>
  <c r="E315" i="3"/>
  <c r="E362" i="3"/>
  <c r="E368" i="3"/>
  <c r="E89" i="3"/>
  <c r="Z6" i="3"/>
  <c r="AO6" i="3"/>
  <c r="E345" i="3"/>
  <c r="E557" i="3"/>
  <c r="E28" i="3"/>
  <c r="E70" i="3"/>
  <c r="E273" i="3"/>
  <c r="E377" i="3"/>
  <c r="E217" i="3"/>
  <c r="E526" i="3"/>
  <c r="AJ6" i="3"/>
  <c r="E509" i="3"/>
  <c r="E247" i="3"/>
  <c r="E201" i="3"/>
  <c r="E570" i="3"/>
  <c r="M6" i="3"/>
  <c r="E335" i="3"/>
  <c r="E215" i="3"/>
  <c r="E278" i="3"/>
  <c r="E563" i="3"/>
  <c r="E535" i="3"/>
  <c r="E161" i="3"/>
  <c r="E263" i="3"/>
  <c r="E423" i="3"/>
  <c r="E246" i="3"/>
  <c r="X6" i="3"/>
  <c r="E148" i="3"/>
  <c r="E119"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C16" i="67"/>
  <c r="G1" i="73"/>
  <c r="AE6" i="1"/>
  <c r="C16" i="15"/>
  <c r="AA7" i="82" l="1"/>
  <c r="R48" i="82" s="1"/>
  <c r="E48" i="82" s="1"/>
  <c r="F27" i="11"/>
  <c r="C29" i="11" s="1"/>
  <c r="D27" i="11" s="1"/>
  <c r="E320" i="3"/>
  <c r="E569" i="3"/>
  <c r="E404" i="3"/>
  <c r="E274" i="3"/>
  <c r="E262" i="3"/>
  <c r="E213" i="3"/>
  <c r="E574" i="3"/>
  <c r="E546" i="3"/>
  <c r="E257" i="3"/>
  <c r="E306" i="3"/>
  <c r="E488" i="3"/>
  <c r="E47" i="3"/>
  <c r="E57" i="3"/>
  <c r="E218" i="3"/>
  <c r="E333" i="3"/>
  <c r="E83" i="3"/>
  <c r="E34" i="3"/>
  <c r="E536" i="3"/>
  <c r="D26" i="43"/>
  <c r="C25" i="43"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90" i="3"/>
  <c r="E114" i="3"/>
  <c r="E407" i="3"/>
  <c r="E125" i="3"/>
  <c r="AG6" i="3"/>
  <c r="AE6" i="3"/>
  <c r="E353" i="3"/>
  <c r="E338" i="3"/>
  <c r="E53" i="3"/>
  <c r="U6" i="3"/>
  <c r="W6" i="3"/>
  <c r="E307" i="3"/>
  <c r="E462" i="3"/>
  <c r="E323" i="3"/>
  <c r="E51" i="3"/>
  <c r="E52" i="3"/>
  <c r="E498" i="3"/>
  <c r="E356" i="3"/>
  <c r="E144"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78" i="3"/>
  <c r="E550" i="3"/>
  <c r="E130" i="3"/>
  <c r="V6" i="3"/>
  <c r="E480" i="3"/>
  <c r="E576" i="3"/>
  <c r="E344" i="3"/>
  <c r="AN6" i="3"/>
  <c r="E418" i="3"/>
  <c r="E29" i="3"/>
  <c r="E379" i="3"/>
  <c r="E288" i="3"/>
  <c r="E98" i="3"/>
  <c r="E259" i="3"/>
  <c r="E19" i="3"/>
  <c r="E65" i="3"/>
  <c r="E339" i="3"/>
  <c r="E490" i="3"/>
  <c r="E26" i="3"/>
  <c r="E160" i="3"/>
  <c r="AB7" i="82"/>
  <c r="T48" i="82" s="1"/>
  <c r="G48" i="82" s="1"/>
  <c r="G53" i="82" s="1"/>
  <c r="H53" i="82" s="1"/>
  <c r="AA10" i="39"/>
  <c r="F45" i="69"/>
  <c r="F59" i="15"/>
  <c r="Q61" i="15"/>
  <c r="C29" i="69"/>
  <c r="D27" i="69" s="1"/>
  <c r="F59" i="67"/>
  <c r="O6" i="1"/>
  <c r="P6" i="1" s="1"/>
  <c r="C13" i="12" s="1"/>
  <c r="C36" i="68"/>
  <c r="H10" i="39"/>
  <c r="U10" i="39" s="1"/>
  <c r="F10" i="40"/>
  <c r="S10" i="40" s="1"/>
  <c r="E336" i="3"/>
  <c r="E382" i="3"/>
  <c r="E117" i="3"/>
  <c r="E415" i="3"/>
  <c r="E294" i="3"/>
  <c r="E559" i="3"/>
  <c r="N6" i="3"/>
  <c r="E316" i="3"/>
  <c r="E558" i="3"/>
  <c r="E236" i="3"/>
  <c r="E73" i="3"/>
  <c r="E437" i="3"/>
  <c r="E238" i="3"/>
  <c r="E159" i="3"/>
  <c r="E237" i="3"/>
  <c r="S6" i="3"/>
  <c r="E426" i="3"/>
  <c r="E291" i="3"/>
  <c r="E367" i="3"/>
  <c r="E196" i="3"/>
  <c r="E54" i="3"/>
  <c r="E529" i="3"/>
  <c r="E461" i="3"/>
  <c r="E413" i="3"/>
  <c r="E179" i="3"/>
  <c r="E542" i="3"/>
  <c r="E436" i="3"/>
  <c r="E354" i="3"/>
  <c r="E416" i="3"/>
  <c r="E155" i="3"/>
  <c r="E50" i="3"/>
  <c r="E137" i="3"/>
  <c r="E202" i="3"/>
  <c r="E486" i="3"/>
  <c r="E232" i="3"/>
  <c r="E497" i="3"/>
  <c r="E482" i="3"/>
  <c r="E389" i="3"/>
  <c r="E358" i="3"/>
  <c r="E282" i="3"/>
  <c r="E295" i="3"/>
  <c r="E443" i="3"/>
  <c r="I6" i="3"/>
  <c r="E55" i="3"/>
  <c r="Q6" i="3"/>
  <c r="E156" i="3"/>
  <c r="E254" i="3"/>
  <c r="E169" i="3"/>
  <c r="E390" i="3"/>
  <c r="E153" i="3"/>
  <c r="E272" i="3"/>
  <c r="E432" i="3"/>
  <c r="E397" i="3"/>
  <c r="E475" i="3"/>
  <c r="E532" i="3"/>
  <c r="E122" i="3"/>
  <c r="E167" i="3"/>
  <c r="Y6" i="3"/>
  <c r="E373" i="3"/>
  <c r="E582" i="3"/>
  <c r="E209" i="3"/>
  <c r="E421" i="3"/>
  <c r="E398" i="3"/>
  <c r="E147" i="3"/>
  <c r="E455" i="3"/>
  <c r="E40" i="3"/>
  <c r="E493" i="3"/>
  <c r="E220" i="3"/>
  <c r="E405" i="3"/>
  <c r="E309" i="3"/>
  <c r="E212" i="3"/>
  <c r="E575" i="3"/>
  <c r="AP6" i="3"/>
  <c r="E192" i="3"/>
  <c r="E409" i="3"/>
  <c r="E371" i="3"/>
  <c r="E381" i="3"/>
  <c r="E198" i="3"/>
  <c r="E174" i="3"/>
  <c r="AF6" i="3"/>
  <c r="E197" i="3"/>
  <c r="E512" i="3"/>
  <c r="E13" i="3"/>
  <c r="E41" i="3"/>
  <c r="E428" i="3"/>
  <c r="E324" i="3"/>
  <c r="E80" i="3"/>
  <c r="E329" i="3"/>
  <c r="E116" i="3"/>
  <c r="E564" i="3"/>
  <c r="E507" i="3"/>
  <c r="E376" i="3"/>
  <c r="E419" i="3"/>
  <c r="E25" i="3"/>
  <c r="E226" i="3"/>
  <c r="E372" i="3"/>
  <c r="E540" i="3"/>
  <c r="E79" i="3"/>
  <c r="E194" i="3"/>
  <c r="E325" i="3"/>
  <c r="E36" i="3"/>
  <c r="E289" i="3"/>
  <c r="E20" i="3"/>
  <c r="E265" i="3"/>
  <c r="E165" i="3"/>
  <c r="E566" i="3"/>
  <c r="E348" i="3"/>
  <c r="E386" i="3"/>
  <c r="E222" i="3"/>
  <c r="R6" i="3"/>
  <c r="E554" i="3"/>
  <c r="E258" i="3"/>
  <c r="E425" i="3"/>
  <c r="E310" i="3"/>
  <c r="E68" i="3"/>
  <c r="E332" i="3"/>
  <c r="E235" i="3"/>
  <c r="E102" i="3"/>
  <c r="E173" i="3"/>
  <c r="E408" i="3"/>
  <c r="E470" i="3"/>
  <c r="E115" i="3"/>
  <c r="E412" i="3"/>
  <c r="E35"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539" i="3"/>
  <c r="E541" i="3"/>
  <c r="E417" i="3"/>
  <c r="E349" i="3"/>
  <c r="E103" i="3"/>
  <c r="E67" i="3"/>
  <c r="E283" i="3"/>
  <c r="E75" i="3"/>
  <c r="E86" i="3"/>
  <c r="E308" i="3"/>
  <c r="T6" i="3"/>
  <c r="E556" i="3"/>
  <c r="E420" i="3"/>
  <c r="E225" i="3"/>
  <c r="E190"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H10" i="40"/>
  <c r="AB10" i="40" s="1"/>
  <c r="J10" i="40"/>
  <c r="AC10" i="40" s="1"/>
  <c r="J10" i="39"/>
  <c r="W10" i="39" s="1"/>
  <c r="E3" i="6"/>
  <c r="D37" i="11" s="1"/>
  <c r="E370" i="3"/>
  <c r="E342" i="3"/>
  <c r="E78" i="3"/>
  <c r="E243" i="3"/>
  <c r="E104" i="3"/>
  <c r="E452" i="3"/>
  <c r="E360" i="3"/>
  <c r="E469" i="3"/>
  <c r="E534" i="3"/>
  <c r="E140" i="3"/>
  <c r="E287" i="3"/>
  <c r="E251" i="3"/>
  <c r="E522" i="3"/>
  <c r="E129" i="3"/>
  <c r="AL6" i="3"/>
  <c r="E494" i="3"/>
  <c r="E264" i="3"/>
  <c r="E233" i="3"/>
  <c r="E84" i="3"/>
  <c r="E300" i="3"/>
  <c r="E64" i="3"/>
  <c r="E59" i="3"/>
  <c r="E363" i="3"/>
  <c r="E95" i="3"/>
  <c r="E491" i="3"/>
  <c r="I3" i="6"/>
  <c r="E442" i="3"/>
  <c r="E286" i="3"/>
  <c r="E510" i="3"/>
  <c r="E451" i="3"/>
  <c r="E456" i="3"/>
  <c r="E525" i="3"/>
  <c r="E205" i="3"/>
  <c r="E113" i="3"/>
  <c r="E206" i="3"/>
  <c r="E383" i="3"/>
  <c r="E18" i="3"/>
  <c r="E391" i="3"/>
  <c r="E21" i="3"/>
  <c r="E63" i="3"/>
  <c r="E184" i="3"/>
  <c r="E23" i="3"/>
  <c r="E267" i="3"/>
  <c r="E467" i="3"/>
  <c r="E76" i="3"/>
  <c r="E241" i="3"/>
  <c r="E37" i="3"/>
  <c r="E435" i="3"/>
  <c r="E449" i="3"/>
  <c r="E502" i="3"/>
  <c r="E199" i="3"/>
  <c r="Q73" i="15"/>
  <c r="J5" i="67"/>
  <c r="J24" i="67" s="1"/>
  <c r="J5" i="15"/>
  <c r="J24" i="15" s="1"/>
  <c r="M17" i="15"/>
  <c r="C49" i="15"/>
  <c r="Q52" i="15"/>
  <c r="F1" i="15"/>
  <c r="R36" i="36"/>
  <c r="C26" i="71"/>
  <c r="D26" i="71" s="1"/>
  <c r="D27" i="71"/>
  <c r="E96" i="3"/>
  <c r="E42" i="3"/>
  <c r="E281" i="3"/>
  <c r="E513" i="3"/>
  <c r="E81" i="3"/>
  <c r="E355" i="3"/>
  <c r="E33" i="3"/>
  <c r="E492" i="3"/>
  <c r="E249" i="3"/>
  <c r="E46" i="3"/>
  <c r="E484" i="3"/>
  <c r="E544" i="3"/>
  <c r="E292" i="3"/>
  <c r="E152" i="3"/>
  <c r="E479" i="3"/>
  <c r="E517" i="3"/>
  <c r="E255" i="3"/>
  <c r="E466" i="3"/>
  <c r="E499" i="3"/>
  <c r="D56" i="71"/>
  <c r="T56" i="71"/>
  <c r="T36" i="71"/>
  <c r="D36"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 i="34"/>
  <c r="D3" i="33"/>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53" i="15"/>
  <c r="C10" i="15"/>
  <c r="C5" i="15" s="1"/>
  <c r="C38" i="15" s="1"/>
  <c r="M27" i="15"/>
  <c r="F41" i="67"/>
  <c r="F41" i="15"/>
  <c r="M27" i="67"/>
  <c r="C17" i="4" l="1"/>
  <c r="B4" i="52" s="1"/>
  <c r="B43" i="72" s="1"/>
  <c r="M18" i="9"/>
  <c r="B118" i="9" s="1"/>
  <c r="B1" i="74" s="1"/>
  <c r="G52" i="82"/>
  <c r="H52" i="82" s="1"/>
  <c r="L18" i="9"/>
  <c r="D14" i="12"/>
  <c r="AB10" i="39"/>
  <c r="D3" i="37"/>
  <c r="D19" i="11"/>
  <c r="C19" i="11" s="1"/>
  <c r="AC10" i="39"/>
  <c r="W10" i="40"/>
  <c r="R49" i="82"/>
  <c r="C48" i="82" s="1"/>
  <c r="U6" i="1" s="1"/>
  <c r="I53" i="82"/>
  <c r="J53" i="82" s="1"/>
  <c r="E53" i="82"/>
  <c r="F53" i="82" s="1"/>
  <c r="E52" i="82"/>
  <c r="F52" i="82" s="1"/>
  <c r="F69" i="67"/>
  <c r="AC6" i="3"/>
  <c r="H6" i="3"/>
  <c r="D116" i="43"/>
  <c r="F25" i="12"/>
  <c r="C26" i="12" s="1"/>
  <c r="D25" i="12" s="1"/>
  <c r="C48" i="15"/>
  <c r="C66" i="15" s="1"/>
  <c r="I46" i="37"/>
  <c r="J46" i="37" s="1"/>
  <c r="G54" i="34"/>
  <c r="H54" i="34"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F6" i="67"/>
  <c r="C17" i="67"/>
  <c r="C17" i="15"/>
  <c r="H22" i="6" l="1"/>
  <c r="E6" i="3"/>
  <c r="C49" i="82"/>
  <c r="B3" i="82" s="1"/>
  <c r="C6" i="67"/>
  <c r="C10" i="67" s="1"/>
  <c r="C5" i="67" s="1"/>
  <c r="C38" i="67" s="1"/>
  <c r="F31" i="67"/>
  <c r="H21" i="6"/>
  <c r="H25" i="6"/>
  <c r="R25" i="6" s="1"/>
  <c r="R12" i="1" s="1"/>
  <c r="C26" i="68"/>
  <c r="D22" i="68" s="1"/>
  <c r="C23" i="68"/>
  <c r="F41" i="68"/>
  <c r="C26" i="11"/>
  <c r="D22" i="11" s="1"/>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2" i="82" l="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C19" i="9"/>
  <c r="D2" i="37"/>
  <c r="D2" i="35"/>
  <c r="L51" i="15"/>
  <c r="D2" i="36"/>
  <c r="D2" i="34"/>
  <c r="D103" i="9" l="1"/>
  <c r="C102" i="9"/>
  <c r="D22" i="9"/>
  <c r="G19" i="9"/>
  <c r="G21" i="9" s="1"/>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11" i="1"/>
  <c r="AO7" i="1"/>
  <c r="AO9" i="1"/>
  <c r="AO12" i="1"/>
  <c r="C20" i="9"/>
  <c r="G20" i="9" l="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3" i="9" l="1"/>
  <c r="C32" i="9"/>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l="1"/>
  <c r="C78" i="9"/>
  <c r="B48" i="72"/>
  <c r="E4" i="52"/>
  <c r="D9" i="52"/>
  <c r="D123" i="9"/>
  <c r="B32" i="72"/>
  <c r="D14" i="53"/>
  <c r="B22" i="72"/>
  <c r="D6" i="53"/>
  <c r="B53" i="72"/>
  <c r="F5" i="52"/>
  <c r="F119" i="9"/>
  <c r="C86" i="9"/>
  <c r="C93" i="9"/>
  <c r="B21" i="72"/>
  <c r="D7" i="53"/>
  <c r="D54" i="9"/>
  <c r="C68" i="9"/>
  <c r="B51" i="72"/>
  <c r="F4" i="52"/>
  <c r="C6" i="74"/>
  <c r="B52" i="72"/>
  <c r="F118" i="9"/>
  <c r="G118" i="9"/>
  <c r="G4" i="52"/>
  <c r="B47" i="72"/>
  <c r="D4" i="52"/>
  <c r="C81" i="9"/>
  <c r="B49" i="72"/>
  <c r="D5" i="52"/>
  <c r="E118" i="9"/>
  <c r="D118" i="9"/>
  <c r="D119" i="9"/>
  <c r="D13" i="53"/>
  <c r="B30" i="72"/>
  <c r="D122" i="9"/>
  <c r="D8" i="52"/>
  <c r="C97" i="9"/>
  <c r="D58" i="9"/>
  <c r="D56" i="9"/>
  <c r="M54" i="9"/>
  <c r="H107" i="9"/>
  <c r="H108" i="9"/>
  <c r="D15" i="53"/>
  <c r="B31" i="72"/>
  <c r="C85" i="9"/>
  <c r="C95" i="9"/>
  <c r="C96" i="9"/>
  <c r="E96" i="9"/>
  <c r="E97" i="9"/>
  <c r="I4" i="52"/>
  <c r="C105" i="9"/>
  <c r="M48" i="9"/>
  <c r="P57" i="9"/>
  <c r="N58" i="9"/>
  <c r="H4" i="52"/>
  <c r="C104" i="9"/>
  <c r="N60" i="9"/>
  <c r="D55" i="9"/>
  <c r="M53" i="9"/>
  <c r="N57" i="9"/>
  <c r="N59" i="9"/>
  <c r="N61" i="9"/>
  <c r="C72" i="9"/>
  <c r="C79" i="9"/>
  <c r="C80" i="9"/>
  <c r="E80" i="9"/>
  <c r="E81" i="9"/>
  <c r="H102" i="9"/>
  <c r="C5" i="74"/>
  <c r="D52" i="9"/>
  <c r="D53" i="9"/>
  <c r="H119" i="9"/>
  <c r="H5" i="52"/>
  <c r="D5" i="53"/>
  <c r="B20" i="72"/>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4C1CF52-D2B2-480C-B811-F874A48F52F1}">
      <text>
        <r>
          <rPr>
            <b/>
            <sz val="9"/>
            <color indexed="81"/>
            <rFont val="宋体"/>
            <family val="3"/>
            <charset val="134"/>
          </rPr>
          <t>权重验证</t>
        </r>
        <r>
          <rPr>
            <sz val="9"/>
            <color indexed="81"/>
            <rFont val="宋体"/>
            <family val="3"/>
            <charset val="134"/>
          </rPr>
          <t xml:space="preserve">
</t>
        </r>
      </text>
    </comment>
    <comment ref="C58" authorId="1" shapeId="0" xr:uid="{5315661F-6994-4E98-87A7-5968A4D41696}">
      <text>
        <r>
          <rPr>
            <b/>
            <sz val="12"/>
            <color indexed="81"/>
            <rFont val="宋体"/>
            <family val="3"/>
            <charset val="134"/>
          </rPr>
          <t>价值时点所在月度</t>
        </r>
        <r>
          <rPr>
            <sz val="12"/>
            <color indexed="81"/>
            <rFont val="宋体"/>
            <family val="3"/>
            <charset val="134"/>
          </rPr>
          <t xml:space="preserve">
</t>
        </r>
      </text>
    </comment>
    <comment ref="B102" authorId="1" shapeId="0" xr:uid="{5A6CF612-9393-4D41-81DA-16874B86FD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<sst xmlns="http://schemas.openxmlformats.org/spreadsheetml/2006/main" count="8348" uniqueCount="3508">
  <si>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</si>
  <si>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</si>
  <si>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</si>
  <si>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</si>
  <si>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</si>
  <si>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</si>
  <si>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</si>
  <si>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</si>
  <si>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</si>
  <si>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</si>
  <si>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</si>
  <si>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</si>
  <si>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</si>
  <si>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</si>
  <si>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</si>
  <si>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</si>
  <si>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</si>
  <si>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</si>
  <si>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</si>
  <si>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</si>
  <si>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</si>
  <si>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</si>
  <si>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</si>
  <si>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</si>
  <si>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</si>
  <si>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</si>
  <si>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</si>
  <si>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</si>
  <si>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</si>
  <si>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</si>
  <si>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</si>
  <si>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</si>
  <si>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</si>
  <si>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</si>
  <si>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</si>
  <si>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</si>
  <si>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</si>
  <si>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</si>
  <si>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</si>
  <si>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</si>
  <si>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</si>
  <si>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</si>
  <si>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</si>
  <si>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</si>
  <si>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</si>
  <si>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</si>
  <si>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</si>
  <si>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</si>
  <si>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</si>
  <si>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</si>
  <si>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</si>
  <si>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</si>
  <si>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</si>
  <si>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</si>
  <si>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</si>
  <si>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</si>
  <si>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</si>
  <si>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</si>
  <si>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</si>
  <si>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</si>
  <si>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</si>
  <si>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</si>
  <si>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</si>
  <si>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</si>
  <si>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</si>
  <si>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</si>
  <si>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</si>
  <si>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</si>
  <si>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</si>
  <si>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</si>
  <si>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</si>
  <si>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</si>
  <si>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</si>
  <si>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</si>
  <si>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</si>
  <si>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</si>
  <si>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</si>
  <si>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</si>
  <si>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</si>
  <si>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</si>
  <si>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</si>
  <si>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</si>
  <si>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</si>
  <si>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</si>
  <si>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</si>
  <si>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</si>
  <si>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</si>
  <si>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</si>
  <si>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</si>
  <si>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</si>
  <si>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</si>
  <si>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</si>
  <si>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</si>
  <si>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</si>
  <si>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</si>
  <si>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</si>
  <si>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</si>
  <si>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</si>
  <si>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</si>
  <si>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</si>
  <si>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</si>
  <si>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</si>
  <si>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</si>
  <si>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</si>
  <si>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</si>
  <si>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</si>
  <si>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</si>
  <si>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</si>
  <si>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</si>
  <si>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</si>
  <si>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</si>
  <si>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</si>
  <si>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</si>
  <si>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</si>
  <si>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</si>
  <si>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</si>
  <si>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</si>
  <si>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</si>
  <si>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</si>
  <si>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</si>
  <si>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</si>
  <si>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</si>
  <si>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</si>
  <si>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</si>
  <si>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</si>
  <si>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</si>
  <si>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</si>
  <si>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</si>
  <si>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</si>
  <si>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</si>
  <si>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</si>
  <si>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</si>
  <si>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</si>
  <si>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</si>
  <si>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</si>
  <si>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</si>
  <si>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</si>
  <si>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</si>
  <si>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</si>
  <si>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</si>
  <si>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</si>
  <si>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</si>
  <si>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</si>
  <si>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</si>
  <si>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</si>
  <si>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</si>
  <si>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</si>
  <si>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</si>
  <si>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</si>
  <si>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</si>
  <si>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</si>
  <si>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</si>
  <si>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</si>
  <si>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</si>
  <si>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</si>
  <si>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</si>
  <si>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</si>
  <si>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</si>
  <si>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</si>
  <si>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</si>
  <si>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</si>
  <si>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</si>
  <si>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</si>
  <si>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</si>
  <si>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</si>
  <si>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</si>
  <si>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</si>
  <si>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</si>
  <si>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</si>
  <si>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</si>
  <si>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</si>
  <si>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</si>
  <si>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</si>
  <si>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</si>
  <si>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</si>
  <si>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</si>
  <si>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</si>
  <si>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</si>
  <si>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</si>
  <si>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</si>
  <si>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</si>
  <si>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</si>
  <si>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</si>
  <si>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</si>
  <si>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</si>
  <si>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</si>
  <si>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</si>
  <si>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</si>
  <si>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</si>
  <si>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</si>
  <si>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</si>
  <si>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</si>
  <si>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</si>
  <si>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</si>
  <si>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</si>
  <si>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</si>
  <si>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</si>
  <si>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</si>
  <si>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</si>
  <si>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</si>
  <si>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</si>
  <si>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</si>
  <si>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</si>
  <si>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</si>
  <si>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</si>
  <si>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</si>
  <si>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</si>
  <si>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</si>
  <si>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</si>
  <si>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</si>
  <si>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</si>
  <si>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</si>
  <si>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</si>
  <si>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</si>
  <si>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</si>
  <si>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</si>
  <si>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</si>
  <si>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</si>
  <si>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</si>
  <si>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</si>
  <si>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</si>
  <si>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</si>
  <si>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</si>
  <si>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</si>
  <si>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</si>
  <si>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</si>
  <si>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</si>
  <si>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</si>
  <si>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</si>
  <si>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</si>
  <si>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</si>
  <si>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</si>
  <si>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</si>
  <si>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</si>
  <si>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</si>
  <si>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</si>
  <si>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</si>
  <si>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</si>
  <si>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</si>
  <si>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</si>
  <si>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</si>
  <si>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</si>
  <si>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</si>
  <si>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</si>
  <si>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</si>
  <si>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</si>
  <si>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</si>
  <si>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</si>
  <si>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</si>
  <si>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</si>
  <si>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</si>
  <si>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</si>
  <si>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</si>
  <si>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</si>
  <si>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</si>
  <si>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</si>
  <si>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</si>
  <si>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</si>
  <si>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</si>
  <si>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</si>
  <si>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</si>
  <si>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</si>
  <si>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</si>
  <si>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</si>
  <si>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</si>
  <si>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</si>
  <si>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</si>
  <si>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</si>
  <si>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</si>
  <si>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</si>
  <si>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</si>
  <si>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</si>
  <si>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</si>
  <si>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</si>
  <si>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</si>
  <si>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</si>
  <si>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</si>
  <si>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</si>
  <si>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</si>
  <si>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</si>
  <si>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</si>
  <si>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</si>
  <si>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</si>
  <si>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</si>
  <si>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</si>
  <si>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</si>
  <si>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</si>
  <si>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</si>
  <si>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</si>
  <si>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</si>
  <si>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</si>
  <si>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</si>
  <si>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</si>
  <si>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</si>
  <si>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</si>
  <si>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</si>
  <si>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</si>
  <si>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</si>
  <si>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</si>
  <si>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</si>
  <si>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</si>
  <si>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</si>
  <si>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</si>
  <si>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</si>
  <si>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</si>
  <si>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</si>
  <si>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</si>
  <si>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</si>
  <si>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</si>
  <si>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</si>
  <si>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</si>
  <si>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</si>
  <si>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</si>
  <si>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</si>
  <si>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</si>
  <si>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</si>
  <si>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</si>
  <si>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</si>
  <si>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</si>
  <si>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</si>
  <si>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</si>
  <si>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</si>
  <si>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</si>
  <si>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</si>
  <si>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</si>
  <si>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</si>
  <si>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</si>
  <si>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</si>
  <si>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</si>
  <si>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</si>
  <si>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</si>
  <si>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</si>
  <si>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</si>
  <si>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</si>
  <si>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</si>
  <si>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</si>
  <si>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</si>
  <si>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</si>
  <si>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</si>
  <si>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</si>
  <si>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</si>
  <si>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</si>
  <si>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</si>
  <si>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</si>
  <si>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</si>
  <si>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</si>
  <si>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</si>
  <si>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</si>
  <si>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</si>
  <si>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</si>
  <si>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</si>
  <si>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</si>
  <si>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</si>
  <si>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</si>
  <si>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</si>
  <si>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</si>
  <si>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</si>
  <si>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</si>
  <si>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</si>
  <si>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</si>
  <si>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</si>
  <si>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</si>
  <si>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</si>
  <si>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</si>
  <si>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</si>
  <si>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</si>
  <si>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</si>
  <si>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</si>
  <si>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</si>
  <si>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</si>
  <si>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</si>
  <si>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</si>
  <si>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</si>
  <si>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</si>
  <si>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</si>
  <si>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</si>
  <si>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</si>
  <si>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</si>
  <si>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</si>
  <si>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</si>
  <si>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</si>
  <si>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</si>
  <si>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</si>
  <si>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</si>
  <si>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</si>
  <si>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</si>
  <si>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</si>
  <si>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</si>
  <si>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</si>
  <si>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</si>
  <si>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</si>
  <si>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</si>
  <si>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</si>
  <si>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</si>
  <si>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</si>
  <si>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</si>
  <si>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</si>
  <si>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</si>
  <si>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</si>
  <si>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</si>
  <si>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</si>
  <si>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</si>
  <si>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</si>
  <si>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</si>
  <si>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</si>
  <si>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</si>
  <si>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</si>
  <si>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</si>
  <si>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</si>
  <si>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</si>
  <si>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</si>
  <si>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</si>
  <si>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</si>
  <si>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</si>
  <si>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</si>
  <si>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</si>
  <si>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</si>
  <si>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</si>
  <si>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</si>
  <si>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</si>
  <si>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</si>
  <si>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</si>
  <si>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</si>
  <si>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</si>
  <si>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</si>
  <si>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</si>
  <si>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</si>
  <si>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</si>
  <si>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</si>
  <si>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</si>
  <si>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</si>
  <si>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</si>
  <si>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</si>
  <si>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</si>
  <si>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</si>
  <si>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</si>
  <si>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</si>
  <si>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</si>
  <si>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</si>
  <si>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</si>
  <si>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</si>
  <si>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</si>
  <si>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</si>
  <si>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</si>
  <si>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</si>
  <si>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</si>
  <si>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</si>
  <si>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</si>
  <si>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</si>
  <si>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</si>
  <si>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</si>
  <si>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</si>
  <si>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</si>
  <si>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</si>
  <si>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</si>
  <si>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</si>
  <si>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</si>
  <si>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</si>
  <si>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</si>
  <si>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</si>
  <si>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</si>
  <si>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</si>
  <si>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</si>
  <si>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</si>
  <si>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</si>
  <si>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</si>
  <si>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</si>
  <si>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</si>
  <si>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</si>
  <si>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</si>
  <si>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</si>
  <si>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</si>
  <si>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</si>
  <si>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</si>
  <si>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</si>
  <si>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</si>
  <si>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</si>
  <si>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</si>
  <si>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</si>
  <si>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</si>
  <si>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</si>
  <si>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</si>
  <si>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</si>
  <si>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</si>
  <si>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</si>
  <si>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</si>
  <si>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</si>
  <si>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</si>
  <si>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</si>
  <si>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</si>
  <si>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</si>
  <si>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</si>
  <si>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</si>
  <si>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</si>
  <si>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</si>
  <si>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</si>
  <si>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</si>
  <si>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</si>
  <si>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</si>
  <si>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</si>
  <si>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</si>
  <si>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</si>
  <si>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</si>
  <si>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</si>
  <si>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</si>
  <si>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</si>
  <si>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</si>
  <si>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</si>
  <si>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</si>
  <si>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</si>
  <si>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</si>
  <si>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</si>
  <si>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</si>
  <si>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</si>
  <si>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</si>
  <si>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</si>
  <si>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</si>
  <si>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</si>
  <si>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</si>
  <si>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</si>
  <si>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</si>
  <si>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</si>
  <si>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</si>
  <si>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</si>
  <si>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</si>
  <si>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</si>
  <si>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</si>
  <si>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</si>
  <si>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</si>
  <si>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</si>
  <si>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</si>
  <si>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</si>
  <si>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</si>
  <si>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</si>
  <si>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</si>
  <si>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</si>
  <si>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</si>
  <si>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</si>
  <si>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</si>
  <si>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</si>
  <si>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</si>
  <si>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</si>
  <si>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</si>
  <si>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</si>
  <si>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</si>
  <si>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</si>
  <si>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</si>
  <si>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</si>
  <si>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</si>
  <si>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</si>
  <si>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</si>
  <si>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</si>
  <si>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</si>
  <si>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</si>
  <si>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</si>
  <si>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</si>
  <si>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</si>
  <si>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</si>
  <si>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</si>
  <si>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</si>
  <si>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</si>
  <si>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</si>
  <si>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</si>
  <si>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</si>
  <si>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</si>
  <si>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</si>
  <si>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</si>
  <si>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</si>
  <si>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</si>
  <si>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</si>
  <si>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</si>
  <si>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</si>
  <si>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</si>
  <si>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</si>
  <si>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</si>
  <si>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</si>
  <si>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</si>
  <si>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</si>
  <si>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</si>
  <si>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</si>
  <si>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</si>
  <si>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</si>
  <si>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</si>
  <si>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</si>
  <si>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</si>
  <si>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</si>
  <si>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</si>
  <si>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</si>
  <si>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</si>
  <si>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</si>
  <si>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</si>
  <si>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</si>
  <si>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</si>
  <si>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</si>
  <si>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</si>
  <si>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</si>
  <si>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</si>
  <si>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</si>
  <si>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</si>
  <si>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</si>
  <si>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</si>
  <si>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</si>
  <si>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</si>
  <si>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</si>
  <si>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</si>
  <si>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</si>
  <si>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</si>
  <si>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</si>
  <si>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</si>
  <si>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</si>
  <si>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</si>
  <si>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</si>
  <si>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</si>
  <si>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</si>
  <si>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</si>
  <si>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</si>
  <si>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</si>
  <si>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</si>
  <si>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</si>
  <si>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</si>
  <si>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</si>
  <si>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</si>
  <si>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</si>
  <si>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</si>
  <si>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</si>
  <si>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</si>
  <si>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</si>
  <si>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</si>
  <si>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</si>
  <si>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</si>
  <si>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</si>
  <si>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</si>
  <si>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</si>
  <si>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</si>
  <si>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</si>
  <si>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</si>
  <si>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</si>
  <si>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</si>
  <si>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</si>
  <si>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</si>
  <si>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</si>
  <si>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</si>
  <si>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</si>
  <si>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</si>
  <si>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</si>
  <si>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</si>
  <si>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</si>
  <si>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</si>
  <si>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</si>
  <si>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</si>
  <si>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</si>
  <si>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</si>
  <si>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</si>
  <si>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</si>
  <si>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</si>
  <si>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</si>
  <si>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</si>
  <si>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</si>
  <si>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</si>
  <si>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</si>
  <si>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</si>
  <si>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</si>
  <si>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</si>
  <si>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</si>
  <si>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</si>
  <si>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</si>
  <si>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</si>
  <si>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</si>
  <si>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</si>
  <si>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</si>
  <si>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</si>
  <si>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</si>
  <si>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</si>
  <si>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</si>
  <si>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</si>
  <si>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</si>
  <si>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</si>
  <si>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</si>
  <si>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</si>
  <si>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</si>
  <si>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</si>
  <si>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</si>
  <si>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</si>
  <si>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</si>
  <si>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</si>
  <si>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</si>
  <si>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</si>
  <si>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</si>
  <si>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</si>
  <si>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</si>
  <si>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</si>
  <si>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</si>
  <si>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</si>
  <si>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</si>
  <si>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</si>
  <si>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</si>
  <si>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</si>
  <si>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</si>
  <si>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</si>
  <si>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</si>
  <si>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</si>
  <si>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</si>
  <si>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</si>
  <si>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</si>
  <si>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</si>
  <si>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</si>
  <si>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</si>
  <si>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</si>
  <si>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</si>
  <si>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</si>
  <si>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</si>
  <si>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</si>
  <si>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</si>
  <si>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</si>
  <si>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</si>
  <si>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</si>
  <si>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</si>
  <si>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</si>
  <si>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</si>
  <si>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</si>
  <si>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</si>
  <si>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</si>
  <si>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</si>
  <si>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</si>
  <si>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</si>
  <si>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</si>
  <si>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</si>
  <si>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</si>
  <si>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</si>
  <si>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</si>
  <si>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</si>
  <si>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</si>
  <si>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</si>
  <si>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</si>
  <si>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</si>
  <si>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</si>
  <si>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</si>
  <si>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</si>
  <si>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</si>
  <si>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</si>
  <si>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</si>
  <si>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</si>
  <si>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</si>
  <si>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</si>
  <si>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</si>
  <si>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</si>
  <si>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</si>
  <si>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</si>
  <si>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</si>
  <si>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</si>
  <si>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</si>
  <si>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</si>
  <si>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</si>
  <si>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</si>
  <si>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</si>
  <si>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</si>
  <si>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</si>
  <si>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</si>
  <si>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</si>
  <si>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</si>
  <si>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</si>
  <si>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</si>
  <si>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</si>
  <si>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</si>
  <si>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</si>
  <si>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</si>
  <si>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</si>
  <si>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</si>
  <si>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</si>
  <si>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</si>
  <si>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</si>
  <si>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</si>
  <si>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</si>
  <si>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</si>
  <si>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</si>
  <si>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</si>
  <si>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</si>
  <si>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</si>
  <si>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</si>
  <si>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</si>
  <si>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</si>
  <si>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</si>
  <si>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</si>
  <si>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</si>
  <si>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</si>
  <si>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</si>
  <si>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</si>
  <si>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</si>
  <si>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</si>
  <si>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</si>
  <si>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</si>
  <si>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</si>
  <si>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</si>
  <si>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</si>
  <si>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</si>
  <si>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</si>
  <si>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</si>
  <si>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</si>
  <si>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</si>
  <si>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</si>
  <si>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</si>
  <si>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</si>
  <si>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</si>
  <si>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</si>
  <si>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</si>
  <si>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</si>
  <si>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</si>
  <si>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</si>
  <si>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</si>
  <si>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</si>
  <si>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</si>
  <si>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</si>
  <si>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</si>
  <si>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</si>
  <si>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</si>
  <si>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</si>
  <si>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</si>
  <si>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</si>
  <si>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</si>
  <si>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</si>
  <si>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</si>
  <si>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</si>
  <si>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</si>
  <si>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</si>
  <si>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</si>
  <si>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</si>
  <si>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</si>
  <si>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</si>
  <si>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</si>
  <si>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</si>
  <si>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</si>
  <si>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</si>
  <si>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</si>
  <si>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</si>
  <si>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</si>
  <si>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</si>
  <si>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</si>
  <si>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</si>
  <si>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</si>
  <si>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</si>
  <si>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</si>
  <si>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</si>
  <si>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</si>
  <si>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</si>
  <si>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</si>
  <si>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</si>
  <si>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</si>
  <si>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</si>
  <si>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</si>
  <si>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</si>
  <si>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</si>
  <si>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</si>
  <si>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</si>
  <si>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</si>
  <si>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</si>
  <si>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</si>
  <si>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</si>
  <si>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</si>
  <si>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</si>
  <si>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</si>
  <si>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</si>
  <si>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</si>
  <si>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</si>
  <si>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</si>
  <si>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</si>
  <si>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</si>
  <si>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</si>
  <si>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</si>
  <si>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</si>
  <si>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</si>
  <si>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</si>
  <si>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</si>
  <si>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</si>
  <si>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</si>
  <si>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</si>
  <si>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</si>
  <si>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</si>
  <si>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</si>
  <si>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</si>
  <si>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</si>
  <si>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</si>
  <si>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</si>
  <si>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</si>
  <si>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</si>
  <si>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</si>
  <si>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</si>
  <si>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</si>
  <si>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</si>
  <si>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</si>
  <si>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</si>
  <si>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</si>
  <si>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</si>
  <si>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</si>
  <si>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</si>
  <si>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</si>
  <si>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</si>
  <si>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</si>
  <si>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</si>
  <si>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</si>
  <si>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</si>
  <si>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</si>
  <si>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</si>
  <si>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</si>
  <si>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</si>
  <si>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</si>
  <si>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</si>
  <si>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</si>
  <si>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</si>
  <si>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</si>
  <si>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</si>
  <si>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</si>
  <si>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</si>
  <si>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</si>
  <si>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</si>
  <si>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</si>
  <si>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</si>
  <si>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</si>
  <si>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</si>
  <si>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</si>
  <si>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</si>
  <si>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</si>
  <si>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</si>
  <si>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</si>
  <si>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</si>
  <si>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</si>
  <si>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</si>
  <si>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</si>
  <si>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</si>
  <si>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</si>
  <si>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</si>
  <si>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</si>
  <si>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</si>
  <si>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</si>
  <si>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</si>
  <si>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</si>
  <si>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</si>
  <si>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</si>
  <si>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</si>
  <si>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</si>
  <si>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</si>
  <si>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</si>
  <si>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</si>
  <si>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</si>
  <si>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</si>
  <si>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</si>
  <si>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</si>
  <si>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</si>
  <si>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</si>
  <si>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</si>
  <si>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</si>
  <si>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</si>
  <si>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</si>
  <si>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</si>
  <si>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</si>
  <si>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</si>
  <si>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</si>
  <si>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</si>
  <si>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</si>
  <si>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</si>
  <si>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</si>
  <si>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</si>
  <si>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</si>
  <si>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</si>
  <si>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</si>
  <si>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</si>
  <si>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</si>
  <si>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</si>
  <si>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</si>
  <si>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</si>
  <si>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</si>
  <si>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</si>
  <si>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</si>
  <si>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</si>
  <si>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</si>
  <si>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</si>
  <si>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</si>
  <si>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</si>
  <si>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</si>
  <si>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</si>
  <si>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</si>
  <si>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</si>
  <si>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</si>
  <si>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</si>
  <si>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</si>
  <si>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</si>
  <si>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</si>
  <si>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</si>
  <si>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</si>
  <si>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</si>
  <si>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</si>
  <si>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</si>
  <si>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</si>
  <si>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</si>
  <si>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</si>
  <si>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</si>
  <si>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</si>
  <si>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</si>
  <si>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</si>
  <si>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</si>
  <si>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</si>
  <si>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</si>
  <si>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</si>
  <si>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</si>
  <si>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</si>
  <si>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</si>
  <si>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</si>
  <si>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</si>
  <si>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</si>
  <si>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</si>
  <si>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</si>
  <si>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</si>
  <si>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</si>
  <si>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</si>
  <si>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</si>
  <si>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</si>
  <si>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</si>
  <si>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</si>
  <si>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</si>
  <si>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</si>
  <si>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</si>
  <si>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</si>
  <si>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</si>
  <si>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</si>
  <si>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</si>
  <si>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</si>
  <si>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</si>
  <si>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</si>
  <si>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</si>
  <si>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</si>
  <si>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</si>
  <si>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</si>
  <si>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</si>
  <si>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</si>
  <si>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</si>
  <si>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</si>
  <si>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</si>
  <si>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</si>
  <si>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</si>
  <si>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</si>
  <si>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</si>
  <si>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</si>
  <si>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</si>
  <si>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</si>
  <si>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</si>
  <si>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</si>
  <si>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</si>
  <si>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</si>
  <si>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</si>
  <si>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</si>
  <si>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</si>
  <si>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</si>
  <si>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</si>
  <si>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</si>
  <si>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</si>
  <si>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</si>
  <si>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</si>
  <si>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</si>
  <si>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</si>
  <si>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</si>
  <si>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</si>
  <si>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</si>
  <si>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</si>
  <si>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</si>
  <si>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</si>
  <si>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</si>
  <si>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</si>
  <si>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</si>
  <si>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</si>
  <si>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</si>
  <si>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</si>
  <si>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</si>
  <si>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</si>
  <si>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</si>
  <si>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</si>
  <si>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</si>
  <si>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</si>
  <si>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</si>
  <si>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</si>
  <si>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</si>
  <si>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</si>
  <si>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</si>
  <si>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</si>
  <si>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</si>
  <si>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</si>
  <si>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</si>
  <si>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</si>
  <si>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</si>
  <si>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</si>
  <si>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</si>
  <si>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</si>
  <si>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</si>
  <si>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</si>
  <si>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</si>
  <si>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</si>
  <si>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</si>
  <si>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</si>
  <si>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</si>
  <si>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</si>
  <si>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</si>
  <si>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</si>
  <si>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</si>
  <si>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</si>
  <si>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</si>
  <si>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</si>
  <si>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</si>
  <si>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</si>
  <si>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</si>
  <si>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</si>
  <si>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</si>
  <si>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</si>
  <si>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</si>
  <si>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</si>
  <si>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</si>
  <si>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</si>
  <si>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</si>
  <si>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</si>
  <si>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</si>
  <si>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</si>
  <si>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</si>
  <si>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</si>
  <si>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</si>
  <si>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</si>
  <si>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</si>
  <si>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</si>
  <si>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</si>
  <si>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</si>
  <si>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</si>
  <si>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</si>
  <si>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</si>
  <si>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</si>
  <si>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</si>
  <si>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</si>
  <si>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</si>
  <si>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</si>
  <si>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</si>
  <si>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</si>
  <si>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</si>
  <si>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</si>
  <si>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</si>
  <si>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</si>
  <si>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</si>
  <si>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</si>
  <si>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</si>
  <si>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</si>
  <si>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</si>
  <si>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</si>
  <si>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</si>
  <si>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</si>
  <si>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</si>
  <si>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</si>
  <si>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</si>
  <si>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</si>
  <si>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</si>
  <si>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</si>
  <si>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</si>
  <si>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</si>
  <si>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</si>
  <si>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</si>
  <si>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</si>
  <si>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</si>
  <si>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</si>
  <si>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</si>
  <si>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</si>
  <si>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</si>
  <si>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</si>
  <si>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</si>
  <si>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</si>
  <si>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</si>
  <si>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</si>
  <si>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</si>
  <si>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</si>
  <si>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</si>
  <si>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</si>
  <si>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</si>
  <si>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</si>
  <si>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</si>
  <si>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</si>
  <si>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</si>
  <si>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</si>
  <si>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</si>
  <si>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</si>
  <si>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</si>
  <si>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</si>
  <si>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</si>
  <si>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</si>
  <si>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</si>
  <si>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</si>
  <si>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</si>
  <si>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</si>
  <si>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</si>
  <si>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</si>
  <si>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</si>
  <si>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</si>
  <si>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</si>
  <si>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</si>
  <si>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</si>
  <si>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</si>
  <si>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</si>
  <si>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</si>
  <si>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</si>
  <si>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</si>
  <si>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</si>
  <si>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</si>
  <si>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</si>
  <si>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</si>
  <si>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</si>
  <si>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</si>
  <si>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</si>
  <si>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</si>
  <si>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</si>
  <si>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</si>
  <si>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</si>
  <si>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</si>
  <si>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</si>
  <si>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</si>
  <si>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</si>
  <si>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</si>
  <si>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</si>
  <si>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</si>
  <si>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</si>
  <si>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</si>
  <si>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</si>
  <si>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</si>
  <si>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</si>
  <si>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</si>
  <si>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</si>
  <si>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</si>
  <si>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</si>
  <si>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</si>
  <si>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</si>
  <si>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</si>
  <si>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</si>
  <si>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</si>
  <si>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</si>
  <si>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</si>
  <si>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</si>
  <si>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</si>
  <si>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</si>
  <si>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</si>
  <si>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</si>
  <si>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</si>
  <si>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</si>
  <si>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</si>
  <si>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</si>
  <si>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</si>
  <si>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</si>
  <si>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</si>
  <si>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</si>
  <si>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</si>
  <si>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</si>
  <si>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</si>
  <si>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</si>
  <si>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</si>
  <si>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</si>
  <si>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</si>
  <si>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</si>
  <si>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</si>
  <si>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</si>
  <si>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</si>
  <si>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</si>
  <si>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</si>
  <si>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</si>
  <si>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</si>
  <si>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</si>
  <si>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</si>
  <si>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</si>
  <si>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</si>
  <si>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</si>
  <si>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</si>
  <si>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</si>
  <si>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</si>
  <si>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</si>
  <si>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</si>
  <si>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</si>
  <si>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</si>
  <si>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</si>
  <si>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</si>
  <si>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</si>
  <si>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</si>
  <si>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</si>
  <si>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</si>
  <si>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</si>
  <si>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</si>
  <si>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</si>
  <si>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</si>
  <si>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</si>
  <si>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</si>
  <si>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</si>
  <si>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</si>
  <si>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</si>
  <si>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</si>
  <si>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</si>
  <si>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</si>
  <si>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</si>
  <si>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</si>
  <si>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</si>
  <si>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</si>
  <si>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</si>
  <si>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</si>
  <si>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</si>
  <si>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</si>
  <si>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</si>
  <si>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</si>
  <si>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</si>
  <si>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</si>
  <si>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</si>
  <si>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</si>
  <si>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</si>
  <si>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</si>
  <si>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</si>
  <si>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</si>
  <si>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</si>
  <si>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</si>
  <si>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</si>
  <si>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</si>
  <si>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</si>
  <si>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</si>
  <si>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</si>
  <si>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</si>
  <si>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</si>
  <si>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</si>
  <si>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</si>
  <si>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</si>
  <si>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</si>
  <si>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</si>
  <si>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</si>
  <si>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</si>
  <si>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</si>
  <si>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</si>
  <si>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</si>
  <si>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</si>
  <si>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</si>
  <si>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</si>
  <si>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</si>
  <si>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</si>
  <si>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</si>
  <si>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</si>
  <si>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</si>
  <si>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</si>
  <si>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</si>
  <si>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</si>
  <si>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</si>
  <si>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</si>
  <si>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</si>
  <si>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</si>
  <si>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</si>
  <si>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</si>
  <si>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</si>
  <si>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</si>
  <si>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</si>
  <si>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</si>
  <si>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</si>
  <si>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</si>
  <si>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</si>
  <si>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</si>
  <si>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</si>
  <si>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</si>
  <si>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</si>
  <si>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</si>
  <si>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</si>
  <si>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</si>
  <si>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</si>
  <si>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</si>
  <si>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</si>
  <si>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</si>
  <si>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</si>
  <si>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</si>
  <si>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</si>
  <si>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</si>
  <si>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</si>
  <si>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</si>
  <si>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</si>
  <si>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</si>
  <si>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</si>
  <si>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</si>
  <si>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</si>
  <si>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</si>
  <si>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</si>
  <si>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</si>
  <si>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</si>
  <si>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</si>
  <si>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</si>
  <si>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</si>
  <si>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</si>
  <si>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</si>
  <si>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</si>
  <si>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</si>
  <si>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</si>
  <si>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</si>
  <si>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</si>
  <si>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</si>
  <si>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</si>
  <si>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</si>
  <si>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</si>
  <si>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</si>
  <si>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</si>
  <si>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</si>
  <si>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</si>
  <si>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</si>
  <si>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</si>
  <si>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</si>
  <si>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</si>
  <si>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</si>
  <si>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</si>
  <si>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</si>
  <si>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</si>
  <si>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</si>
  <si>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</si>
  <si>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</si>
  <si>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</si>
  <si>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</si>
  <si>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</si>
  <si>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</si>
  <si>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</si>
  <si>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</si>
  <si>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</si>
  <si>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</si>
  <si>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</si>
  <si>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</si>
  <si>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</si>
  <si>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</si>
  <si>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</si>
  <si>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</si>
  <si>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</si>
  <si>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</si>
  <si>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</si>
  <si>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</si>
  <si>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</si>
  <si>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</si>
  <si>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</si>
  <si>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</si>
  <si>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</si>
  <si>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</si>
  <si>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</si>
  <si>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</si>
  <si>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</si>
  <si>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</si>
  <si>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</si>
  <si>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</si>
  <si>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</si>
  <si>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</si>
  <si>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</si>
  <si>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</si>
  <si>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</si>
  <si>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</si>
  <si>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</si>
  <si>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</si>
  <si>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</si>
  <si>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</si>
  <si>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</si>
  <si>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</si>
  <si>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</si>
  <si>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</si>
  <si>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</si>
  <si>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</si>
  <si>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</si>
  <si>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</si>
  <si>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</si>
  <si>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</si>
  <si>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</si>
  <si>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</si>
  <si>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</si>
  <si>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</si>
  <si>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</si>
  <si>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</si>
  <si>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</si>
  <si>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</si>
  <si>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</si>
  <si>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</si>
  <si>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</si>
  <si>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</si>
  <si>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</si>
  <si>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</si>
  <si>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</si>
  <si>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</si>
  <si>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</si>
  <si>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</si>
  <si>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</si>
  <si>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</si>
  <si>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</si>
  <si>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</si>
  <si>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</si>
  <si>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</si>
  <si>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</si>
  <si>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</si>
  <si>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</si>
  <si>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</si>
  <si>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</si>
  <si>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</si>
  <si>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</si>
  <si>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</si>
  <si>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</si>
  <si>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</si>
  <si>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</si>
  <si>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</si>
  <si>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</si>
  <si>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</si>
  <si>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</si>
  <si>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</si>
  <si>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</si>
  <si>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</si>
  <si>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</si>
  <si>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</si>
  <si>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</si>
  <si>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</si>
  <si>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</si>
  <si>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</si>
  <si>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</si>
  <si>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</si>
  <si>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</si>
  <si>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</si>
  <si>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</si>
  <si>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</si>
  <si>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</si>
  <si>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</si>
  <si>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</si>
  <si>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</si>
  <si>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</si>
  <si>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</si>
  <si>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</si>
  <si>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</si>
  <si>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</si>
  <si>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</si>
  <si>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</si>
  <si>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</si>
  <si>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</si>
  <si>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</si>
  <si>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</si>
  <si>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</si>
  <si>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</si>
  <si>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</si>
  <si>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</si>
  <si>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</si>
  <si>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</si>
  <si>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</si>
  <si>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</si>
  <si>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</si>
  <si>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</si>
  <si>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</si>
  <si>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</si>
  <si>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</si>
  <si>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</si>
  <si>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</si>
  <si>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</si>
  <si>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</si>
  <si>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</si>
  <si>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</si>
  <si>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</si>
  <si>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</si>
  <si>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</si>
  <si>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</si>
  <si>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</si>
  <si>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</si>
  <si>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</si>
  <si>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</si>
  <si>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</si>
  <si>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</si>
  <si>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</si>
  <si>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</si>
  <si>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</si>
  <si>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</si>
  <si>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</si>
  <si>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</si>
  <si>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</si>
  <si>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</si>
  <si>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</si>
  <si>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</si>
  <si>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</si>
  <si>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</si>
  <si>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</si>
  <si>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</si>
  <si>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</si>
  <si>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</si>
  <si>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</si>
  <si>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</si>
  <si>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</si>
  <si>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</si>
  <si>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</si>
  <si>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</si>
  <si>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</si>
  <si>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</si>
  <si>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</si>
  <si>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</si>
  <si>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</si>
  <si>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</si>
  <si>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</si>
  <si>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</si>
  <si>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</si>
  <si>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</si>
  <si>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</si>
  <si>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</si>
  <si>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</si>
  <si>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</si>
  <si>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</si>
  <si>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</si>
  <si>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</si>
  <si>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</si>
  <si>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</si>
  <si>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</si>
  <si>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</si>
  <si>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</si>
  <si>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</si>
  <si>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</si>
  <si>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</si>
  <si>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</si>
  <si>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</si>
  <si>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</si>
  <si>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</si>
  <si>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</si>
  <si>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</si>
  <si>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</si>
  <si>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</si>
  <si>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</si>
  <si>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</si>
  <si>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</si>
  <si>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</si>
  <si>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</si>
  <si>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</si>
  <si>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</si>
  <si>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</si>
  <si>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</si>
  <si>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</si>
  <si>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</si>
  <si>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</si>
  <si>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</si>
  <si>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</si>
  <si>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</si>
  <si>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</si>
  <si>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</si>
  <si>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</si>
  <si>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</si>
  <si>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</si>
  <si>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</si>
  <si>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</si>
  <si>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</si>
  <si>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</si>
  <si>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</si>
  <si>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</si>
  <si>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</si>
  <si>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</si>
  <si>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</si>
  <si>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</si>
  <si>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</si>
  <si>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</si>
  <si>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</si>
  <si>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</si>
  <si>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</si>
  <si>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</si>
  <si>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</si>
  <si>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</si>
  <si>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</si>
  <si>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</si>
  <si>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</si>
  <si>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</si>
  <si>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</si>
  <si>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</si>
  <si>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</si>
  <si>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</si>
  <si>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</si>
  <si>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</si>
  <si>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</si>
  <si>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</si>
  <si>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</si>
  <si>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</si>
  <si>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</si>
  <si>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</si>
  <si>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</si>
  <si>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</si>
  <si>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</si>
  <si>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</si>
  <si>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</si>
  <si>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</si>
  <si>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</si>
  <si>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</si>
  <si>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</si>
  <si>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</si>
  <si>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</si>
  <si>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</si>
  <si>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</si>
  <si>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</si>
  <si>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</si>
  <si>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</si>
  <si>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</si>
  <si>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</si>
  <si>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</si>
  <si>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</si>
  <si>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</si>
  <si>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</si>
  <si>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</si>
  <si>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</si>
  <si>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</si>
  <si>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</si>
  <si>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</si>
  <si>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</si>
  <si>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</si>
  <si>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</si>
  <si>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</si>
  <si>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</si>
  <si>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</si>
  <si>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</si>
  <si>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</si>
  <si>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</si>
  <si>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</si>
  <si>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</si>
  <si>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</si>
  <si>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</si>
  <si>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</si>
  <si>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</si>
  <si>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</si>
  <si>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</si>
  <si>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</si>
  <si>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</si>
  <si>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</si>
  <si>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</si>
  <si>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</si>
  <si>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</si>
  <si>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</si>
  <si>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</si>
  <si>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</si>
  <si>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</si>
  <si>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</si>
  <si>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</si>
  <si>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</si>
  <si>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</si>
  <si>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</si>
  <si>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</si>
  <si>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</si>
  <si>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</si>
  <si>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</si>
  <si>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</si>
  <si>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</si>
  <si>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</si>
  <si>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</si>
  <si>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</si>
  <si>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</si>
  <si>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</si>
  <si>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</si>
  <si>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</si>
  <si>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</si>
  <si>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</si>
  <si>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</si>
  <si>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</si>
  <si>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</si>
  <si>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</si>
  <si>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</si>
  <si>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</si>
  <si>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</si>
  <si>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</si>
  <si>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</si>
  <si>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</si>
  <si>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</si>
  <si>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</si>
  <si>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</si>
  <si>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</si>
  <si>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</si>
  <si>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</si>
  <si>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</si>
  <si>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</si>
  <si>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</si>
  <si>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</si>
  <si>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</si>
  <si>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</si>
  <si>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</si>
  <si>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</si>
  <si>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</si>
  <si>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</si>
  <si>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</si>
  <si>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</si>
  <si>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</si>
  <si>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</si>
  <si>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</si>
  <si>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</si>
  <si>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</si>
  <si>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</si>
  <si>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</si>
  <si>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</si>
  <si>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</si>
  <si>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</si>
  <si>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</si>
  <si>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</si>
  <si>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</si>
  <si>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</si>
  <si>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</si>
  <si>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</si>
  <si>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</si>
  <si>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</si>
  <si>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</si>
  <si>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</si>
  <si>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</si>
  <si>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</si>
  <si>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</si>
  <si>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</si>
  <si>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</si>
  <si>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</si>
  <si>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</si>
  <si>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</si>
  <si>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</si>
  <si>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</si>
  <si>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</si>
  <si>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</si>
  <si>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</si>
  <si>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</si>
  <si>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</si>
  <si>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</si>
  <si>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</si>
  <si>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</si>
  <si>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</si>
  <si>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</si>
  <si>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</si>
  <si>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</si>
  <si>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</si>
  <si>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</si>
  <si>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</si>
  <si>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</si>
  <si>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</si>
  <si>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</si>
  <si>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</si>
  <si>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</si>
  <si>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</si>
  <si>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</si>
  <si>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</si>
  <si>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</si>
  <si>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</si>
  <si>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</si>
  <si>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</si>
  <si>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</si>
  <si>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</si>
  <si>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</si>
  <si>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</si>
  <si>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</si>
  <si>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</si>
  <si>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</si>
  <si>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</si>
  <si>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</si>
  <si>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</si>
  <si>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</si>
  <si>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</si>
  <si>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</si>
  <si>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</si>
  <si>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</si>
  <si>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</si>
  <si>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</si>
  <si>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</si>
  <si>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</si>
  <si>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</si>
  <si>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</si>
  <si>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</si>
  <si>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</si>
  <si>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</si>
  <si>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</si>
  <si>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</si>
  <si>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</si>
  <si>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</si>
  <si>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</si>
  <si>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</si>
  <si>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</si>
  <si>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</si>
  <si>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</si>
  <si>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</si>
  <si>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</si>
  <si>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</si>
  <si>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</si>
  <si>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</si>
  <si>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</si>
  <si>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</si>
  <si>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</si>
  <si>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</si>
  <si>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</si>
  <si>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</si>
  <si>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</si>
  <si>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</si>
  <si>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</si>
  <si>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</si>
  <si>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</si>
  <si>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</si>
  <si>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</si>
  <si>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</si>
  <si>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</si>
  <si>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</si>
  <si>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</si>
  <si>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</si>
  <si>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</si>
  <si>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</si>
  <si>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</si>
  <si>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</si>
  <si>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</si>
  <si>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</si>
  <si>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</si>
  <si>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</si>
  <si>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</si>
  <si>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</si>
  <si>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</si>
  <si>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</si>
  <si>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</si>
  <si>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</si>
  <si>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</si>
  <si>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</si>
  <si>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</si>
  <si>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</si>
  <si>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</si>
  <si>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</si>
  <si>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</si>
  <si>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</si>
  <si>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</si>
  <si>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</si>
  <si>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</si>
  <si>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</si>
  <si>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</si>
  <si>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</si>
  <si>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</si>
  <si>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</si>
  <si>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</si>
  <si>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</si>
  <si>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</si>
  <si>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</si>
  <si>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</si>
  <si>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</si>
  <si>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</si>
  <si>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</si>
  <si>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</si>
  <si>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</si>
  <si>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</si>
  <si>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</si>
  <si>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</si>
  <si>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</si>
  <si>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</si>
  <si>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</si>
  <si>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</si>
  <si>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</si>
  <si>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</si>
  <si>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</si>
  <si>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</si>
  <si>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</si>
  <si>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</si>
  <si>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</si>
  <si>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</si>
  <si>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</si>
  <si>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</si>
  <si>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</si>
  <si>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</si>
  <si>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</si>
  <si>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</si>
  <si>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</si>
  <si>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</si>
  <si>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</si>
  <si>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</si>
  <si>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</si>
  <si>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</si>
  <si>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</si>
  <si>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</si>
  <si>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</si>
  <si>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</si>
  <si>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</si>
  <si>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</si>
  <si>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</si>
  <si>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</si>
  <si>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</si>
  <si>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</si>
  <si>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</si>
  <si>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</si>
  <si>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</si>
  <si>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</si>
  <si>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</si>
  <si>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</si>
  <si>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</si>
  <si>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</si>
  <si>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</si>
  <si>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</si>
  <si>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</si>
  <si>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</si>
  <si>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</si>
  <si>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</si>
  <si>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</si>
  <si>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</si>
  <si>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</si>
  <si>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</si>
  <si>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</si>
  <si>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</si>
  <si>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</si>
  <si>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</si>
  <si>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</si>
  <si>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</si>
  <si>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</si>
  <si>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</si>
  <si>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</si>
  <si>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</si>
  <si>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</si>
  <si>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</si>
  <si>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</si>
  <si>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</si>
  <si>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</si>
  <si>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</si>
  <si>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</si>
  <si>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</si>
  <si>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</si>
  <si>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</si>
  <si>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</si>
  <si>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</si>
  <si>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</si>
  <si>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</si>
  <si>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</si>
  <si>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</si>
  <si>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</si>
  <si>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</si>
  <si>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</si>
  <si>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</si>
  <si>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</si>
  <si>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</si>
  <si>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</si>
  <si>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</si>
  <si>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</si>
  <si>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</si>
  <si>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</si>
  <si>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</si>
  <si>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</si>
  <si>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</si>
  <si>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</si>
  <si>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</si>
  <si>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</si>
  <si>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</si>
  <si>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</si>
  <si>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</si>
  <si>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</si>
  <si>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</si>
  <si>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</si>
  <si>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</si>
  <si>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</si>
  <si>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</si>
  <si>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</si>
  <si>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</si>
  <si>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</si>
  <si>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</si>
  <si>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</si>
  <si>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</si>
  <si>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</si>
  <si>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</si>
  <si>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</si>
  <si>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</si>
  <si>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</si>
  <si>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</si>
  <si>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</si>
  <si>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</si>
  <si>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</si>
  <si>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</si>
  <si>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</si>
  <si>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</si>
  <si>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</si>
  <si>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</si>
  <si>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</si>
  <si>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</si>
  <si>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</si>
  <si>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</si>
  <si>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</si>
  <si>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</si>
  <si>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</si>
  <si>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</si>
  <si>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</si>
  <si>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</si>
  <si>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</si>
  <si>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</si>
  <si>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</si>
  <si>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</si>
  <si>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</si>
  <si>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</si>
  <si>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</si>
  <si>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</si>
  <si>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</si>
  <si>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</si>
  <si>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</si>
  <si>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</si>
  <si>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</si>
  <si>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</si>
  <si>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</si>
  <si>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</si>
  <si>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</si>
  <si>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</si>
  <si>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</si>
  <si>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</si>
  <si>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</si>
  <si>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</si>
  <si>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</si>
  <si>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</si>
  <si>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</si>
  <si>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</si>
  <si>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</si>
  <si>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</si>
  <si>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</si>
  <si>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</si>
  <si>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</si>
  <si>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</si>
  <si>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</si>
  <si>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</si>
  <si>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</si>
  <si>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</si>
  <si>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</si>
  <si>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</si>
  <si>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</si>
  <si>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</si>
  <si>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</si>
  <si>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</si>
  <si>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</si>
  <si>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</si>
  <si>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</si>
  <si>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</si>
  <si>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</si>
  <si>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</si>
  <si>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</si>
  <si>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</si>
  <si>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</si>
  <si>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</si>
  <si>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</si>
  <si>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</si>
  <si>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</si>
  <si>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</si>
  <si>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</si>
  <si>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</si>
  <si>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</si>
  <si>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</si>
  <si>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</si>
  <si>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</si>
  <si>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</si>
  <si>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</si>
  <si>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</si>
  <si>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</si>
  <si>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</si>
  <si>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</si>
  <si>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</si>
  <si>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</si>
  <si>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</si>
  <si>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</si>
  <si>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</si>
  <si>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</si>
  <si>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</si>
  <si>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</si>
  <si>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</si>
  <si>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</si>
  <si>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</si>
  <si>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</si>
  <si>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</si>
  <si>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</si>
  <si>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</si>
  <si>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</si>
  <si>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</si>
  <si>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</si>
  <si>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</si>
  <si>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</si>
  <si>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</si>
  <si>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</si>
  <si>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</si>
  <si>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</si>
  <si>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</si>
  <si>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</si>
  <si>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</si>
  <si>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</si>
  <si>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</si>
  <si>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</si>
  <si>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</si>
  <si>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</si>
  <si>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</si>
  <si>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</si>
  <si>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</si>
  <si>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</si>
  <si>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</si>
  <si>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</si>
  <si>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</si>
  <si>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</si>
  <si>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</si>
  <si>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</si>
  <si>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</si>
  <si>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</si>
  <si>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</si>
  <si>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</si>
  <si>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</si>
  <si>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</si>
  <si>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</si>
  <si>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</si>
  <si>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</si>
  <si>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</si>
  <si>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</si>
  <si>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</si>
  <si>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</si>
  <si>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</si>
  <si>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</si>
  <si>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</si>
  <si>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</si>
  <si>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</si>
  <si>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</si>
  <si>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</si>
  <si>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</si>
  <si>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</si>
  <si>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</si>
  <si>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</si>
  <si>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</si>
  <si>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</si>
  <si>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</si>
  <si>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</si>
  <si>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</si>
  <si>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</si>
  <si>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</si>
  <si>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</si>
  <si>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</si>
  <si>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</si>
  <si>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</si>
  <si>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</si>
  <si>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</si>
  <si>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</si>
  <si>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</si>
  <si>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</si>
  <si>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</si>
  <si>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</si>
  <si>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</si>
  <si>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</si>
  <si>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</si>
  <si>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</si>
  <si>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</si>
  <si>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</si>
  <si>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</si>
  <si>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</si>
  <si>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</si>
  <si>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</si>
  <si>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</si>
  <si>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</si>
  <si>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</si>
  <si>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</si>
  <si>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</si>
  <si>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</si>
  <si>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</si>
  <si>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</si>
  <si>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</si>
  <si>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</si>
  <si>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</si>
  <si>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</si>
  <si>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</si>
  <si>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</si>
  <si>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</si>
  <si>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</si>
  <si>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</si>
  <si>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</si>
  <si>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</si>
  <si>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</si>
  <si>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</si>
  <si>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</si>
  <si>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</si>
  <si>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</si>
  <si>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</si>
  <si>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</si>
  <si>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</si>
  <si>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</si>
  <si>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</si>
  <si>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</si>
  <si>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</si>
  <si>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</si>
  <si>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</si>
  <si>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</si>
  <si>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</si>
  <si>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</si>
  <si>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</si>
  <si>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</si>
  <si>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</si>
  <si>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</si>
  <si>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</si>
  <si>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</si>
  <si>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</si>
  <si>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</si>
  <si>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</si>
  <si>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</si>
  <si>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</si>
  <si>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</si>
  <si>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</si>
  <si>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</si>
  <si>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</si>
  <si>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</si>
  <si>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</si>
  <si>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</si>
  <si>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</si>
  <si>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</si>
  <si>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</si>
  <si>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</si>
  <si>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</si>
  <si>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</si>
  <si>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</si>
  <si>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</si>
  <si>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</si>
  <si>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</si>
  <si>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</si>
  <si>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</si>
  <si>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</si>
  <si>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</si>
  <si>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</si>
  <si>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</si>
  <si>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</si>
  <si>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</si>
  <si>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</si>
  <si>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</si>
  <si>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</si>
  <si>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</si>
  <si>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</si>
  <si>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</si>
  <si>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</si>
  <si>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</si>
  <si>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</si>
  <si>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</si>
  <si>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</si>
  <si>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</si>
  <si>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</si>
  <si>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</si>
  <si>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</si>
  <si>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</si>
  <si>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</si>
  <si>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</si>
  <si>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</si>
  <si>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</si>
  <si>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</si>
  <si>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</si>
  <si>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</si>
  <si>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</si>
  <si>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</si>
  <si>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</si>
  <si>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</si>
  <si>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</si>
  <si>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</si>
  <si>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</si>
  <si>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</si>
  <si>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</si>
  <si>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</si>
  <si>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</si>
  <si>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</si>
  <si>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</si>
  <si>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</si>
  <si>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</si>
  <si>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</si>
  <si>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</si>
  <si>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</si>
  <si>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</si>
  <si>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</si>
  <si>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</si>
  <si>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</si>
  <si>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</si>
  <si>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</si>
  <si>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</si>
  <si>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</si>
  <si>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</si>
  <si>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</si>
  <si>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</si>
  <si>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</si>
  <si>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</si>
  <si>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</si>
  <si>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</si>
  <si>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</si>
  <si>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</si>
  <si>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</si>
  <si>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</si>
  <si>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</si>
  <si>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</si>
  <si>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</si>
  <si>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</si>
  <si>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</si>
  <si>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</si>
  <si>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</si>
  <si>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</si>
  <si>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</si>
  <si>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</si>
  <si>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</si>
  <si>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</si>
  <si>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</si>
  <si>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</si>
  <si>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</si>
  <si>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</si>
  <si>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</si>
  <si>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</si>
  <si>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</si>
  <si>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</si>
  <si>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</si>
  <si>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</si>
  <si>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</si>
  <si>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</si>
  <si>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</si>
  <si>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</si>
  <si>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</si>
  <si>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</si>
  <si>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</si>
  <si>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</si>
  <si>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</si>
  <si>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</si>
  <si>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</si>
  <si>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</si>
  <si>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</si>
  <si>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</si>
  <si>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</si>
  <si>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</si>
  <si>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</si>
  <si>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</si>
  <si>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</si>
  <si>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</si>
  <si>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</si>
  <si>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</si>
  <si>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</si>
  <si>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</si>
  <si>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</si>
  <si>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</si>
  <si>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</si>
  <si>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</si>
  <si>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</si>
  <si>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</si>
  <si>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</si>
  <si>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</si>
  <si>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</si>
  <si>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</si>
  <si>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</si>
  <si>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</si>
  <si>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</si>
  <si>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</si>
  <si>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</si>
  <si>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</si>
  <si>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</si>
  <si>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</si>
  <si>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</si>
  <si>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</si>
  <si>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</si>
  <si>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</si>
  <si>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</si>
  <si>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</si>
  <si>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</si>
  <si>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</si>
  <si>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</si>
  <si>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</si>
  <si>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</si>
  <si>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</si>
  <si>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</si>
  <si>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</si>
  <si>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</si>
  <si>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</si>
  <si>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</si>
  <si>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</si>
  <si>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</si>
  <si>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</si>
  <si>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</si>
  <si>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</si>
  <si>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</si>
  <si>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</si>
  <si>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</si>
  <si>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</si>
  <si>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</si>
  <si>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</si>
  <si>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</si>
  <si>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</si>
  <si>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</si>
  <si>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</si>
  <si>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</si>
  <si>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</si>
  <si>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</si>
  <si>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</si>
  <si>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</si>
  <si>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</si>
  <si>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</si>
  <si>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</si>
  <si>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</si>
  <si>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</si>
  <si>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</si>
  <si>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</si>
  <si>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</si>
  <si>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</si>
  <si>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</si>
  <si>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</si>
  <si>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</si>
  <si>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</si>
  <si>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</si>
  <si>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</si>
  <si>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</si>
  <si>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</si>
  <si>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</si>
  <si>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</si>
  <si>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</si>
  <si>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</si>
  <si>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</si>
  <si>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</si>
  <si>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</si>
  <si>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</si>
  <si>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</si>
  <si>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</si>
  <si>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</si>
  <si>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</si>
  <si>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</si>
  <si>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</si>
  <si>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</si>
  <si>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</si>
  <si>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</si>
  <si>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</si>
  <si>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</si>
  <si>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</si>
  <si>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</si>
  <si>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</si>
  <si>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</si>
  <si>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</si>
  <si>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</si>
  <si>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</si>
  <si>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</si>
  <si>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</si>
  <si>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</si>
  <si>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</si>
  <si>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</si>
  <si>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</si>
  <si>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</si>
  <si>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</si>
  <si>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</si>
  <si>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</si>
  <si>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</si>
  <si>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</si>
  <si>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</si>
  <si>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</si>
  <si>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</si>
  <si>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</si>
  <si>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</si>
  <si>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</si>
  <si>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</si>
  <si>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</si>
  <si>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</si>
  <si>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</si>
  <si>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</si>
  <si>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</si>
  <si>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</si>
  <si>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</si>
  <si>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</si>
  <si>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</si>
  <si>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</si>
  <si>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</si>
  <si>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</si>
  <si>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</si>
  <si>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</si>
  <si>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</si>
  <si>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</si>
  <si>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</si>
  <si>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</si>
  <si>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</si>
  <si>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</si>
  <si>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</si>
  <si>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</si>
  <si>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</si>
  <si>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</si>
  <si>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</si>
  <si>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</si>
  <si>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</si>
  <si>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</si>
  <si>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</si>
  <si>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</si>
  <si>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</si>
  <si>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</si>
  <si>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</si>
  <si>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</si>
  <si>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</si>
  <si>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</si>
  <si>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</si>
  <si>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</si>
  <si>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</si>
  <si>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</si>
  <si>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</si>
  <si>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</si>
  <si>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</si>
  <si>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</si>
  <si>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</si>
  <si>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</si>
  <si>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</si>
  <si>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</si>
  <si>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</si>
  <si>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</si>
  <si>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</si>
  <si>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</si>
  <si>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</si>
  <si>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</si>
  <si>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</si>
  <si>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</si>
  <si>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</si>
  <si>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</si>
  <si>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</si>
  <si>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</si>
  <si>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</si>
  <si>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</si>
  <si>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</si>
  <si>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</si>
  <si>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</si>
  <si>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</si>
  <si>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</si>
  <si>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</si>
  <si>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</si>
  <si>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</si>
  <si>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</si>
  <si>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</si>
  <si>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</si>
  <si>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</si>
  <si>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</si>
  <si>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</si>
  <si>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</si>
  <si>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</si>
  <si>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</si>
  <si>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</si>
  <si>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</si>
  <si>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</si>
  <si>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</si>
  <si>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</si>
  <si>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</si>
  <si>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</si>
  <si>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</si>
  <si>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</si>
  <si>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</si>
  <si>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</si>
  <si>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</si>
  <si>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</si>
  <si>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</si>
  <si>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</si>
  <si>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</si>
  <si>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</si>
  <si>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</si>
  <si>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</si>
  <si>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</si>
  <si>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</si>
  <si>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</si>
  <si>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</si>
  <si>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</si>
  <si>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</si>
  <si>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</si>
  <si>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</si>
  <si>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</si>
  <si>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</si>
  <si>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</si>
  <si>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</si>
  <si>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</si>
  <si>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</si>
  <si>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</si>
  <si>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</si>
  <si>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</si>
  <si>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</si>
  <si>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</si>
  <si>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</si>
  <si>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</si>
  <si>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</si>
  <si>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</si>
  <si>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</si>
  <si>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</si>
  <si>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</si>
  <si>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</si>
  <si>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</si>
  <si>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</si>
  <si>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</si>
  <si>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</si>
  <si>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</si>
  <si>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</si>
  <si>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</si>
  <si>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</si>
  <si>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</si>
  <si>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</si>
  <si>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</si>
  <si>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</si>
  <si>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</si>
  <si>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</si>
  <si>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</si>
  <si>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</si>
  <si>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</si>
  <si>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</si>
  <si>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</si>
  <si>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</si>
  <si>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</si>
  <si>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</si>
  <si>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</si>
  <si>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</si>
  <si>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</si>
  <si>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</si>
  <si>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</si>
  <si>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</si>
  <si>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</si>
  <si>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</si>
  <si>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</si>
  <si>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</si>
  <si>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</si>
  <si>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</si>
  <si>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</si>
  <si>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</si>
  <si>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</si>
  <si>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</si>
  <si>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</si>
  <si>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</si>
  <si>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</si>
  <si>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</si>
  <si>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</si>
  <si>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</si>
  <si>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</si>
  <si>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</si>
  <si>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</si>
  <si>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</si>
  <si>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</si>
  <si>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</si>
  <si>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</si>
  <si>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</si>
  <si>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</si>
  <si>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</si>
  <si>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</si>
  <si>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</si>
  <si>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</si>
  <si>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</si>
  <si>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</si>
  <si>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</si>
  <si>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</si>
  <si>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</si>
  <si>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</si>
  <si>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</si>
  <si>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</si>
  <si>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</si>
  <si>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</si>
  <si>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</si>
  <si>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</si>
  <si>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</si>
  <si>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</si>
  <si>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</si>
  <si>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</si>
  <si>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</si>
  <si>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</si>
  <si>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</si>
  <si>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</si>
  <si>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</si>
  <si>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</si>
  <si>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</si>
  <si>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</si>
  <si>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</si>
  <si>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</si>
  <si>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</si>
  <si>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</si>
  <si>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</si>
  <si>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</si>
  <si>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</si>
  <si>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</si>
  <si>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</si>
  <si>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</si>
  <si>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</si>
  <si>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</si>
  <si>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</si>
  <si>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</si>
  <si>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</si>
  <si>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</si>
  <si>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</si>
  <si>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</si>
  <si>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</si>
  <si>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</si>
  <si>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</si>
  <si>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</si>
  <si>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</si>
  <si>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</si>
  <si>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</si>
  <si>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</si>
  <si>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</si>
  <si>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</si>
  <si>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</si>
  <si>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</si>
  <si>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</si>
  <si>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</si>
  <si>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</si>
  <si>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</si>
  <si>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</si>
  <si>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</si>
  <si>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</si>
  <si>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</si>
  <si>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</si>
  <si>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</si>
  <si>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</si>
  <si>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</si>
  <si>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</si>
  <si>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</si>
  <si>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</si>
  <si>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</si>
  <si>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</si>
  <si>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</si>
  <si>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</si>
  <si>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</si>
  <si>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</si>
  <si>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</si>
  <si>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</si>
  <si>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</si>
  <si>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</si>
  <si>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</si>
  <si>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</si>
  <si>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</si>
  <si>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</si>
  <si>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</si>
  <si>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</si>
  <si>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</si>
  <si>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</si>
  <si>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</si>
  <si>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</si>
  <si>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</si>
  <si>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</si>
  <si>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</si>
  <si>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</si>
  <si>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</si>
  <si>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</si>
  <si>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</si>
  <si>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</si>
  <si>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</si>
  <si>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</si>
  <si>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</si>
  <si>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</si>
  <si>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</si>
  <si>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</si>
  <si>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</si>
  <si>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</si>
  <si>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</si>
  <si>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</si>
  <si>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</si>
  <si>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</si>
  <si>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</si>
  <si>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</si>
  <si>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</si>
  <si>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</si>
  <si>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</si>
  <si>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</si>
  <si>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</si>
  <si>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</si>
  <si>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</si>
  <si>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</si>
  <si>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</si>
  <si>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</si>
  <si>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</si>
  <si>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</si>
  <si>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</si>
  <si>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</si>
  <si>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</si>
  <si>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</si>
  <si>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</si>
  <si>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</si>
  <si>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</si>
  <si>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</si>
  <si>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</si>
  <si>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</si>
  <si>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</si>
  <si>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</si>
  <si>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</si>
  <si>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</si>
  <si>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</si>
  <si>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</si>
  <si>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</si>
  <si>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</si>
  <si>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</si>
  <si>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</si>
  <si>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</si>
  <si>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</si>
  <si>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</si>
  <si>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</si>
  <si>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</si>
  <si>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</si>
  <si>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</si>
  <si>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</si>
  <si>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</si>
  <si>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</si>
  <si>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</si>
  <si>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</si>
  <si>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</si>
  <si>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</si>
  <si>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</si>
  <si>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</si>
  <si>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</si>
  <si>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</si>
  <si>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</si>
  <si>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</si>
  <si>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</si>
  <si>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</si>
  <si>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</si>
  <si>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</si>
  <si>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</si>
  <si>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</si>
  <si>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</si>
  <si>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</si>
  <si>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</si>
  <si>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</si>
  <si>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</si>
  <si>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</si>
  <si>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</si>
  <si>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</si>
  <si>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</si>
  <si>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</si>
  <si>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</si>
  <si>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</si>
  <si>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</si>
  <si>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</si>
  <si>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</si>
  <si>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</si>
  <si>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</si>
  <si>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</si>
  <si>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</si>
  <si>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</si>
  <si>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</si>
  <si>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</si>
  <si>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</si>
  <si>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</si>
  <si>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</si>
  <si>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</si>
  <si>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</si>
  <si>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</si>
  <si>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</si>
  <si>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</si>
  <si>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</si>
  <si>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</si>
  <si>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</si>
  <si>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</si>
  <si>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</si>
  <si>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</si>
  <si>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</si>
  <si>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</si>
  <si>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</si>
  <si>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</si>
  <si>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</si>
  <si>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</si>
  <si>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</si>
  <si>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</si>
  <si>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</si>
  <si>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</si>
  <si>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</si>
  <si>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</si>
  <si>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</si>
  <si>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</si>
  <si>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</si>
  <si>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</si>
  <si>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</si>
  <si>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</si>
  <si>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</si>
  <si>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</si>
  <si>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</si>
  <si>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</si>
  <si>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</si>
  <si>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</si>
  <si>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</si>
  <si>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</si>
  <si>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</si>
  <si>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</si>
  <si>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</si>
  <si>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</si>
  <si>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</si>
  <si>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</si>
  <si>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</si>
  <si>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</si>
  <si>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</si>
  <si>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</si>
  <si>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</si>
  <si>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</si>
  <si>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</si>
  <si>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</si>
  <si>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</si>
  <si>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</si>
  <si>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</si>
  <si>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</si>
  <si>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</si>
  <si>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</si>
  <si>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</si>
  <si>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</si>
  <si>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</si>
  <si>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</si>
  <si>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</si>
  <si>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</si>
  <si>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</si>
  <si>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</si>
  <si>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</si>
  <si>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</si>
  <si>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</si>
  <si>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</si>
  <si>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</si>
  <si>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</si>
  <si>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</si>
  <si>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</si>
  <si>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</si>
  <si>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</si>
  <si>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</si>
  <si>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</si>
  <si>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</si>
  <si>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</si>
  <si>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</si>
  <si>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</si>
  <si>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</si>
  <si>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</si>
  <si>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</si>
  <si>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</si>
  <si>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</si>
  <si>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</si>
  <si>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</si>
  <si>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</si>
  <si>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</si>
  <si>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</si>
  <si>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</si>
  <si>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</si>
  <si>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</si>
  <si>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</si>
  <si>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</si>
  <si>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</si>
  <si>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</si>
  <si>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</si>
  <si>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</si>
  <si>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</si>
  <si>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</si>
  <si>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</si>
  <si>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</si>
  <si>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</si>
  <si>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</si>
  <si>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</si>
  <si>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</si>
  <si>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</si>
  <si>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</si>
  <si>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</si>
  <si>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</si>
  <si>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</si>
  <si>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</si>
  <si>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</si>
  <si>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</si>
  <si>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</si>
  <si>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</si>
  <si>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</si>
  <si>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</si>
  <si>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</si>
  <si>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</si>
  <si>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</si>
  <si>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</si>
  <si>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</si>
  <si>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</si>
  <si>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</si>
  <si>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</si>
  <si>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</si>
  <si>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</si>
  <si>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</si>
  <si>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</si>
  <si>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</si>
  <si>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</si>
  <si>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</si>
  <si>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</si>
  <si>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</si>
  <si>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</si>
  <si>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</si>
  <si>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</si>
  <si>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</si>
  <si>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</si>
  <si>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</si>
  <si>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</si>
  <si>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</si>
  <si>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</si>
  <si>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</si>
  <si>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</si>
  <si>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</si>
  <si>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</si>
  <si>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</si>
  <si>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</si>
  <si>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</si>
  <si>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</si>
  <si>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</si>
  <si>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</si>
  <si>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</si>
  <si>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</si>
  <si>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</si>
  <si>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</si>
  <si>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</si>
  <si>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</si>
  <si>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</si>
  <si>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</si>
  <si>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</si>
  <si>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</si>
  <si>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</si>
  <si>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</si>
  <si>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</si>
  <si>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</si>
  <si>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</si>
  <si>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</si>
  <si>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</si>
  <si>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</si>
  <si>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</si>
  <si>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</si>
  <si>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</si>
  <si>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</si>
  <si>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</si>
  <si>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</si>
  <si>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</si>
  <si>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</si>
  <si>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</si>
  <si>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</si>
  <si>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</si>
  <si>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</si>
  <si>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</si>
  <si>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</si>
  <si>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</si>
  <si>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</si>
  <si>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</si>
  <si>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</si>
  <si>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</si>
  <si>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</si>
  <si>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</si>
  <si>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</si>
  <si>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</si>
  <si>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</si>
  <si>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</si>
  <si>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</si>
  <si>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</si>
  <si>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</si>
  <si>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</si>
  <si>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</si>
  <si>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</si>
  <si>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</si>
  <si>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</si>
  <si>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</si>
  <si>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</si>
  <si>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</si>
  <si>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</si>
  <si>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</si>
  <si>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</si>
  <si>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</si>
  <si>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</si>
  <si>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</si>
  <si>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</si>
  <si>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</si>
  <si>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</si>
  <si>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</si>
  <si>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</si>
  <si>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</si>
  <si>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</si>
  <si>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</si>
  <si>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</si>
  <si>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</si>
  <si>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</si>
  <si>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</si>
  <si>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</si>
  <si>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</si>
  <si>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</si>
  <si>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</si>
  <si>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</si>
  <si>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</si>
  <si>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</si>
  <si>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</si>
  <si>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</si>
  <si>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</si>
  <si>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</si>
  <si>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</si>
  <si>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</si>
  <si>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</si>
  <si>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</si>
  <si>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</si>
  <si>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</si>
  <si>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</si>
  <si>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</si>
  <si>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</si>
  <si>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</si>
  <si>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</si>
  <si>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</si>
  <si>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</si>
  <si>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</si>
  <si>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</si>
  <si>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</si>
  <si>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</si>
  <si>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</si>
  <si>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</si>
  <si>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</si>
  <si>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</si>
  <si>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</si>
  <si>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</si>
  <si>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</si>
  <si>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</si>
  <si>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</si>
  <si>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</si>
  <si>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</si>
  <si>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</si>
  <si>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</si>
  <si>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</si>
  <si>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</si>
  <si>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</si>
  <si>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</si>
  <si>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</si>
  <si>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</si>
  <si>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</si>
  <si>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</si>
  <si>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</si>
  <si>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</si>
  <si>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</si>
  <si>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</si>
  <si>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</si>
  <si>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</si>
  <si>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</si>
  <si>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</si>
  <si>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</si>
  <si>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</si>
  <si>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</si>
  <si>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</si>
  <si>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</si>
  <si>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</si>
  <si>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</si>
  <si>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</si>
  <si>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</si>
  <si>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</si>
  <si>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</si>
  <si>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</si>
  <si>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</si>
  <si>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</si>
  <si>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</si>
  <si>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</si>
  <si>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</si>
  <si>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</si>
  <si>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</si>
  <si>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</si>
  <si>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</si>
  <si>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</si>
  <si>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</si>
  <si>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</si>
  <si>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</si>
  <si>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</si>
  <si>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</si>
  <si>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</si>
  <si>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</si>
  <si>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</si>
  <si>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</si>
  <si>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</si>
  <si>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</si>
  <si>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</si>
  <si>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</si>
  <si>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</si>
  <si>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</si>
  <si>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</si>
  <si>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</si>
  <si>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</si>
  <si>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</si>
  <si>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</si>
  <si>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</si>
  <si>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</si>
  <si>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</si>
  <si>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</si>
  <si>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</si>
  <si>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</si>
  <si>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</si>
  <si>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</si>
  <si>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</si>
  <si>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</si>
  <si>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</si>
  <si>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</si>
  <si>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</si>
  <si>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</si>
  <si>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</si>
  <si>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</si>
  <si>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</si>
  <si>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</si>
  <si>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</si>
  <si>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</si>
  <si>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</si>
  <si>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</si>
  <si>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</si>
  <si>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</si>
  <si>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</si>
  <si>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</si>
  <si>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</si>
  <si>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</si>
  <si>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</si>
  <si>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</si>
  <si>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</si>
  <si>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</si>
  <si>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</si>
  <si>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</si>
  <si>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</si>
  <si>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</si>
  <si>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</si>
  <si>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</si>
  <si>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</si>
  <si>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</si>
  <si>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</si>
  <si>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</si>
  <si>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</si>
  <si>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</si>
  <si>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</si>
  <si>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</si>
  <si>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</si>
  <si>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</si>
  <si>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</si>
  <si>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</si>
  <si>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</si>
  <si>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</si>
  <si>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</si>
  <si>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</si>
  <si>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</si>
  <si>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</si>
  <si>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</si>
  <si>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</si>
  <si>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</si>
  <si>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</si>
  <si>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</si>
  <si>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</si>
  <si>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</si>
  <si>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</si>
  <si>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</si>
  <si>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</si>
  <si>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</si>
  <si>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</si>
  <si>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</si>
  <si>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</si>
  <si>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</si>
  <si>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</si>
  <si>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</si>
  <si>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</si>
  <si>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</si>
  <si>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</si>
  <si>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</si>
  <si>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</si>
  <si>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</si>
  <si>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</si>
  <si>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</si>
  <si>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</si>
  <si>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</si>
  <si>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</si>
  <si>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</si>
  <si>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</si>
  <si>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</si>
  <si>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</si>
  <si>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</si>
  <si>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</si>
  <si>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</si>
  <si>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</si>
  <si>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</si>
  <si>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</si>
  <si>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</si>
  <si>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</si>
  <si>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</si>
  <si>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</si>
  <si>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</si>
  <si>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</si>
  <si>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</si>
  <si>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</si>
  <si>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</si>
  <si>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</si>
  <si>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</si>
  <si>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</si>
  <si>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</si>
  <si>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</si>
  <si>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</si>
  <si>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</si>
  <si>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</si>
  <si>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</si>
  <si>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</si>
  <si>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</si>
  <si>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</si>
  <si>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</si>
  <si>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</si>
  <si>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</si>
  <si>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</si>
  <si>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</si>
  <si>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</si>
  <si>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</si>
  <si>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</si>
  <si>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</si>
  <si>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</si>
  <si>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</si>
  <si>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</si>
  <si>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</si>
  <si>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</si>
  <si>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</si>
  <si>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</si>
  <si>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</si>
  <si>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</si>
  <si>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</si>
  <si>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</si>
  <si>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</si>
  <si>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</si>
  <si>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</si>
  <si>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</si>
  <si>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</si>
  <si>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</si>
  <si>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</si>
  <si>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</si>
  <si>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</si>
  <si>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</si>
  <si>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</si>
  <si>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</si>
  <si>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</si>
  <si>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</si>
  <si>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</si>
  <si>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</si>
  <si>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</si>
  <si>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</si>
  <si>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</si>
  <si>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</si>
  <si>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</si>
  <si>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</si>
  <si>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</si>
  <si>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</si>
  <si>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</si>
  <si>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</si>
  <si>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</si>
  <si>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</si>
  <si>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</si>
  <si>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</si>
  <si>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</si>
  <si>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</si>
  <si>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</si>
  <si>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</si>
  <si>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</si>
  <si>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</si>
  <si>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</si>
  <si>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</si>
  <si>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</si>
  <si>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</si>
  <si>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</si>
  <si>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</si>
  <si>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</si>
  <si>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</si>
  <si>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</si>
  <si>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</si>
  <si>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</si>
  <si>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</si>
  <si>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</si>
  <si>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</si>
  <si>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</si>
  <si>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</si>
  <si>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</si>
  <si>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</si>
  <si>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</si>
  <si>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</si>
  <si>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</si>
  <si>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</si>
  <si>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</si>
  <si>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</si>
  <si>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</si>
  <si>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</si>
  <si>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核定资产</t>
  </si>
  <si>
    <t>房地产市场价值</t>
  </si>
  <si>
    <t>北京市</t>
  </si>
  <si>
    <t>自然人</t>
  </si>
  <si>
    <t>通路</t>
  </si>
  <si>
    <t>通电</t>
  </si>
  <si>
    <t>通讯</t>
  </si>
  <si>
    <t>通上水</t>
  </si>
  <si>
    <t>通下水</t>
  </si>
  <si>
    <t>燃气</t>
  </si>
  <si>
    <t>平整</t>
  </si>
  <si>
    <t>居住项目</t>
  </si>
  <si>
    <t>低密度住宅</t>
  </si>
  <si>
    <t>否</t>
  </si>
  <si>
    <t>现房</t>
  </si>
  <si>
    <t>是</t>
  </si>
  <si>
    <t>地上</t>
  </si>
  <si>
    <t>住宅</t>
    <phoneticPr fontId="7" type="noConversion"/>
  </si>
  <si>
    <t>成新度</t>
  </si>
  <si>
    <t>收益法 (元)</t>
  </si>
  <si>
    <t>南北</t>
  </si>
  <si>
    <t>南北</t>
    <phoneticPr fontId="134" type="noConversion"/>
  </si>
  <si>
    <t>扬州水乡</t>
    <phoneticPr fontId="3" type="noConversion"/>
  </si>
  <si>
    <t>单套模式</t>
  </si>
  <si>
    <t>售价</t>
  </si>
  <si>
    <t>押一</t>
  </si>
  <si>
    <t>精装修</t>
  </si>
  <si>
    <t>精装修</t>
    <phoneticPr fontId="134" type="noConversion"/>
  </si>
  <si>
    <t>普通装修</t>
    <phoneticPr fontId="134" type="noConversion"/>
  </si>
  <si>
    <t>毛坯</t>
    <phoneticPr fontId="134" type="noConversion"/>
  </si>
  <si>
    <t>精装修</t>
    <phoneticPr fontId="24" type="noConversion"/>
  </si>
  <si>
    <t>普通装修</t>
    <phoneticPr fontId="24" type="noConversion"/>
  </si>
  <si>
    <t>物业公司管理</t>
  </si>
  <si>
    <t>物业公司管理</t>
    <phoneticPr fontId="24" type="noConversion"/>
  </si>
  <si>
    <t>较好</t>
  </si>
  <si>
    <t>独栋</t>
  </si>
  <si>
    <t>独栋</t>
    <phoneticPr fontId="24" type="noConversion"/>
  </si>
  <si>
    <t>钢混</t>
  </si>
  <si>
    <t>钢混</t>
    <phoneticPr fontId="24" type="noConversion"/>
  </si>
  <si>
    <t>七通</t>
  </si>
  <si>
    <t>南北</t>
    <phoneticPr fontId="24" type="noConversion"/>
  </si>
  <si>
    <t>独栋</t>
    <phoneticPr fontId="134" type="noConversion"/>
  </si>
  <si>
    <t>物业公司管理</t>
    <phoneticPr fontId="134" type="noConversion"/>
  </si>
  <si>
    <t>钢混</t>
    <phoneticPr fontId="134" type="noConversion"/>
  </si>
  <si>
    <t>非生产用房</t>
  </si>
  <si>
    <t>自定义容积率</t>
  </si>
  <si>
    <t>有</t>
  </si>
  <si>
    <t>按公示增长率计算</t>
  </si>
  <si>
    <t>中心城区</t>
  </si>
  <si>
    <t>未包含在土地购买价格中</t>
  </si>
  <si>
    <t>已包含在土地取得成本中</t>
  </si>
  <si>
    <t>比较法-住宅</t>
  </si>
  <si>
    <t>住宅</t>
    <phoneticPr fontId="24" type="noConversion"/>
  </si>
  <si>
    <t>正常</t>
  </si>
  <si>
    <t>估价对象周边有CBD玲珑墅、朗悦家园、朝丰家园等住宅小区，居住社区发展完善程度较高，居住社区成熟度较好。</t>
    <phoneticPr fontId="40" type="noConversion"/>
  </si>
  <si>
    <t>估价对象距离地铁7号线郎辛庄站约100米，周边有411路、457路、专170、专171等公交通过并设站，综合评价交通便捷度较好。</t>
    <phoneticPr fontId="40" type="noConversion"/>
  </si>
  <si>
    <t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t>
    <phoneticPr fontId="40" type="noConversion"/>
  </si>
  <si>
    <t>周边有通惠河灌渠、马家湾湿地公园、聿博文体公园等自然人文环境，综合评价环境状况较好。</t>
    <phoneticPr fontId="40" type="noConversion"/>
  </si>
  <si>
    <t>北京市丰台区</t>
  </si>
  <si>
    <t>丰葆路98号院三区35号楼-2至3层103</t>
  </si>
  <si>
    <t>中海九号公馆</t>
  </si>
  <si>
    <t>范明宇</t>
  </si>
  <si>
    <t>商品房</t>
  </si>
  <si>
    <t>住宅、设备用房、住宅车库</t>
  </si>
  <si>
    <t>3（-2）</t>
  </si>
  <si>
    <t>丰葆路98号院三区29号楼-2至3层102</t>
  </si>
  <si>
    <t>4（-2）</t>
    <phoneticPr fontId="134" type="noConversion"/>
  </si>
  <si>
    <t>土地成交一览表</t>
  </si>
  <si>
    <t>无</t>
  </si>
  <si>
    <t>500-1000米</t>
  </si>
  <si>
    <t>链家案例</t>
    <phoneticPr fontId="134" type="noConversion"/>
  </si>
  <si>
    <t>与级别开发程度一致</t>
  </si>
  <si>
    <t>好</t>
  </si>
  <si>
    <t>中海九号公馆</t>
    <phoneticPr fontId="3" type="noConversion"/>
  </si>
  <si>
    <t>联排</t>
  </si>
  <si>
    <t>联排</t>
    <phoneticPr fontId="24" type="noConversion"/>
  </si>
  <si>
    <r>
      <t>高/</t>
    </r>
    <r>
      <rPr>
        <sz val="11"/>
        <color theme="1"/>
        <rFont val="宋体"/>
        <family val="3"/>
        <charset val="134"/>
        <scheme val="minor"/>
      </rPr>
      <t>18</t>
    </r>
    <phoneticPr fontId="134" type="noConversion"/>
  </si>
  <si>
    <r>
      <t>中/</t>
    </r>
    <r>
      <rPr>
        <sz val="11"/>
        <color theme="1"/>
        <rFont val="宋体"/>
        <family val="3"/>
        <charset val="134"/>
        <scheme val="minor"/>
      </rPr>
      <t>18</t>
    </r>
    <phoneticPr fontId="134" type="noConversion"/>
  </si>
  <si>
    <t>南北西</t>
    <phoneticPr fontId="134" type="noConversion"/>
  </si>
  <si>
    <r>
      <t>低/</t>
    </r>
    <r>
      <rPr>
        <sz val="11"/>
        <color theme="1"/>
        <rFont val="宋体"/>
        <family val="3"/>
        <charset val="134"/>
        <scheme val="minor"/>
      </rPr>
      <t>18</t>
    </r>
    <phoneticPr fontId="134" type="noConversion"/>
  </si>
  <si>
    <t>高/18</t>
    <phoneticPr fontId="134" type="noConversion"/>
  </si>
  <si>
    <t>中/18</t>
    <phoneticPr fontId="134" type="noConversion"/>
  </si>
  <si>
    <t>东南北</t>
    <phoneticPr fontId="134" type="noConversion"/>
  </si>
  <si>
    <t>低/18</t>
    <phoneticPr fontId="134" type="noConversion"/>
  </si>
  <si>
    <t>精装</t>
    <phoneticPr fontId="134" type="noConversion"/>
  </si>
  <si>
    <t>临街</t>
    <phoneticPr fontId="134" type="noConversion"/>
  </si>
  <si>
    <t>房屋所有权人将估价对象1至3层东侧向外扩建，形成3室，未计入户型中，可恢复原状。</t>
    <phoneticPr fontId="134" type="noConversion"/>
  </si>
  <si>
    <t>①地下三层与估价对象相连，为开发商赠送，不包括在证载的建筑面积范围内，户型为2储藏间；②估价对象1层南侧层高约为6米左右，有1夹层，夹层户型为1室1卫1衣帽间，与2层相连，该夹层部分未计入户型中。</t>
    <phoneticPr fontId="134" type="noConversion"/>
  </si>
  <si>
    <t>32号楼101：①1层南侧层高约为6米左右，有1夹层，与2层相连；②3层层高约为4.5-5米左右，有1阁楼。</t>
    <phoneticPr fontId="134" type="noConversion"/>
  </si>
  <si>
    <t>挂牌</t>
  </si>
  <si>
    <t>挂牌</t>
    <phoneticPr fontId="134" type="noConversion"/>
  </si>
  <si>
    <t>租金</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</si>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</sst>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u/>
      <sz val="11"/>
      <color theme="10"/>
      <name val="宋体"/>
      <family val="3"/>
      <charset val="134"/>
      <scheme val="minor"/>
    </font>
    <font>
      <sz val="11"/>
      <color rgb="FFFF0000"/>
      <name val="宋体"/>
      <family val="3"/>
      <charset val="134"/>
      <scheme val="minor"/>
    </font>
    <font>
      <sz val="9"/>
      <color rgb="FFFF0000"/>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1"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72" fillId="0" borderId="0" xfId="19">
      <alignment vertical="center"/>
    </xf>
    <xf numFmtId="0" fontId="271" fillId="22" borderId="1" xfId="0" applyFont="1" applyFill="1" applyBorder="1" applyAlignment="1">
      <alignment horizontal="center" vertical="center" wrapText="1"/>
    </xf>
    <xf numFmtId="31" fontId="271" fillId="22" borderId="1" xfId="0" applyNumberFormat="1" applyFont="1" applyFill="1" applyBorder="1" applyAlignment="1">
      <alignment horizontal="center" vertical="center" wrapText="1"/>
    </xf>
    <xf numFmtId="0" fontId="95" fillId="23" borderId="1" xfId="0" applyFont="1" applyFill="1" applyBorder="1">
      <alignment vertical="center"/>
    </xf>
    <xf numFmtId="0" fontId="0" fillId="23" borderId="1" xfId="0" applyFill="1" applyBorder="1">
      <alignment vertical="center"/>
    </xf>
    <xf numFmtId="0" fontId="271" fillId="23" borderId="1" xfId="0" applyFont="1" applyFill="1" applyBorder="1" applyAlignment="1">
      <alignment horizontal="center" vertical="center" wrapText="1"/>
    </xf>
    <xf numFmtId="31" fontId="271" fillId="23" borderId="1" xfId="0" applyNumberFormat="1" applyFont="1" applyFill="1" applyBorder="1" applyAlignment="1">
      <alignment horizontal="center" vertical="center" wrapText="1"/>
    </xf>
    <xf numFmtId="0" fontId="273" fillId="0" borderId="0" xfId="0" applyFont="1">
      <alignment vertical="center"/>
    </xf>
    <xf numFmtId="14" fontId="95" fillId="0" borderId="0" xfId="0" applyNumberFormat="1" applyFont="1">
      <alignment vertical="center"/>
    </xf>
    <xf numFmtId="0" fontId="274" fillId="22" borderId="1" xfId="0" applyFont="1" applyFill="1" applyBorder="1" applyAlignment="1">
      <alignment horizontal="center" vertical="center" wrapText="1"/>
    </xf>
    <xf numFmtId="31" fontId="274" fillId="22" borderId="1" xfId="0" applyNumberFormat="1" applyFont="1" applyFill="1" applyBorder="1" applyAlignment="1">
      <alignment horizontal="center" vertical="center" wrapText="1"/>
    </xf>
    <xf numFmtId="0" fontId="273" fillId="23" borderId="1" xfId="0" applyFont="1" applyFill="1" applyBorder="1">
      <alignment vertical="center"/>
    </xf>
    <xf numFmtId="0" fontId="274" fillId="23" borderId="1" xfId="0" applyFont="1" applyFill="1" applyBorder="1" applyAlignment="1">
      <alignment horizontal="center" vertical="center" wrapText="1"/>
    </xf>
    <xf numFmtId="31" fontId="274" fillId="23" borderId="1" xfId="0" applyNumberFormat="1" applyFont="1" applyFill="1" applyBorder="1" applyAlignment="1">
      <alignment horizontal="center" vertical="center" wrapText="1"/>
    </xf>
    <xf numFmtId="14" fontId="273" fillId="0" borderId="0" xfId="0" applyNumberFormat="1" applyFont="1">
      <alignment vertical="center"/>
    </xf>
    <xf numFmtId="189" fontId="44" fillId="6" borderId="9"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95" fillId="0" borderId="58" xfId="0" applyFont="1" applyBorder="1" applyAlignment="1">
      <alignment horizontal="center" vertical="center" wrapText="1"/>
    </xf>
    <xf numFmtId="0" fontId="95" fillId="0" borderId="0" xfId="0" applyFont="1" applyAlignment="1">
      <alignment horizontal="center" vertical="center" wrapText="1"/>
    </xf>
    <xf numFmtId="0" fontId="271" fillId="0" borderId="0" xfId="0" applyFont="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485775</xdr:colOff>
      <xdr:row>1</xdr:row>
      <xdr:rowOff>0</xdr:rowOff>
    </xdr:from>
    <xdr:to>
      <xdr:col>39</xdr:col>
      <xdr:colOff>65784</xdr:colOff>
      <xdr:row>24</xdr:row>
      <xdr:rowOff>8888</xdr:rowOff>
    </xdr:to>
    <xdr:pic>
      <xdr:nvPicPr>
        <xdr:cNvPr id="2" name="图片 1">
          <a:extLst>
            <a:ext uri="{FF2B5EF4-FFF2-40B4-BE49-F238E27FC236}">
              <a16:creationId xmlns:a16="http://schemas.microsoft.com/office/drawing/2014/main" id="{9D98EE9E-43A9-158E-52CD-5375E93DE338}"/>
            </a:ext>
          </a:extLst>
        </xdr:cNvPr>
        <xdr:cNvPicPr>
          <a:picLocks noChangeAspect="1"/>
        </xdr:cNvPicPr>
      </xdr:nvPicPr>
      <xdr:blipFill>
        <a:blip xmlns:r="http://schemas.openxmlformats.org/officeDocument/2006/relationships" r:embed="rId1"/>
        <a:stretch>
          <a:fillRect/>
        </a:stretch>
      </xdr:blipFill>
      <xdr:spPr>
        <a:xfrm>
          <a:off x="19497675" y="171450"/>
          <a:ext cx="7123809" cy="5095238"/>
        </a:xfrm>
        <a:prstGeom prst="rect">
          <a:avLst/>
        </a:prstGeom>
      </xdr:spPr>
    </xdr:pic>
    <xdr:clientData/>
  </xdr:twoCellAnchor>
  <xdr:twoCellAnchor editAs="oneCell">
    <xdr:from>
      <xdr:col>26</xdr:col>
      <xdr:colOff>609600</xdr:colOff>
      <xdr:row>30</xdr:row>
      <xdr:rowOff>104775</xdr:rowOff>
    </xdr:from>
    <xdr:to>
      <xdr:col>43</xdr:col>
      <xdr:colOff>427120</xdr:colOff>
      <xdr:row>87</xdr:row>
      <xdr:rowOff>141649</xdr:rowOff>
    </xdr:to>
    <xdr:pic>
      <xdr:nvPicPr>
        <xdr:cNvPr id="3" name="图片 2">
          <a:extLst>
            <a:ext uri="{FF2B5EF4-FFF2-40B4-BE49-F238E27FC236}">
              <a16:creationId xmlns:a16="http://schemas.microsoft.com/office/drawing/2014/main" id="{69DCF3EF-77DF-5204-051B-7C235CB8892F}"/>
            </a:ext>
          </a:extLst>
        </xdr:cNvPr>
        <xdr:cNvPicPr>
          <a:picLocks noChangeAspect="1"/>
        </xdr:cNvPicPr>
      </xdr:nvPicPr>
      <xdr:blipFill>
        <a:blip xmlns:r="http://schemas.openxmlformats.org/officeDocument/2006/relationships" r:embed="rId2"/>
        <a:stretch>
          <a:fillRect/>
        </a:stretch>
      </xdr:blipFill>
      <xdr:spPr>
        <a:xfrm>
          <a:off x="19088100" y="5248275"/>
          <a:ext cx="12038095" cy="9809524"/>
        </a:xfrm>
        <a:prstGeom prst="rect">
          <a:avLst/>
        </a:prstGeom>
      </xdr:spPr>
    </xdr:pic>
    <xdr:clientData/>
  </xdr:twoCellAnchor>
  <xdr:twoCellAnchor editAs="oneCell">
    <xdr:from>
      <xdr:col>26</xdr:col>
      <xdr:colOff>581025</xdr:colOff>
      <xdr:row>53</xdr:row>
      <xdr:rowOff>38100</xdr:rowOff>
    </xdr:from>
    <xdr:to>
      <xdr:col>38</xdr:col>
      <xdr:colOff>598974</xdr:colOff>
      <xdr:row>77</xdr:row>
      <xdr:rowOff>170919</xdr:rowOff>
    </xdr:to>
    <xdr:pic>
      <xdr:nvPicPr>
        <xdr:cNvPr id="4" name="图片 3">
          <a:extLst>
            <a:ext uri="{FF2B5EF4-FFF2-40B4-BE49-F238E27FC236}">
              <a16:creationId xmlns:a16="http://schemas.microsoft.com/office/drawing/2014/main" id="{99CA9E14-A966-73B4-17FC-B13311E546B2}"/>
            </a:ext>
          </a:extLst>
        </xdr:cNvPr>
        <xdr:cNvPicPr>
          <a:picLocks noChangeAspect="1"/>
        </xdr:cNvPicPr>
      </xdr:nvPicPr>
      <xdr:blipFill>
        <a:blip xmlns:r="http://schemas.openxmlformats.org/officeDocument/2006/relationships" r:embed="rId3"/>
        <a:stretch>
          <a:fillRect/>
        </a:stretch>
      </xdr:blipFill>
      <xdr:spPr>
        <a:xfrm>
          <a:off x="19059525" y="10296525"/>
          <a:ext cx="8809524" cy="4247619"/>
        </a:xfrm>
        <a:prstGeom prst="rect">
          <a:avLst/>
        </a:prstGeom>
      </xdr:spPr>
    </xdr:pic>
    <xdr:clientData/>
  </xdr:twoCellAnchor>
  <xdr:twoCellAnchor editAs="oneCell">
    <xdr:from>
      <xdr:col>16</xdr:col>
      <xdr:colOff>371475</xdr:colOff>
      <xdr:row>20</xdr:row>
      <xdr:rowOff>88003</xdr:rowOff>
    </xdr:from>
    <xdr:to>
      <xdr:col>26</xdr:col>
      <xdr:colOff>238125</xdr:colOff>
      <xdr:row>57</xdr:row>
      <xdr:rowOff>94294</xdr:rowOff>
    </xdr:to>
    <xdr:pic>
      <xdr:nvPicPr>
        <xdr:cNvPr id="5" name="图片 4">
          <a:extLst>
            <a:ext uri="{FF2B5EF4-FFF2-40B4-BE49-F238E27FC236}">
              <a16:creationId xmlns:a16="http://schemas.microsoft.com/office/drawing/2014/main" id="{DE594391-3BAF-8388-E453-A635DDEAA205}"/>
            </a:ext>
          </a:extLst>
        </xdr:cNvPr>
        <xdr:cNvPicPr>
          <a:picLocks noChangeAspect="1"/>
        </xdr:cNvPicPr>
      </xdr:nvPicPr>
      <xdr:blipFill>
        <a:blip xmlns:r="http://schemas.openxmlformats.org/officeDocument/2006/relationships" r:embed="rId4"/>
        <a:stretch>
          <a:fillRect/>
        </a:stretch>
      </xdr:blipFill>
      <xdr:spPr>
        <a:xfrm>
          <a:off x="11544300" y="4640953"/>
          <a:ext cx="6334125" cy="6349941"/>
        </a:xfrm>
        <a:prstGeom prst="rect">
          <a:avLst/>
        </a:prstGeom>
      </xdr:spPr>
    </xdr:pic>
    <xdr:clientData/>
  </xdr:twoCellAnchor>
  <xdr:twoCellAnchor editAs="oneCell">
    <xdr:from>
      <xdr:col>16</xdr:col>
      <xdr:colOff>152400</xdr:colOff>
      <xdr:row>56</xdr:row>
      <xdr:rowOff>86463</xdr:rowOff>
    </xdr:from>
    <xdr:to>
      <xdr:col>26</xdr:col>
      <xdr:colOff>876300</xdr:colOff>
      <xdr:row>88</xdr:row>
      <xdr:rowOff>122923</xdr:rowOff>
    </xdr:to>
    <xdr:pic>
      <xdr:nvPicPr>
        <xdr:cNvPr id="6" name="图片 5">
          <a:extLst>
            <a:ext uri="{FF2B5EF4-FFF2-40B4-BE49-F238E27FC236}">
              <a16:creationId xmlns:a16="http://schemas.microsoft.com/office/drawing/2014/main" id="{8F0B5E9C-5532-75FB-0129-5AD644CBA596}"/>
            </a:ext>
          </a:extLst>
        </xdr:cNvPr>
        <xdr:cNvPicPr>
          <a:picLocks noChangeAspect="1"/>
        </xdr:cNvPicPr>
      </xdr:nvPicPr>
      <xdr:blipFill>
        <a:blip xmlns:r="http://schemas.openxmlformats.org/officeDocument/2006/relationships" r:embed="rId5"/>
        <a:stretch>
          <a:fillRect/>
        </a:stretch>
      </xdr:blipFill>
      <xdr:spPr>
        <a:xfrm>
          <a:off x="11325225" y="10830663"/>
          <a:ext cx="7191375" cy="55228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yewu.ghzrzyw.beijing.gov.cn/gwxxfb/tdsc/tdcjylb.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估价对象为北京市房地产，为所有。根据《国有土地使用证》[]，估价对象（分摊）出让国有建设用地使用权面积为0平方米，建筑面积为412.76平方米。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估价对象为北京市房地产,属开发建设的居住项目，该项目尚在开发建设中。根据《国有土地使用证》[]，估价对象（分摊）出让国有建设用地使用权面积为0平方米，规划建筑面积为412.76平方米。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2025年11月11日（评估专业人员实地查勘之日）</v>
      </c>
    </row>
    <row r="13" spans="1:2">
      <c r="A13" s="1119" t="s">
        <v>529</v>
      </c>
      <c r="B13" s="1120"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412.76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2437</v>
      </c>
      <c r="Y2" s="1445" t="s">
        <v>3410</v>
      </c>
      <c r="Z2" s="1445" t="s">
        <v>2450</v>
      </c>
      <c r="AA2" s="1445" t="s">
        <v>3411</v>
      </c>
      <c r="AB2" s="1445" t="s">
        <v>2477</v>
      </c>
    </row>
    <row r="3" spans="1:28">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2439</v>
      </c>
      <c r="Z3" s="1445" t="s">
        <v>2452</v>
      </c>
      <c r="AB3" s="1445" t="s">
        <v>2479</v>
      </c>
    </row>
    <row r="4" spans="1:28">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2441</v>
      </c>
      <c r="Z4" s="1445" t="s">
        <v>2454</v>
      </c>
      <c r="AB4" s="1445" t="s">
        <v>2481</v>
      </c>
    </row>
    <row r="5" spans="1:28">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2443</v>
      </c>
      <c r="Z5" s="1445" t="s">
        <v>2456</v>
      </c>
      <c r="AB5" s="1445" t="s">
        <v>3412</v>
      </c>
    </row>
    <row r="6" spans="1:28">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2445</v>
      </c>
      <c r="Z6" s="1445" t="s">
        <v>2458</v>
      </c>
      <c r="AB6" s="1445" t="s">
        <v>2484</v>
      </c>
    </row>
    <row r="7" spans="1:28">
      <c r="A7" s="1441" t="s">
        <v>1023</v>
      </c>
      <c r="B7" s="1444" t="s">
        <v>450</v>
      </c>
      <c r="C7" s="1442" t="s">
        <v>25</v>
      </c>
      <c r="F7" s="1443" t="s">
        <v>1024</v>
      </c>
      <c r="H7" s="1443" t="s">
        <v>1025</v>
      </c>
      <c r="I7" s="1443" t="s">
        <v>3338</v>
      </c>
      <c r="X7" s="1445" t="s">
        <v>2447</v>
      </c>
      <c r="Z7" s="1445" t="s">
        <v>2460</v>
      </c>
      <c r="AB7" s="1445" t="s">
        <v>2486</v>
      </c>
    </row>
    <row r="8" spans="1:28">
      <c r="A8" s="1441" t="s">
        <v>1026</v>
      </c>
      <c r="B8" s="1441" t="s">
        <v>1027</v>
      </c>
      <c r="C8" s="1442" t="s">
        <v>319</v>
      </c>
      <c r="F8" s="1443" t="s">
        <v>1028</v>
      </c>
      <c r="H8" s="1443" t="s">
        <v>2575</v>
      </c>
      <c r="I8" s="1443" t="s">
        <v>3339</v>
      </c>
      <c r="X8" s="1445" t="s">
        <v>3413</v>
      </c>
      <c r="Z8" s="1445" t="s">
        <v>2462</v>
      </c>
      <c r="AB8" s="1445" t="s">
        <v>2488</v>
      </c>
    </row>
    <row r="9" spans="1:28">
      <c r="A9" s="1441" t="s">
        <v>1029</v>
      </c>
      <c r="B9" s="1441" t="s">
        <v>1030</v>
      </c>
      <c r="C9" s="1442" t="s">
        <v>320</v>
      </c>
      <c r="F9" s="1443" t="s">
        <v>1031</v>
      </c>
      <c r="H9" s="1443"/>
      <c r="I9" s="1445" t="s">
        <v>3340</v>
      </c>
      <c r="X9" s="1445" t="s">
        <v>3414</v>
      </c>
      <c r="Z9" s="1445" t="s">
        <v>2464</v>
      </c>
      <c r="AB9" s="1445" t="s">
        <v>2490</v>
      </c>
    </row>
    <row r="10" spans="1:28">
      <c r="A10" s="1441" t="s">
        <v>1032</v>
      </c>
      <c r="B10" s="1441" t="s">
        <v>1033</v>
      </c>
      <c r="C10" s="1442" t="s">
        <v>321</v>
      </c>
      <c r="F10" s="1443" t="s">
        <v>2576</v>
      </c>
      <c r="I10" s="1445" t="s">
        <v>3341</v>
      </c>
      <c r="Z10" s="1445" t="s">
        <v>2466</v>
      </c>
      <c r="AB10" s="1445" t="s">
        <v>2492</v>
      </c>
    </row>
    <row r="11" spans="1:28">
      <c r="A11" s="1441" t="s">
        <v>1034</v>
      </c>
      <c r="B11" s="1441" t="s">
        <v>1035</v>
      </c>
      <c r="C11" s="1442" t="s">
        <v>322</v>
      </c>
      <c r="F11" s="1443" t="s">
        <v>13</v>
      </c>
      <c r="I11" s="1445" t="s">
        <v>3342</v>
      </c>
      <c r="Z11" s="1445" t="s">
        <v>2468</v>
      </c>
      <c r="AB11" s="1445" t="s">
        <v>2494</v>
      </c>
    </row>
    <row r="12" spans="1:28">
      <c r="A12" s="1441" t="s">
        <v>1036</v>
      </c>
      <c r="B12" s="1441" t="s">
        <v>1037</v>
      </c>
      <c r="C12" s="1442" t="s">
        <v>323</v>
      </c>
      <c r="I12" s="1445" t="s">
        <v>3343</v>
      </c>
      <c r="Z12" s="1445" t="s">
        <v>2470</v>
      </c>
      <c r="AB12" s="1445" t="s">
        <v>2496</v>
      </c>
    </row>
    <row r="13" spans="1:28">
      <c r="A13" s="1441" t="s">
        <v>1038</v>
      </c>
      <c r="B13" s="1441" t="s">
        <v>1039</v>
      </c>
      <c r="C13" s="1442" t="s">
        <v>324</v>
      </c>
      <c r="I13" s="1445" t="s">
        <v>3344</v>
      </c>
      <c r="Z13" s="1445" t="s">
        <v>2472</v>
      </c>
    </row>
    <row r="14" spans="1:28">
      <c r="A14" s="1441" t="s">
        <v>1040</v>
      </c>
      <c r="B14" s="1441" t="s">
        <v>1041</v>
      </c>
      <c r="C14" s="1443" t="s">
        <v>13</v>
      </c>
      <c r="I14" s="1445" t="s">
        <v>3345</v>
      </c>
      <c r="Z14" s="1445" t="s">
        <v>2474</v>
      </c>
    </row>
    <row r="15" spans="1:28">
      <c r="A15" s="1441" t="s">
        <v>1042</v>
      </c>
      <c r="B15" s="1441" t="s">
        <v>1043</v>
      </c>
      <c r="C15" s="1442"/>
      <c r="I15" s="1445" t="s">
        <v>3346</v>
      </c>
    </row>
    <row r="16" spans="1:28">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7" t="s">
        <v>385</v>
      </c>
      <c r="C54" s="1445" t="s">
        <v>583</v>
      </c>
    </row>
    <row r="55" spans="1:4">
      <c r="A55" s="3235"/>
      <c r="B55" s="1447" t="s">
        <v>386</v>
      </c>
      <c r="C55" s="1445" t="s">
        <v>584</v>
      </c>
    </row>
    <row r="56" spans="1:4">
      <c r="A56" s="3235"/>
      <c r="B56" s="1447" t="s">
        <v>387</v>
      </c>
      <c r="C56" s="1445" t="s">
        <v>588</v>
      </c>
    </row>
    <row r="57" spans="1:4">
      <c r="A57" s="323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36" t="s">
        <v>2578</v>
      </c>
      <c r="J2" s="3236"/>
      <c r="K2" s="3236"/>
      <c r="L2" s="3236"/>
      <c r="M2" s="3236"/>
      <c r="N2" s="3236"/>
      <c r="O2" s="3236"/>
      <c r="P2" s="3236"/>
      <c r="Q2" s="3236"/>
      <c r="R2" s="3236"/>
    </row>
    <row r="3" spans="1:18">
      <c r="A3" s="2760" t="s">
        <v>2499</v>
      </c>
      <c r="B3" s="2761">
        <f>项目基本情况!D3</f>
        <v>45972</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1.1000000000000001</v>
      </c>
      <c r="D5" s="2765">
        <f>IF(ISERROR(ROUND(POWER(1+E5,A5-C5)*(POWER(1+E5,C5)-1)/(POWER(1+E5,A5)-1),3)),0,ROUND(POWER(1+E5,A5-C5)*(POWER(1+E5,C5)-1)/(POWER(1+E5,A5)-1),4))</f>
        <v>5.33E-2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11.11</v>
      </c>
      <c r="D6" s="2765">
        <f>IF(ISERROR(ROUND(POWER(1+E6,A6-C6)*(POWER(1+E6,C6)-1)/(POWER(1+E6,A6)-1),3)),0,ROUND(POWER(1+E6,A6-C6)*(POWER(1+E6,C6)-1)/(POWER(1+E6,A6)-1),4))</f>
        <v>0.41110000000000002</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31.12</v>
      </c>
      <c r="D7" s="2765">
        <f>IF(ISERROR(ROUND(POWER(1+E7,A7-C7)*(POWER(1+E7,C7)-1)/(POWER(1+E7,A7)-1),3)),0,ROUND(POWER(1+E7,A7-C7)*(POWER(1+E7,C7)-1)/(POWER(1+E7,A7)-1),4))</f>
        <v>0.75329999999999997</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4.25" thickBot="1">
      <c r="A18" s="2770" t="s">
        <v>2514</v>
      </c>
      <c r="B18" s="2771">
        <f>ROUND(B17*F11/F12,2)</f>
        <v>5541.87</v>
      </c>
      <c r="C18" s="2771">
        <f>ROUND(F11/F12,4)</f>
        <v>1.1521999999999999</v>
      </c>
      <c r="D18" s="2772"/>
      <c r="E18" s="2772"/>
      <c r="F18" s="2773"/>
    </row>
    <row r="19" spans="1:14" ht="14.25" thickBot="1"/>
    <row r="20" spans="1:14" s="2806" customFormat="1" ht="14.2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4.2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8" sqref="G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37" t="str">
        <f>IF(B10="北京市","北京市",C10)&amp;F10&amp;IF(结果表!G1="在建","出让国有建设用地使用权及在建建筑物",IF(结果表!G1="土地","出让国有建设用地使用权",))&amp;B9&amp;"预评估"</f>
        <v>北京市房地产市场价值预评估</v>
      </c>
      <c r="C1" s="3238"/>
      <c r="D1" s="3238"/>
      <c r="E1" s="3238"/>
      <c r="F1" s="3238"/>
      <c r="G1" s="3238"/>
      <c r="H1" s="3238"/>
      <c r="I1" s="323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5"/>
      <c r="E2" s="2438"/>
      <c r="F2" s="2438"/>
      <c r="G2" s="2439"/>
      <c r="H2" s="2439"/>
      <c r="I2" s="2439"/>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45972</v>
      </c>
      <c r="C3" s="2184" t="s">
        <v>2171</v>
      </c>
      <c r="D3" s="2183">
        <f>B3</f>
        <v>45972</v>
      </c>
      <c r="E3" s="2439"/>
      <c r="F3" s="2439"/>
      <c r="G3" s="2439"/>
      <c r="H3" s="2439"/>
      <c r="I3" s="2439"/>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8"/>
      <c r="F6" s="2439"/>
      <c r="G6" s="2439"/>
      <c r="H6" s="2439"/>
      <c r="I6" s="2439"/>
      <c r="J6" s="2243"/>
      <c r="K6" s="2398" t="str">
        <f>IF(COUNTIF(B6,"*上海银行*"),"上海银行","")</f>
        <v/>
      </c>
      <c r="L6" s="2396"/>
      <c r="M6" s="2396"/>
      <c r="N6" s="2243"/>
      <c r="O6" s="1670"/>
      <c r="P6" s="2243"/>
      <c r="Q6" s="2243"/>
      <c r="R6" s="2243"/>
    </row>
    <row r="7" spans="1:30">
      <c r="A7" s="2192" t="s">
        <v>2175</v>
      </c>
      <c r="B7" s="2196"/>
      <c r="C7" s="2194"/>
      <c r="D7" s="2195"/>
      <c r="E7" s="2438"/>
      <c r="F7" s="2439"/>
      <c r="G7" s="2439"/>
      <c r="H7" s="2439"/>
      <c r="I7" s="2439"/>
      <c r="J7" s="2243"/>
      <c r="K7" s="2399"/>
      <c r="L7" s="2396"/>
      <c r="M7" s="2396"/>
      <c r="N7" s="2243"/>
      <c r="O7" s="1670"/>
      <c r="P7" s="2243"/>
      <c r="Q7" s="2243"/>
      <c r="R7" s="2243"/>
    </row>
    <row r="8" spans="1:30">
      <c r="A8" s="2197" t="s">
        <v>2176</v>
      </c>
      <c r="B8" s="2198" t="s">
        <v>3415</v>
      </c>
      <c r="C8" s="2199"/>
      <c r="D8" s="3240" t="s">
        <v>2177</v>
      </c>
      <c r="E8" s="2200"/>
      <c r="F8" s="2201"/>
      <c r="G8" s="2439"/>
      <c r="H8" s="2439"/>
      <c r="I8" s="2439"/>
      <c r="J8" s="2243"/>
      <c r="K8" s="2397"/>
      <c r="L8" s="2396"/>
      <c r="M8" s="2396"/>
      <c r="N8" s="2243"/>
      <c r="O8" s="1670"/>
      <c r="P8" s="2243"/>
      <c r="Q8" s="2243"/>
      <c r="R8" s="2243"/>
    </row>
    <row r="9" spans="1:30" ht="13.5" thickBot="1">
      <c r="A9" s="2202" t="s">
        <v>2178</v>
      </c>
      <c r="B9" s="2203" t="s">
        <v>3416</v>
      </c>
      <c r="C9" s="2204"/>
      <c r="D9" s="3241"/>
      <c r="E9" s="2203"/>
      <c r="F9" s="2205"/>
      <c r="G9" s="2440"/>
      <c r="H9" s="2440"/>
      <c r="I9" s="2440"/>
      <c r="J9" s="2243"/>
      <c r="K9" s="2399"/>
      <c r="L9" s="2396"/>
      <c r="M9" s="2396"/>
      <c r="N9" s="2243"/>
      <c r="O9" s="1670"/>
      <c r="P9" s="2243"/>
      <c r="Q9" s="2243"/>
      <c r="R9" s="2243"/>
    </row>
    <row r="10" spans="1:30" ht="13.5" thickTop="1">
      <c r="A10" s="2206" t="s">
        <v>2179</v>
      </c>
      <c r="B10" s="2207" t="s">
        <v>3417</v>
      </c>
      <c r="C10" s="2208"/>
      <c r="D10" s="2191"/>
      <c r="E10" s="2209" t="s">
        <v>2180</v>
      </c>
      <c r="F10" s="2441"/>
      <c r="G10" s="2442"/>
      <c r="H10" s="2443"/>
      <c r="I10" s="2444"/>
      <c r="J10" s="2243"/>
      <c r="K10" s="2399"/>
      <c r="L10" s="2396"/>
      <c r="M10" s="2396"/>
      <c r="N10" s="2243"/>
      <c r="O10" s="1670"/>
      <c r="P10" s="2243"/>
      <c r="Q10" s="2243"/>
      <c r="R10" s="2243"/>
    </row>
    <row r="11" spans="1:30">
      <c r="A11" s="2210" t="s">
        <v>2181</v>
      </c>
      <c r="B11" s="2211" t="s">
        <v>3418</v>
      </c>
      <c r="C11" s="2212"/>
      <c r="D11" s="2213"/>
      <c r="E11" s="2180"/>
      <c r="F11" s="2180"/>
      <c r="G11" s="2180"/>
      <c r="H11" s="2180"/>
      <c r="I11" s="2180"/>
      <c r="J11" s="2799"/>
      <c r="K11" s="2396"/>
      <c r="L11" s="2396"/>
      <c r="M11" s="2396"/>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2574</v>
      </c>
      <c r="J12" s="2800"/>
      <c r="K12" s="2396"/>
      <c r="L12" s="2396"/>
      <c r="M12" s="3174">
        <f>2005-2</f>
        <v>2003</v>
      </c>
      <c r="N12" s="1670"/>
      <c r="O12" s="2243"/>
      <c r="P12" s="2243"/>
      <c r="Q12" s="2243"/>
      <c r="AD12" s="1618"/>
    </row>
    <row r="13" spans="1:30">
      <c r="A13" s="3119" t="s">
        <v>3328</v>
      </c>
      <c r="B13" s="2216" t="s">
        <v>2190</v>
      </c>
      <c r="C13" s="803">
        <v>65765</v>
      </c>
      <c r="D13" s="803"/>
      <c r="E13" s="803"/>
      <c r="F13" s="803"/>
      <c r="G13" s="803"/>
      <c r="H13" s="803"/>
      <c r="I13" s="803"/>
      <c r="J13" s="2800"/>
      <c r="K13" s="2396"/>
      <c r="L13" s="2396"/>
      <c r="M13" s="2243">
        <f>2003+70</f>
        <v>2073</v>
      </c>
      <c r="N13" s="1670"/>
      <c r="O13" s="2243"/>
      <c r="P13" s="2243"/>
      <c r="Q13" s="2243"/>
      <c r="AD13" s="1618"/>
    </row>
    <row r="14" spans="1:30">
      <c r="A14" s="1018"/>
      <c r="B14" s="2216" t="s">
        <v>2191</v>
      </c>
      <c r="C14" s="2217">
        <v>70</v>
      </c>
      <c r="D14" s="2217"/>
      <c r="E14" s="2217"/>
      <c r="F14" s="2217"/>
      <c r="G14" s="2217"/>
      <c r="H14" s="2217"/>
      <c r="I14" s="2217"/>
      <c r="J14" s="2801"/>
      <c r="K14" s="2396"/>
      <c r="L14" s="2396"/>
      <c r="M14" s="2243"/>
      <c r="N14" s="1670"/>
      <c r="O14" s="2243"/>
      <c r="P14" s="2243"/>
      <c r="Q14" s="2243"/>
      <c r="AD14" s="1618"/>
    </row>
    <row r="15" spans="1:30">
      <c r="A15" s="312"/>
      <c r="B15" s="2218" t="s">
        <v>2192</v>
      </c>
      <c r="C15" s="2219">
        <f>IF(A13="出让",IF(C13="","",ROUNDDOWN(MIN((C13-$D$3)/365,C14),2)),C14)</f>
        <v>54.22</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09" t="s">
        <v>2193</v>
      </c>
      <c r="B16" s="3247"/>
      <c r="C16" s="3248"/>
      <c r="D16" s="3249"/>
      <c r="E16" s="2220" t="s">
        <v>2194</v>
      </c>
      <c r="F16" s="3250"/>
      <c r="G16" s="3251"/>
      <c r="H16" s="3251"/>
      <c r="I16" s="3252"/>
      <c r="J16" s="2243"/>
      <c r="K16" s="2400"/>
      <c r="L16" s="1670"/>
      <c r="M16" s="1670"/>
      <c r="N16" s="2243"/>
      <c r="O16" s="1670"/>
      <c r="P16" s="2243"/>
      <c r="Q16" s="2243"/>
      <c r="R16" s="2243"/>
    </row>
    <row r="17" spans="1:28">
      <c r="A17" s="305" t="s">
        <v>2195</v>
      </c>
      <c r="B17" s="294" t="s">
        <v>2196</v>
      </c>
      <c r="C17" s="8">
        <f>'数据-汇总表'!E3</f>
        <v>412.76</v>
      </c>
      <c r="D17" s="1256" t="s">
        <v>2197</v>
      </c>
      <c r="E17" s="3253" t="s">
        <v>2198</v>
      </c>
      <c r="F17" s="3254"/>
      <c r="G17" s="3254"/>
      <c r="H17" s="3254"/>
      <c r="I17" s="3255"/>
      <c r="J17" s="2243"/>
      <c r="K17" s="2401"/>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6" t="s">
        <v>2202</v>
      </c>
      <c r="F18" s="3257"/>
      <c r="G18" s="3257"/>
      <c r="H18" s="3257"/>
      <c r="I18" s="3258"/>
      <c r="J18" s="2243"/>
      <c r="K18" s="2401"/>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9"/>
      <c r="I19" s="2439"/>
      <c r="J19" s="2243"/>
      <c r="K19" s="2399"/>
      <c r="L19" s="2396"/>
      <c r="M19" s="2396"/>
      <c r="N19" s="2243"/>
      <c r="O19" s="1670"/>
      <c r="P19" s="2243"/>
      <c r="Q19" s="2243"/>
      <c r="R19" s="2243"/>
      <c r="S19" s="2243"/>
      <c r="T19" s="2243"/>
      <c r="U19" s="2243"/>
      <c r="V19" s="2243"/>
    </row>
    <row r="20" spans="1:28">
      <c r="A20" s="2414" t="s">
        <v>2205</v>
      </c>
      <c r="B20" s="3243" t="s">
        <v>2206</v>
      </c>
      <c r="C20" s="3244"/>
      <c r="D20" s="3245" t="s">
        <v>2207</v>
      </c>
      <c r="E20" s="3246"/>
      <c r="F20" s="2427" t="s">
        <v>1056</v>
      </c>
      <c r="G20" s="2439"/>
      <c r="H20" s="2439"/>
      <c r="I20" s="2439"/>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4"/>
      <c r="B22" s="2417" t="s">
        <v>2211</v>
      </c>
      <c r="C22" s="2293" t="s">
        <v>1058</v>
      </c>
      <c r="D22" s="2439"/>
      <c r="E22" s="2439"/>
      <c r="F22" s="2439"/>
      <c r="G22" s="2439"/>
      <c r="H22" s="2439"/>
      <c r="I22" s="2439"/>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8" t="s">
        <v>2212</v>
      </c>
      <c r="B23" s="2290" t="s">
        <v>2213</v>
      </c>
      <c r="C23" s="2419"/>
      <c r="D23" s="2420" t="s">
        <v>2213</v>
      </c>
      <c r="E23" s="2421"/>
      <c r="F23" s="2439"/>
      <c r="G23" s="2439"/>
      <c r="H23" s="2439"/>
      <c r="I23" s="2439"/>
      <c r="J23" s="2243"/>
      <c r="K23" s="2398"/>
      <c r="L23" s="121"/>
      <c r="M23" s="2396"/>
      <c r="N23" s="2243"/>
      <c r="O23" s="1670"/>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70"/>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70"/>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70"/>
      <c r="P26" s="2243"/>
      <c r="Q26" s="2243"/>
      <c r="R26" s="2243"/>
      <c r="S26" s="2243"/>
      <c r="T26" s="2243"/>
      <c r="U26" s="2243"/>
      <c r="V26" s="2243"/>
    </row>
    <row r="27" spans="1:28" ht="13.5" thickTop="1">
      <c r="A27" s="3260" t="s">
        <v>2214</v>
      </c>
      <c r="B27" s="312" t="s">
        <v>2215</v>
      </c>
      <c r="C27" s="2223" t="s">
        <v>3426</v>
      </c>
      <c r="D27" s="2224"/>
      <c r="E27" s="2439"/>
      <c r="F27" s="2439"/>
      <c r="G27" s="2439"/>
      <c r="H27" s="2439"/>
      <c r="I27" s="2439"/>
      <c r="J27" s="2243"/>
      <c r="K27" s="2400"/>
      <c r="L27" s="1670"/>
      <c r="M27" s="1670"/>
      <c r="N27" s="2243"/>
      <c r="O27" s="1670"/>
      <c r="P27" s="2243"/>
      <c r="Q27" s="2243"/>
      <c r="R27" s="2243"/>
      <c r="S27" s="2243"/>
      <c r="T27" s="2243"/>
      <c r="U27" s="2243"/>
      <c r="V27" s="2243"/>
    </row>
    <row r="28" spans="1:28">
      <c r="A28" s="3260"/>
      <c r="B28" s="294" t="s">
        <v>2216</v>
      </c>
      <c r="C28" s="2225" t="s">
        <v>3427</v>
      </c>
      <c r="D28" s="2226"/>
      <c r="E28" s="2439"/>
      <c r="F28" s="2439"/>
      <c r="G28" s="2439"/>
      <c r="H28" s="2439"/>
      <c r="I28" s="2439"/>
      <c r="J28" s="2243"/>
      <c r="K28" s="2399"/>
      <c r="L28" s="2396"/>
      <c r="M28" s="2396"/>
      <c r="N28" s="2243"/>
      <c r="O28" s="1670"/>
      <c r="P28" s="2243"/>
      <c r="Q28" s="2243"/>
      <c r="R28" s="2243"/>
      <c r="S28" s="2243"/>
      <c r="T28" s="2243"/>
      <c r="U28" s="2243"/>
      <c r="V28" s="2243"/>
    </row>
    <row r="29" spans="1:28">
      <c r="A29" s="3260"/>
      <c r="B29" s="294" t="s">
        <v>2217</v>
      </c>
      <c r="C29" s="2227" t="s">
        <v>3428</v>
      </c>
      <c r="D29" s="2228"/>
      <c r="E29" s="2439"/>
      <c r="F29" s="2439"/>
      <c r="G29" s="2439"/>
      <c r="H29" s="2439"/>
      <c r="I29" s="2439"/>
      <c r="J29" s="2243"/>
      <c r="K29" s="2399"/>
      <c r="L29" s="2396"/>
      <c r="M29" s="2396"/>
      <c r="N29" s="2243"/>
      <c r="O29" s="1670"/>
      <c r="P29" s="2243"/>
      <c r="Q29" s="2243"/>
      <c r="R29" s="2243"/>
      <c r="S29" s="2243"/>
      <c r="T29" s="2243"/>
      <c r="U29" s="2243"/>
      <c r="V29" s="2243"/>
    </row>
    <row r="30" spans="1:28">
      <c r="A30" s="3261"/>
      <c r="B30" s="294" t="s">
        <v>2218</v>
      </c>
      <c r="C30" s="3262"/>
      <c r="D30" s="3263"/>
      <c r="E30" s="2439"/>
      <c r="F30" s="2439"/>
      <c r="G30" s="2439"/>
      <c r="H30" s="2439"/>
      <c r="I30" s="2439"/>
      <c r="J30" s="2243"/>
      <c r="K30" s="2399"/>
      <c r="L30" s="2396"/>
      <c r="M30" s="2396"/>
      <c r="N30" s="2243"/>
      <c r="O30" s="1670"/>
      <c r="P30" s="2243"/>
      <c r="Q30" s="2243"/>
      <c r="R30" s="2243"/>
      <c r="S30" s="2243"/>
      <c r="T30" s="2243"/>
      <c r="U30" s="2243"/>
      <c r="V30" s="2243"/>
    </row>
    <row r="31" spans="1:28">
      <c r="A31" s="3264" t="s">
        <v>2219</v>
      </c>
      <c r="B31" s="2229" t="s">
        <v>3429</v>
      </c>
      <c r="C31" s="12" t="str">
        <f>IF(B31="现房","成新及维护状况正常否",IF(B31="在建","工程状态是否正常",IF(B31="土地","是否闲置","-")))</f>
        <v>成新及维护状况正常否</v>
      </c>
      <c r="D31" s="1281"/>
      <c r="E31" s="2230"/>
      <c r="F31" s="2439"/>
      <c r="G31" s="2439"/>
      <c r="H31" s="2439"/>
      <c r="I31" s="2439"/>
      <c r="J31" s="2243"/>
      <c r="K31" s="2398"/>
      <c r="L31" s="2396"/>
      <c r="M31" s="2396"/>
      <c r="N31" s="2243"/>
      <c r="O31" s="1670"/>
      <c r="P31" s="2243"/>
      <c r="Q31" s="2243"/>
      <c r="R31" s="2243"/>
      <c r="S31" s="2243"/>
      <c r="T31" s="2243"/>
      <c r="U31" s="2243"/>
      <c r="V31" s="2243"/>
    </row>
    <row r="32" spans="1:28">
      <c r="A32" s="3265"/>
      <c r="B32" s="2229" t="s">
        <v>3429</v>
      </c>
      <c r="C32" s="12" t="str">
        <f>IF(B32="现房","成新及维护状况是否正常",IF(B32="在建","工程状态是否正常",IF(B32="土地","是否闲置","-")))</f>
        <v>成新及维护状况是否正常</v>
      </c>
      <c r="D32" s="1281"/>
      <c r="E32" s="2230"/>
      <c r="F32" s="2439"/>
      <c r="G32" s="2439"/>
      <c r="H32" s="2439"/>
      <c r="I32" s="2439"/>
      <c r="J32" s="2243"/>
      <c r="K32" s="2399"/>
      <c r="L32" s="2396"/>
      <c r="M32" s="2396"/>
      <c r="N32" s="2243"/>
      <c r="O32" s="1670"/>
      <c r="P32" s="2243"/>
      <c r="Q32" s="2243"/>
      <c r="R32" s="2243"/>
      <c r="S32" s="2243"/>
      <c r="T32" s="2243"/>
      <c r="U32" s="2243"/>
      <c r="V32" s="2243"/>
    </row>
    <row r="33" spans="1:30">
      <c r="A33" s="3265"/>
      <c r="B33" s="2232" t="s">
        <v>3429</v>
      </c>
      <c r="C33" s="1478" t="str">
        <f>IF(B33="现房","成新及维护状况是否正常",IF(B33="在建","工程状态是否正常",IF(B33="土地","是否闲置","-")))</f>
        <v>成新及维护状况是否正常</v>
      </c>
      <c r="D33" s="1274"/>
      <c r="E33" s="2233"/>
      <c r="F33" s="2439"/>
      <c r="G33" s="2439"/>
      <c r="H33" s="2439"/>
      <c r="I33" s="2439"/>
      <c r="J33" s="2243"/>
      <c r="K33" s="2399"/>
      <c r="L33" s="2396"/>
      <c r="M33" s="2396"/>
      <c r="N33" s="2243"/>
      <c r="O33" s="1670"/>
      <c r="P33" s="2243"/>
      <c r="Q33" s="2243"/>
      <c r="R33" s="2243"/>
      <c r="S33" s="2243"/>
      <c r="T33" s="2243"/>
      <c r="U33" s="2243"/>
      <c r="V33" s="2243"/>
    </row>
    <row r="34" spans="1:30">
      <c r="A34" s="294" t="s">
        <v>2220</v>
      </c>
      <c r="B34" s="1868" t="s">
        <v>3419</v>
      </c>
      <c r="C34" s="1868" t="s">
        <v>3420</v>
      </c>
      <c r="D34" s="1868" t="s">
        <v>3421</v>
      </c>
      <c r="E34" s="1868" t="s">
        <v>3422</v>
      </c>
      <c r="F34" s="1868" t="s">
        <v>3423</v>
      </c>
      <c r="G34" s="1868" t="s">
        <v>3424</v>
      </c>
      <c r="H34" s="1868" t="s">
        <v>3425</v>
      </c>
      <c r="I34" s="2439"/>
      <c r="J34" s="2243"/>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3"/>
      <c r="V34" s="2243"/>
    </row>
    <row r="35" spans="1:30">
      <c r="A35" s="2234"/>
      <c r="B35" s="3259" t="s">
        <v>2229</v>
      </c>
      <c r="C35" s="3259"/>
      <c r="D35" s="3259"/>
      <c r="E35" s="3259"/>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59"/>
      <c r="T35" s="138" t="str">
        <f>IF(T34="一通",L35,IF(T34="二通",M35,IF(T34="三通",N35,IF(T34="四通",O35,IF(T34="五通",P35,IF(T34="六通",Q35,R35))))))</f>
        <v>通路、通电、通讯、通上水、通下水、燃气、平整</v>
      </c>
      <c r="U35" s="2243"/>
      <c r="V35" s="2243"/>
    </row>
    <row r="36" spans="1:30">
      <c r="A36" s="2181"/>
      <c r="B36" s="8" t="s">
        <v>2185</v>
      </c>
      <c r="C36" s="8" t="s">
        <v>2186</v>
      </c>
      <c r="D36" s="8" t="s">
        <v>2184</v>
      </c>
      <c r="E36" s="8" t="s">
        <v>2189</v>
      </c>
      <c r="F36" s="2798" t="s">
        <v>2577</v>
      </c>
      <c r="G36" s="2439"/>
      <c r="H36" s="2439"/>
      <c r="I36" s="2439"/>
      <c r="J36" s="2243"/>
      <c r="K36" s="2399"/>
      <c r="L36" s="2396"/>
      <c r="M36" s="2396"/>
      <c r="N36" s="2243"/>
      <c r="O36" s="1670"/>
      <c r="P36" s="2243"/>
      <c r="Q36" s="2243"/>
      <c r="R36" s="2243"/>
      <c r="S36" s="2243"/>
      <c r="T36" s="2243"/>
      <c r="U36" s="2243"/>
      <c r="V36" s="2243"/>
    </row>
    <row r="37" spans="1:30">
      <c r="A37" s="2412" t="s">
        <v>2230</v>
      </c>
      <c r="B37" s="2235"/>
      <c r="C37" s="2235"/>
      <c r="D37" s="2235" t="s">
        <v>303</v>
      </c>
      <c r="E37" s="2235"/>
      <c r="F37" s="2235"/>
      <c r="G37" s="2439"/>
      <c r="H37" s="2439"/>
      <c r="I37" s="2439"/>
      <c r="J37" s="2243"/>
      <c r="K37" s="2399"/>
      <c r="L37" s="2396"/>
      <c r="M37" s="2396"/>
      <c r="N37" s="2243"/>
      <c r="O37" s="1670"/>
      <c r="P37" s="2243"/>
      <c r="Q37" s="2243"/>
      <c r="R37" s="2243"/>
      <c r="S37" s="2243"/>
      <c r="T37" s="2243"/>
      <c r="U37" s="2243"/>
      <c r="V37" s="2243"/>
    </row>
    <row r="38" spans="1:30" ht="13.5" thickBot="1">
      <c r="A38" s="2413" t="s">
        <v>2231</v>
      </c>
      <c r="B38" s="2236"/>
      <c r="C38" s="2236"/>
      <c r="D38" s="2236" t="s">
        <v>217</v>
      </c>
      <c r="E38" s="2236"/>
      <c r="F38" s="2236"/>
      <c r="G38" s="2440"/>
      <c r="H38" s="2440"/>
      <c r="I38" s="2440"/>
      <c r="J38" s="2243"/>
      <c r="K38" s="2399"/>
      <c r="L38" s="2396"/>
      <c r="M38" s="2396"/>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6"/>
      <c r="J40" s="2243"/>
      <c r="K40" s="2398"/>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9"/>
      <c r="L41" s="2396"/>
      <c r="M41" s="2396"/>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412.76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412.76</v>
      </c>
      <c r="H5" s="13">
        <f t="shared" ref="H5:AT5" si="0">SUM(H13:H656)</f>
        <v>412.76</v>
      </c>
      <c r="I5" s="13">
        <f t="shared" si="0"/>
        <v>412.76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412.76</v>
      </c>
      <c r="BA5" s="15">
        <f t="shared" si="1"/>
        <v>412.76</v>
      </c>
      <c r="BB5" s="15">
        <f t="shared" si="1"/>
        <v>412.76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3430</v>
      </c>
      <c r="E13" s="13">
        <f>IF($C$3="是",ROUND($A$3*G13/$B$3,2),ROUND($A$3*(G13-AT13)/$B$3,2))</f>
        <v>0</v>
      </c>
      <c r="F13" s="29"/>
      <c r="G13" s="30">
        <f>H13+AC13+AT13</f>
        <v>412.76</v>
      </c>
      <c r="H13" s="17">
        <f>SUMIF(I$12:AB$12,"总值",I13:AB13)</f>
        <v>412.76</v>
      </c>
      <c r="I13" s="1514">
        <v>412.76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412.76</v>
      </c>
      <c r="BA13" s="13">
        <f>SUM(BB13:BK13)</f>
        <v>412.76</v>
      </c>
      <c r="BB13" s="13">
        <f>IF($D13="是",I13-J13,0)</f>
        <v>412.76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E40" sqref="E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5" t="s">
        <v>1131</v>
      </c>
      <c r="B2" s="3275"/>
      <c r="C2" s="3275"/>
      <c r="D2" s="748" t="s">
        <v>1107</v>
      </c>
      <c r="E2" s="1523" t="s">
        <v>1108</v>
      </c>
      <c r="F2" s="2436"/>
      <c r="G2" s="2429"/>
      <c r="H2" s="2430"/>
      <c r="I2" s="2144" t="s">
        <v>1132</v>
      </c>
      <c r="J2" s="2436"/>
      <c r="K2" s="2436"/>
      <c r="L2" s="2436"/>
      <c r="M2" s="2436"/>
      <c r="N2" s="2437"/>
      <c r="O2" s="2436"/>
      <c r="P2" s="2436"/>
    </row>
    <row r="3" spans="1:16" ht="15.75" thickBot="1">
      <c r="A3" s="3276" t="s">
        <v>1105</v>
      </c>
      <c r="B3" s="3276"/>
      <c r="C3" s="3276"/>
      <c r="D3" s="41">
        <f>'数据-基础表'!AY6</f>
        <v>0</v>
      </c>
      <c r="E3" s="41">
        <f>'数据-基础表'!AZ5</f>
        <v>412.76</v>
      </c>
      <c r="F3" s="2436"/>
      <c r="G3" s="42"/>
      <c r="H3" s="43" t="s">
        <v>1106</v>
      </c>
      <c r="I3" s="802" t="e">
        <f>ROUND('数据-基础表'!B3/'数据-基础表'!A3,2)</f>
        <v>#DIV/0!</v>
      </c>
      <c r="J3" s="2436"/>
      <c r="K3" s="2436"/>
      <c r="L3" s="2436"/>
      <c r="M3" s="2436"/>
      <c r="N3" s="2437"/>
      <c r="O3" s="2436"/>
      <c r="P3" s="2436"/>
    </row>
    <row r="4" spans="1:16" ht="15">
      <c r="A4" s="3277"/>
      <c r="B4" s="3278"/>
      <c r="C4" s="3279"/>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0" t="s">
        <v>1110</v>
      </c>
      <c r="C5" s="3280"/>
      <c r="D5" s="43">
        <f>ROUND($D$3*E5/$E$3,2)</f>
        <v>0</v>
      </c>
      <c r="E5" s="44">
        <f>SUMIF('数据-基础表'!$11:$11,"住宅",'数据-基础表'!$5:$5)</f>
        <v>412.76</v>
      </c>
      <c r="F5" s="2436"/>
      <c r="G5" s="42"/>
      <c r="H5" s="43" t="s">
        <v>1106</v>
      </c>
      <c r="I5" s="802" t="e">
        <f>ROUND(E31/D31,2)</f>
        <v>#DIV/0!</v>
      </c>
      <c r="J5" s="2436"/>
      <c r="K5" s="2436"/>
      <c r="L5" s="2436"/>
      <c r="M5" s="2436"/>
      <c r="N5" s="2436"/>
      <c r="O5" s="2436"/>
      <c r="P5" s="2436"/>
    </row>
    <row r="6" spans="1:16" ht="15" thickBot="1">
      <c r="A6" s="1527"/>
      <c r="B6" s="3280" t="s">
        <v>1111</v>
      </c>
      <c r="C6" s="3280"/>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72"/>
      <c r="B7" s="3273"/>
      <c r="C7" s="3274"/>
      <c r="D7" s="1524" t="s">
        <v>1107</v>
      </c>
      <c r="E7" s="1528"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412.76</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412.76</v>
      </c>
      <c r="F16" s="2436"/>
      <c r="G16" s="2436"/>
      <c r="H16" s="1531" t="s">
        <v>1135</v>
      </c>
      <c r="I16" s="1532"/>
      <c r="J16" s="1071"/>
      <c r="K16" s="3269" t="s">
        <v>1135</v>
      </c>
      <c r="L16" s="3270"/>
      <c r="M16" s="3270"/>
      <c r="N16" s="3270"/>
      <c r="O16" s="3270"/>
      <c r="P16" s="3271"/>
    </row>
    <row r="17" spans="1:19" ht="15">
      <c r="A17" s="1533" t="s">
        <v>1136</v>
      </c>
      <c r="B17" s="1534" t="s">
        <v>1137</v>
      </c>
      <c r="C17" s="1535" t="s">
        <v>1138</v>
      </c>
      <c r="D17" s="1536" t="s">
        <v>1126</v>
      </c>
      <c r="E17" s="1537" t="s">
        <v>1127</v>
      </c>
      <c r="F17" s="1538"/>
      <c r="G17" s="1539"/>
      <c r="H17" s="1540" t="s">
        <v>1139</v>
      </c>
      <c r="I17" s="1541" t="s">
        <v>1124</v>
      </c>
      <c r="J17" s="1071"/>
      <c r="K17" s="3266" t="s">
        <v>1140</v>
      </c>
      <c r="L17" s="3267"/>
      <c r="M17" s="3268"/>
      <c r="N17" s="3266" t="s">
        <v>1141</v>
      </c>
      <c r="O17" s="3267"/>
      <c r="P17" s="326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3432</v>
      </c>
      <c r="D19" s="43">
        <f>ROUND($D$3*E19/$E$3,2)</f>
        <v>0</v>
      </c>
      <c r="E19" s="51">
        <f t="shared" ref="E19:E26" si="1">SUM(F19:G19)</f>
        <v>412.76</v>
      </c>
      <c r="F19" s="2555">
        <f>'数据-基础表'!I13</f>
        <v>412.76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412.76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412.76</v>
      </c>
      <c r="F27" s="1072">
        <f>IF(SUM(F19:F26)=E8,SUM(F19:F26),"地上面积有误")</f>
        <v>412.76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412.76</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412.76</v>
      </c>
      <c r="F31" s="644">
        <f>F27+F30</f>
        <v>412.76</v>
      </c>
      <c r="G31" s="645">
        <f>G27+G30</f>
        <v>0</v>
      </c>
      <c r="H31" s="2436"/>
      <c r="I31" s="2436"/>
      <c r="J31" s="2436"/>
      <c r="K31" s="2436"/>
      <c r="L31" s="2436"/>
      <c r="M31" s="2436"/>
      <c r="N31" s="2436"/>
      <c r="O31" s="2436"/>
      <c r="P31" s="2436"/>
    </row>
    <row r="32" spans="1:19">
      <c r="A32" s="1526"/>
      <c r="B32" s="1526" t="s">
        <v>1159</v>
      </c>
      <c r="C32" s="1526"/>
      <c r="D32" s="1526"/>
      <c r="E32" s="990">
        <f>SUMIF(C19:C26,"*住宅*",E19:E26)</f>
        <v>412.76</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45972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65765</v>
      </c>
      <c r="F6" s="61">
        <f>SUMIF(项目基本情况!C$12:I$12,C6,项目基本情况!C$15:I$15)</f>
        <v>54.22</v>
      </c>
      <c r="G6" s="62">
        <f>IF(ISERROR(ROUND(POWER(1+H6,D6-F6)*(POWER(1+H6,F6)-1)/(POWER(1+H6,D6)-1),3)),0,ROUND(POWER(1+H6,D6-F6)*(POWER(1+H6,F6)-1)/(POWER(1+H6,D6)-1),3))</f>
        <v>0.96099999999999997</v>
      </c>
      <c r="H6" s="691">
        <v>0.05</v>
      </c>
      <c r="I6" s="691">
        <v>0.04</v>
      </c>
      <c r="J6" s="63">
        <v>0.06</v>
      </c>
      <c r="K6" s="970">
        <f>SUMIF('数据-汇总表'!C$19:C$33,A6,'数据-汇总表'!E$19:E$33)</f>
        <v>412.76</v>
      </c>
      <c r="L6" s="692">
        <v>5000</v>
      </c>
      <c r="M6" s="64">
        <f t="shared" ref="M6:M14" si="0">ROUND(K6*L6/10000,0)</f>
        <v>206</v>
      </c>
      <c r="N6" s="690">
        <v>0.85</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'比较法-住宅租金'!C48</f>
        <v>138.4</v>
      </c>
      <c r="V6" s="67">
        <v>0.02</v>
      </c>
      <c r="W6" s="67">
        <v>0.05</v>
      </c>
      <c r="X6" s="979"/>
      <c r="Y6" s="68">
        <f>N6</f>
        <v>0.85</v>
      </c>
      <c r="Z6" s="69"/>
      <c r="AA6" s="63"/>
      <c r="AB6" s="63"/>
      <c r="AC6" s="979"/>
      <c r="AD6" s="70"/>
      <c r="AE6" s="980">
        <f ca="1">IF(AN6="",0,SUMIF(INDIRECT("'"&amp;AN6&amp;"'"&amp;"!E:E"),$AE$5,INDIRECT("'"&amp;AN6&amp;"'"&amp;"!F:F")))</f>
        <v>54.22</v>
      </c>
      <c r="AF6" s="74"/>
      <c r="AG6" s="130">
        <f>IF(AF6="",0,AE6-AF6)</f>
        <v>0</v>
      </c>
      <c r="AH6" s="71">
        <f>'数据-汇总表'!F19</f>
        <v>412.76</v>
      </c>
      <c r="AI6" s="73">
        <v>12</v>
      </c>
      <c r="AJ6" s="74"/>
      <c r="AK6" s="75">
        <v>2E-3</v>
      </c>
      <c r="AL6" s="76">
        <v>1E-3</v>
      </c>
      <c r="AM6" s="77">
        <v>0.01</v>
      </c>
      <c r="AN6" s="1589" t="s">
        <v>3434</v>
      </c>
      <c r="AO6" s="50">
        <f ca="1">SUMIF(INDIRECT("'"&amp;AN6&amp;"'"&amp;"!A:A"),"总价",INDIRECT("'"&amp;AN6&amp;"'"&amp;"!B:B"))</f>
        <v>2019.5125</v>
      </c>
      <c r="AP6" s="1590">
        <f>IF(C6="住宅",K6*L6,0)</f>
        <v>2063800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0.96099999999999997</v>
      </c>
      <c r="H16" s="84">
        <f>ROUND(SUMPRODUCT(H6:H13,K6:K13)/SUMPRODUCT((H6:H13&gt;0)*(K6:K13)),3)</f>
        <v>0.05</v>
      </c>
      <c r="I16" s="85"/>
      <c r="J16" s="85"/>
      <c r="K16" s="86">
        <f>SUM(K6:K15)</f>
        <v>412.76</v>
      </c>
      <c r="L16" s="87">
        <f>ROUND(M16*10000/SUM(K6:K14),0)</f>
        <v>4991</v>
      </c>
      <c r="M16" s="87">
        <f>SUM(M6:M14)</f>
        <v>206</v>
      </c>
      <c r="N16" s="88">
        <f>ROUND(SUMPRODUCT(M6:M14,N6:N14)/M16,3)</f>
        <v>0.85</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1</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6"/>
      <c r="D22" s="2449"/>
      <c r="E22" s="2436"/>
      <c r="F22" s="2436"/>
      <c r="G22" s="2436"/>
      <c r="H22" s="2436"/>
      <c r="I22" s="2436"/>
      <c r="J22" s="2436"/>
      <c r="K22" s="2447"/>
      <c r="L22" s="2447">
        <v>2011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6"/>
      <c r="D23" s="2449"/>
      <c r="E23" s="2436"/>
      <c r="F23" s="2436"/>
      <c r="G23" s="2436"/>
      <c r="H23" s="2436"/>
      <c r="I23" s="2436"/>
      <c r="J23" s="2436"/>
      <c r="K23" s="2447"/>
      <c r="L23" s="2447">
        <f>1-(2025-L22)/60</f>
        <v>0.76666666666666661</v>
      </c>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v>0.95</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f>AVERAGE(L23:L24)</f>
        <v>0.85833333333333328</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0.03</v>
      </c>
      <c r="C34" s="2562" t="s">
        <v>2293</v>
      </c>
      <c r="D34" s="2457" t="s">
        <v>2299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0.03</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3382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7" customFormat="1" ht="18.75" thickBot="1">
      <c r="A1" s="3281" t="s">
        <v>2284</v>
      </c>
      <c r="B1" s="3282"/>
      <c r="C1" s="3282"/>
      <c r="D1" s="3282"/>
      <c r="E1" s="3282"/>
      <c r="F1" s="3282"/>
      <c r="G1" s="328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2252</v>
      </c>
      <c r="C3" s="3175" t="s">
        <v>3469</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48">
      <c r="A6" s="2246"/>
      <c r="B6" s="315" t="s">
        <v>2262</v>
      </c>
      <c r="C6" s="3176" t="s">
        <v>3470</v>
      </c>
      <c r="D6" s="2263"/>
      <c r="E6" s="2267"/>
      <c r="F6" s="315" t="s">
        <v>2263</v>
      </c>
      <c r="G6" s="2268" t="s">
        <v>2264</v>
      </c>
      <c r="H6" s="751"/>
      <c r="I6" s="751"/>
      <c r="J6" s="751"/>
      <c r="K6" s="751"/>
      <c r="L6" s="751"/>
      <c r="M6" s="751"/>
      <c r="N6" s="751"/>
      <c r="O6" s="751"/>
      <c r="P6" s="751"/>
      <c r="Q6" s="751"/>
    </row>
    <row r="7" spans="1:29" ht="144.75" thickBot="1">
      <c r="A7" s="2246"/>
      <c r="B7" s="315" t="s">
        <v>2260</v>
      </c>
      <c r="C7" s="3176" t="s">
        <v>3471</v>
      </c>
      <c r="D7" s="2243"/>
      <c r="E7" s="2269"/>
      <c r="F7" s="2270" t="s">
        <v>2265</v>
      </c>
      <c r="G7" s="2271" t="s">
        <v>2266</v>
      </c>
      <c r="H7" s="751"/>
      <c r="I7" s="751"/>
      <c r="J7" s="751"/>
      <c r="K7" s="751"/>
      <c r="L7" s="751"/>
      <c r="M7" s="751"/>
      <c r="N7" s="751"/>
      <c r="O7" s="751"/>
      <c r="P7" s="751"/>
      <c r="Q7" s="751"/>
    </row>
    <row r="8" spans="1:29">
      <c r="A8" s="2246"/>
      <c r="B8" s="315" t="s">
        <v>2263</v>
      </c>
      <c r="C8" s="2268" t="s">
        <v>2264</v>
      </c>
      <c r="D8" s="2243"/>
      <c r="E8" s="2243"/>
      <c r="F8" s="121"/>
      <c r="G8" s="121"/>
      <c r="H8" s="751"/>
      <c r="I8" s="751"/>
      <c r="J8" s="751"/>
      <c r="K8" s="751"/>
      <c r="L8" s="751"/>
      <c r="M8" s="751"/>
      <c r="N8" s="751"/>
      <c r="O8" s="751"/>
      <c r="P8" s="751"/>
      <c r="Q8" s="751"/>
    </row>
    <row r="9" spans="1:29" ht="36">
      <c r="A9" s="2246"/>
      <c r="B9" s="315" t="s">
        <v>2267</v>
      </c>
      <c r="C9" s="3177" t="s">
        <v>3472</v>
      </c>
      <c r="D9" s="2263"/>
      <c r="E9" s="2243"/>
      <c r="F9" s="121"/>
      <c r="G9" s="121"/>
      <c r="H9" s="751"/>
      <c r="I9" s="751"/>
      <c r="J9" s="751"/>
      <c r="K9" s="751"/>
      <c r="L9" s="751"/>
      <c r="M9" s="751"/>
      <c r="N9" s="751"/>
      <c r="O9" s="751"/>
      <c r="P9" s="751"/>
      <c r="Q9" s="751"/>
    </row>
    <row r="10" spans="1:29" ht="15" thickBot="1">
      <c r="A10" s="2247"/>
      <c r="B10" s="2272" t="s">
        <v>2268</v>
      </c>
      <c r="C10" s="2273"/>
      <c r="D10" s="2263"/>
      <c r="E10" s="2263"/>
      <c r="F10" s="121"/>
      <c r="G10" s="121"/>
      <c r="J10" s="2275"/>
      <c r="M10" s="2275"/>
      <c r="P10" s="2275"/>
      <c r="R10" s="2274"/>
    </row>
    <row r="11" spans="1:29">
      <c r="A11" s="2276"/>
      <c r="B11" s="2243"/>
      <c r="C11" s="2263"/>
      <c r="D11" s="2263"/>
      <c r="E11" s="2263"/>
      <c r="F11" s="2243"/>
      <c r="G11" s="2243"/>
      <c r="J11" s="2275"/>
      <c r="M11" s="2275"/>
      <c r="P11" s="2275"/>
      <c r="R11" s="2274"/>
    </row>
    <row r="12" spans="1:29" s="2257" customFormat="1" ht="18">
      <c r="A12" s="2276"/>
      <c r="B12" s="2243"/>
      <c r="C12" s="2263"/>
      <c r="D12" s="2277"/>
      <c r="E12" s="2263"/>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2285</v>
      </c>
      <c r="B13" s="2277"/>
      <c r="C13" s="2277"/>
      <c r="D13" s="2276"/>
      <c r="E13" s="2277"/>
      <c r="F13" s="2277"/>
      <c r="G13" s="2277"/>
    </row>
    <row r="14" spans="1:29" ht="15" thickBot="1">
      <c r="A14" s="2282"/>
      <c r="B14" s="2282"/>
      <c r="C14" s="2283" t="s">
        <v>2269</v>
      </c>
      <c r="D14" s="2263"/>
      <c r="E14" s="2284"/>
      <c r="F14" s="2284"/>
      <c r="G14" s="2260" t="s">
        <v>2270</v>
      </c>
    </row>
    <row r="15" spans="1:29" ht="51">
      <c r="A15" s="2248" t="s">
        <v>2271</v>
      </c>
      <c r="B15" s="2285" t="s">
        <v>2252</v>
      </c>
      <c r="C15" s="2286" t="str">
        <f>C3</f>
        <v>估价对象周边有CBD玲珑墅、朗悦家园、朝丰家园等住宅小区，居住社区发展完善程度较高，居住社区成熟度较好。</v>
      </c>
      <c r="D15" s="2263"/>
      <c r="E15" s="2249" t="s">
        <v>2272</v>
      </c>
      <c r="F15" s="2285" t="s">
        <v>2273</v>
      </c>
      <c r="G15" s="2287" t="str">
        <f>G3</f>
        <v>估价对象位于XX开发区，园区建设成熟度XX，产业集聚程度XX</v>
      </c>
    </row>
    <row r="16" spans="1:29" ht="38.25">
      <c r="A16" s="2250"/>
      <c r="B16" s="2288" t="s">
        <v>2254</v>
      </c>
      <c r="C16" s="2289" t="str">
        <f>C4</f>
        <v>估价对象位于XX商圈，周边商业氛围成熟，人流量大，商业繁华度好</v>
      </c>
      <c r="D16" s="2263"/>
      <c r="E16" s="2251"/>
      <c r="F16" s="2290" t="s">
        <v>2256</v>
      </c>
      <c r="G16" s="2291" t="str">
        <f>G4</f>
        <v>估价对象周边道路状况、公共交通通达情况、停车便捷程度，综合评价交通便捷度较好</v>
      </c>
    </row>
    <row r="17" spans="1:17" ht="38.25">
      <c r="A17" s="2250"/>
      <c r="B17" s="2288" t="s">
        <v>2258</v>
      </c>
      <c r="C17" s="2289" t="str">
        <f>C5</f>
        <v>估价对象位于XX商圈，周边办公楼项目较多，入驻率高，办公集聚程度较好</v>
      </c>
      <c r="D17" s="2243"/>
      <c r="E17" s="2251"/>
      <c r="F17" s="2290" t="s">
        <v>2274</v>
      </c>
      <c r="G17" s="2292"/>
    </row>
    <row r="18" spans="1:17" ht="51">
      <c r="A18" s="2250"/>
      <c r="B18" s="2290" t="s">
        <v>2262</v>
      </c>
      <c r="C18" s="2291" t="str">
        <f>C6</f>
        <v>估价对象距离地铁7号线郎辛庄站约100米，周边有411路、457路、专170、专171等公交通过并设站，综合评价交通便捷度较好。</v>
      </c>
      <c r="D18" s="2243"/>
      <c r="E18" s="2251"/>
      <c r="F18" s="2290" t="s">
        <v>2265</v>
      </c>
      <c r="G18" s="2291" t="str">
        <f>G7</f>
        <v>该园区内是否有污染型企业，绿化情况，卫生条件，整体环境状况判断</v>
      </c>
    </row>
    <row r="19" spans="1:17" ht="25.5">
      <c r="A19" s="2250"/>
      <c r="B19" s="2290" t="s">
        <v>2275</v>
      </c>
      <c r="C19" s="2292"/>
      <c r="D19" s="2263"/>
      <c r="E19" s="2251"/>
      <c r="F19" s="315" t="s">
        <v>2260</v>
      </c>
      <c r="G19" s="2291" t="str">
        <f>G5</f>
        <v>估价对象所在区域公共配套设施齐备情况</v>
      </c>
    </row>
    <row r="20" spans="1:17" ht="38.25">
      <c r="A20" s="2250"/>
      <c r="B20" s="2290" t="s">
        <v>2276</v>
      </c>
      <c r="C20" s="2289" t="str">
        <f>C9</f>
        <v>周边有通惠河灌渠、马家湾湿地公园、聿博文体公园等自然人文环境，综合评价环境状况较好。</v>
      </c>
      <c r="D20" s="2243"/>
      <c r="E20" s="2251"/>
      <c r="F20" s="315" t="s">
        <v>2263</v>
      </c>
      <c r="G20" s="2291" t="str">
        <f>G6</f>
        <v>估价对象所在区域基础设施水平</v>
      </c>
    </row>
    <row r="21" spans="1:17" ht="153">
      <c r="A21" s="2250"/>
      <c r="B21" s="315" t="s">
        <v>2260</v>
      </c>
      <c r="C21" s="2291" t="str">
        <f>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1" s="2263"/>
      <c r="E21" s="2251"/>
      <c r="F21" s="2290" t="s">
        <v>2277</v>
      </c>
      <c r="G21" s="2293"/>
    </row>
    <row r="22" spans="1:17" ht="13.5" customHeight="1">
      <c r="A22" s="2250"/>
      <c r="B22" s="315" t="s">
        <v>2263</v>
      </c>
      <c r="C22" s="2291" t="str">
        <f>C8</f>
        <v>估价对象所在区域基础设施水平</v>
      </c>
      <c r="D22" s="2263"/>
      <c r="E22" s="2251"/>
      <c r="F22" s="2290" t="s">
        <v>2268</v>
      </c>
      <c r="G22" s="2292"/>
    </row>
    <row r="23" spans="1:17" s="751" customFormat="1" ht="15" thickBot="1">
      <c r="A23" s="2250"/>
      <c r="B23" s="2290" t="s">
        <v>2277</v>
      </c>
      <c r="C23" s="2293"/>
      <c r="D23" s="1614"/>
      <c r="E23" s="2252"/>
      <c r="F23" s="2294" t="s">
        <v>2278</v>
      </c>
      <c r="G23" s="2295"/>
      <c r="H23" s="2274"/>
      <c r="I23" s="2274"/>
      <c r="J23" s="2274"/>
      <c r="K23" s="2274"/>
      <c r="L23" s="2274"/>
      <c r="M23" s="2274"/>
      <c r="N23" s="2274"/>
      <c r="O23" s="2274"/>
      <c r="P23" s="2274"/>
      <c r="Q23" s="2274"/>
    </row>
    <row r="24" spans="1:17" s="751" customFormat="1" ht="15" thickBot="1">
      <c r="A24" s="2253"/>
      <c r="B24" s="2294" t="s">
        <v>2279</v>
      </c>
      <c r="C24" s="2296">
        <f>C10</f>
        <v>0</v>
      </c>
      <c r="D24" s="1614"/>
      <c r="E24" s="2243"/>
      <c r="F24" s="2243"/>
      <c r="G24" s="2243"/>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28" sqref="M2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412.76</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45972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2230.3074000000001</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3352</v>
      </c>
      <c r="D10" s="2297" t="s">
        <v>3353</v>
      </c>
      <c r="E10" s="3134"/>
      <c r="F10" s="3138" t="s">
        <v>3354</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412.76</v>
      </c>
      <c r="C14" s="2303"/>
      <c r="D14" s="2303">
        <f ca="1">ROUND(B14*E14/10000,4)</f>
        <v>2230.3074000000001</v>
      </c>
      <c r="E14" s="2303">
        <f ca="1">结果表!G20</f>
        <v>54034</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0" sqref="D10:D1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0" t="str">
        <f>项目基本情况!S2</f>
        <v>北京市房地产</v>
      </c>
      <c r="B2" s="3351"/>
      <c r="C2" s="3351"/>
      <c r="D2" s="3351"/>
      <c r="E2" s="3351"/>
      <c r="F2" s="3351"/>
      <c r="G2" s="3351"/>
      <c r="H2" s="3351"/>
      <c r="I2" s="3352"/>
    </row>
    <row r="3" spans="1:12" ht="12.75">
      <c r="A3" s="3354" t="s">
        <v>1264</v>
      </c>
      <c r="B3" s="3355"/>
      <c r="C3" s="3355"/>
      <c r="D3" s="3355"/>
      <c r="E3" s="3355"/>
      <c r="F3" s="3355"/>
      <c r="G3" s="3355"/>
      <c r="H3" s="3355"/>
      <c r="I3" s="3355"/>
    </row>
    <row r="4" spans="1:12" ht="14.25">
      <c r="A4" s="1624" t="s">
        <v>1265</v>
      </c>
      <c r="B4" s="1625" t="s">
        <v>1266</v>
      </c>
      <c r="C4" s="1626" t="s">
        <v>3507</v>
      </c>
      <c r="D4" s="1626" t="s">
        <v>3466</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98" t="s">
        <v>1268</v>
      </c>
      <c r="B5" s="3353">
        <v>25</v>
      </c>
      <c r="C5" s="3356"/>
      <c r="D5" s="3344"/>
      <c r="E5" s="123" t="s">
        <v>1269</v>
      </c>
      <c r="F5" s="1627"/>
      <c r="G5" s="1627"/>
      <c r="H5" s="1627"/>
      <c r="I5" s="1281"/>
    </row>
    <row r="6" spans="1:12" ht="12.75">
      <c r="A6" s="3298"/>
      <c r="B6" s="3353"/>
      <c r="C6" s="3358"/>
      <c r="D6" s="3344"/>
      <c r="E6" s="123" t="s">
        <v>1270</v>
      </c>
      <c r="F6" s="1627"/>
      <c r="G6" s="1627"/>
      <c r="H6" s="1627"/>
      <c r="I6" s="1281"/>
    </row>
    <row r="7" spans="1:12" ht="12.75">
      <c r="A7" s="3298"/>
      <c r="B7" s="3353"/>
      <c r="C7" s="3357"/>
      <c r="D7" s="3344"/>
      <c r="E7" s="123" t="s">
        <v>1271</v>
      </c>
      <c r="F7" s="1627"/>
      <c r="G7" s="1627"/>
      <c r="H7" s="1627"/>
      <c r="I7" s="1281"/>
    </row>
    <row r="8" spans="1:12" ht="12.75">
      <c r="A8" s="3298" t="s">
        <v>1272</v>
      </c>
      <c r="B8" s="3353">
        <v>15</v>
      </c>
      <c r="C8" s="3356"/>
      <c r="D8" s="3344"/>
      <c r="E8" s="123" t="s">
        <v>1273</v>
      </c>
      <c r="F8" s="1627"/>
      <c r="G8" s="1627"/>
      <c r="H8" s="1627"/>
      <c r="I8" s="1281"/>
    </row>
    <row r="9" spans="1:12" ht="12.75">
      <c r="A9" s="3298"/>
      <c r="B9" s="3353"/>
      <c r="C9" s="3357"/>
      <c r="D9" s="3344"/>
      <c r="E9" s="123" t="s">
        <v>1274</v>
      </c>
      <c r="F9" s="1627"/>
      <c r="G9" s="1627"/>
      <c r="H9" s="1627"/>
      <c r="I9" s="1281"/>
    </row>
    <row r="10" spans="1:12" ht="12.75">
      <c r="A10" s="3298" t="s">
        <v>1275</v>
      </c>
      <c r="B10" s="3353">
        <v>15</v>
      </c>
      <c r="C10" s="3356"/>
      <c r="D10" s="3344"/>
      <c r="E10" s="123" t="s">
        <v>1276</v>
      </c>
      <c r="F10" s="1627"/>
      <c r="G10" s="1627"/>
      <c r="H10" s="1627"/>
      <c r="I10" s="1281"/>
    </row>
    <row r="11" spans="1:12" ht="12.75">
      <c r="A11" s="3298"/>
      <c r="B11" s="3353"/>
      <c r="C11" s="3357"/>
      <c r="D11" s="3344"/>
      <c r="E11" s="123" t="s">
        <v>1277</v>
      </c>
      <c r="F11" s="1627"/>
      <c r="G11" s="1627"/>
      <c r="H11" s="1627"/>
      <c r="I11" s="1281"/>
    </row>
    <row r="12" spans="1:12" ht="12.75">
      <c r="A12" s="3298" t="s">
        <v>1278</v>
      </c>
      <c r="B12" s="3353">
        <v>15</v>
      </c>
      <c r="C12" s="3356"/>
      <c r="D12" s="3344"/>
      <c r="E12" s="123" t="s">
        <v>1279</v>
      </c>
      <c r="F12" s="1627"/>
      <c r="G12" s="1627"/>
      <c r="H12" s="1627"/>
      <c r="I12" s="1281"/>
    </row>
    <row r="13" spans="1:12" ht="12.75">
      <c r="A13" s="3298"/>
      <c r="B13" s="3353"/>
      <c r="C13" s="3357"/>
      <c r="D13" s="3344"/>
      <c r="E13" s="123" t="s">
        <v>1280</v>
      </c>
      <c r="F13" s="1627"/>
      <c r="G13" s="1627"/>
      <c r="H13" s="1627"/>
      <c r="I13" s="1281"/>
    </row>
    <row r="14" spans="1:12" ht="12.75">
      <c r="A14" s="3298" t="s">
        <v>1281</v>
      </c>
      <c r="B14" s="3353">
        <v>30</v>
      </c>
      <c r="C14" s="3356">
        <v>2</v>
      </c>
      <c r="D14" s="3344">
        <f>10-C14</f>
        <v>8</v>
      </c>
      <c r="E14" s="123" t="s">
        <v>1282</v>
      </c>
      <c r="F14" s="1627"/>
      <c r="G14" s="1627"/>
      <c r="H14" s="1627"/>
      <c r="I14" s="1281"/>
    </row>
    <row r="15" spans="1:12" ht="12.75">
      <c r="A15" s="3298"/>
      <c r="B15" s="3353"/>
      <c r="C15" s="3358"/>
      <c r="D15" s="3344"/>
      <c r="E15" s="123" t="s">
        <v>1283</v>
      </c>
      <c r="F15" s="1627"/>
      <c r="G15" s="1627"/>
      <c r="H15" s="1627"/>
      <c r="I15" s="1281"/>
    </row>
    <row r="16" spans="1:12" ht="12.75">
      <c r="A16" s="3298"/>
      <c r="B16" s="3353"/>
      <c r="C16" s="3357"/>
      <c r="D16" s="3344"/>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75" t="s">
        <v>2131</v>
      </c>
      <c r="F18" s="3376"/>
      <c r="G18" s="3376"/>
      <c r="H18" s="3376"/>
      <c r="I18" s="3376"/>
      <c r="K18" s="294" t="s">
        <v>1289</v>
      </c>
      <c r="L18" s="294">
        <f>IF(C1="",'数据-汇总表'!E3,SUMIF(项目类型,C1,'数据-汇总表'!E17:E26)+SUMIF(项目类型,C1,'数据-汇总表'!I17:I26))</f>
        <v>412.76</v>
      </c>
      <c r="M18" s="294">
        <f>IF(C1="",'数据-汇总表'!E3,SUMIF(项目类型,C1,'数据-汇总表'!E17:E26))</f>
        <v>412.76</v>
      </c>
    </row>
    <row r="19" spans="1:36" ht="15">
      <c r="A19" s="1630" t="s">
        <v>1290</v>
      </c>
      <c r="B19" s="1631" t="s">
        <v>1291</v>
      </c>
      <c r="C19" s="126">
        <f ca="1">SUMIF(INDIRECT("'"&amp;C4&amp;"'"&amp;"!A:A"),结果表!B19,INDIRECT("'"&amp;C4&amp;"'"&amp;"!B:B"))</f>
        <v>1870.9067</v>
      </c>
      <c r="D19" s="127">
        <f ca="1">SUMIF(INDIRECT("'"&amp;D4&amp;"'"&amp;"!A:A"),结果表!B19,INDIRECT("'"&amp;D4&amp;"'"&amp;"!B:B"))</f>
        <v>2320.1651999999999</v>
      </c>
      <c r="E19" s="1630" t="s">
        <v>1292</v>
      </c>
      <c r="F19" s="1631" t="s">
        <v>1291</v>
      </c>
      <c r="G19" s="128">
        <f ca="1">ROUND(C19*$C$18+D19*$D$18,0)</f>
        <v>2230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45327</v>
      </c>
      <c r="D20" s="130">
        <f ca="1">SUMIF(INDIRECT("'"&amp;D4&amp;"'"&amp;"!A:A"),结果表!B20,INDIRECT("'"&amp;D4&amp;"'"&amp;"!B:B"))</f>
        <v>56211</v>
      </c>
      <c r="E20" s="1633"/>
      <c r="F20" s="43" t="s">
        <v>1295</v>
      </c>
      <c r="G20" s="131">
        <f ca="1">ROUND(C20*$C$18+D20*$D$18,0)</f>
        <v>54034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0.24012875682149182</v>
      </c>
      <c r="E22" s="121"/>
      <c r="F22" s="121"/>
      <c r="G22" s="121"/>
      <c r="H22" s="121"/>
      <c r="I22" s="121"/>
    </row>
    <row r="23" spans="1:36" ht="13.5" thickBot="1">
      <c r="A23" s="646"/>
      <c r="B23" s="646"/>
      <c r="C23" s="646"/>
      <c r="D23" s="646"/>
      <c r="E23" s="121"/>
      <c r="F23" s="121"/>
      <c r="G23" s="121">
        <f ca="1">G20*'数据-汇总表'!F19</f>
        <v>22303073.84</v>
      </c>
      <c r="H23" s="121"/>
      <c r="I23" s="121"/>
    </row>
    <row r="24" spans="1:36" ht="14.25">
      <c r="A24" s="3368" t="s">
        <v>1299</v>
      </c>
      <c r="B24" s="1631" t="s">
        <v>1291</v>
      </c>
      <c r="C24" s="128">
        <f>IF(B30=0,0,D30)</f>
        <v>0</v>
      </c>
      <c r="D24" s="1637"/>
      <c r="E24" s="121"/>
      <c r="F24" s="121"/>
      <c r="G24" s="121"/>
      <c r="H24" s="121"/>
      <c r="I24" s="121"/>
    </row>
    <row r="25" spans="1:36" ht="14.25">
      <c r="A25" s="33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54034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5" t="s">
        <v>1312</v>
      </c>
      <c r="B36" s="1652" t="s">
        <v>1313</v>
      </c>
      <c r="C36" s="137"/>
      <c r="D36" s="1653"/>
      <c r="E36" s="1567"/>
      <c r="F36" s="1654"/>
      <c r="G36" s="121"/>
      <c r="H36" s="121"/>
      <c r="I36" s="121"/>
    </row>
    <row r="37" spans="1:15" ht="15.75" thickBot="1">
      <c r="A37" s="3346"/>
      <c r="B37" s="1555" t="s">
        <v>1314</v>
      </c>
      <c r="C37" s="139"/>
      <c r="D37" s="1071"/>
      <c r="E37" s="1071"/>
      <c r="F37" s="1654"/>
      <c r="G37" s="121"/>
      <c r="H37" s="121"/>
      <c r="I37" s="121"/>
    </row>
    <row r="38" spans="1:15" ht="15.75" thickBot="1">
      <c r="A38" s="334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5" t="s">
        <v>1326</v>
      </c>
      <c r="B45" s="3366"/>
      <c r="C45" s="3367"/>
      <c r="D45" s="147" t="e">
        <f ca="1">ROUND(H101*F45,0)</f>
        <v>#REF!</v>
      </c>
      <c r="E45" s="148" t="s">
        <v>1327</v>
      </c>
      <c r="F45" s="149">
        <v>1</v>
      </c>
      <c r="G45" s="150" t="s">
        <v>1328</v>
      </c>
      <c r="H45" s="121"/>
      <c r="I45" s="121"/>
      <c r="J45" s="3285" t="s">
        <v>1329</v>
      </c>
      <c r="K45" s="3285"/>
      <c r="L45" s="3285"/>
      <c r="M45" s="3285"/>
      <c r="N45" s="3285"/>
      <c r="O45" s="3285"/>
    </row>
    <row r="46" spans="1:15" ht="14.25" customHeight="1">
      <c r="A46" s="3362" t="s">
        <v>1330</v>
      </c>
      <c r="B46" s="3363"/>
      <c r="C46" s="3363"/>
      <c r="D46" s="3363"/>
      <c r="E46" s="3363"/>
      <c r="F46" s="3363"/>
      <c r="G46" s="3364"/>
      <c r="H46" s="1668"/>
      <c r="I46" s="151"/>
      <c r="J46" s="2307">
        <v>1</v>
      </c>
      <c r="K46" s="3286" t="s">
        <v>1331</v>
      </c>
      <c r="L46" s="3286"/>
      <c r="M46" s="3287"/>
      <c r="N46" s="3287"/>
      <c r="O46" s="3287"/>
    </row>
    <row r="47" spans="1:15" ht="12" customHeight="1">
      <c r="A47" s="152" t="s">
        <v>1332</v>
      </c>
      <c r="B47" s="153"/>
      <c r="C47" s="154"/>
      <c r="D47" s="1024" t="s">
        <v>1333</v>
      </c>
      <c r="E47" s="294" t="s">
        <v>1334</v>
      </c>
      <c r="F47" s="155" t="s">
        <v>1335</v>
      </c>
      <c r="G47" s="2330" t="s">
        <v>1336</v>
      </c>
      <c r="H47" s="2331"/>
      <c r="I47" s="151"/>
      <c r="J47" s="2307">
        <v>2</v>
      </c>
      <c r="K47" s="3286" t="s">
        <v>1337</v>
      </c>
      <c r="L47" s="3286"/>
      <c r="M47" s="3288">
        <f>'数据-取费表'!B2</f>
        <v>45972</v>
      </c>
      <c r="N47" s="3288"/>
      <c r="O47" s="3288"/>
    </row>
    <row r="48" spans="1:15" ht="25.5">
      <c r="A48" s="3348" t="s">
        <v>1338</v>
      </c>
      <c r="B48" s="3349"/>
      <c r="C48" s="3349"/>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86" t="s">
        <v>1340</v>
      </c>
      <c r="L48" s="3286"/>
      <c r="M48" s="3289" t="e">
        <f ca="1">H101</f>
        <v>#REF!</v>
      </c>
      <c r="N48" s="3289"/>
      <c r="O48" s="3289"/>
    </row>
    <row r="49" spans="1:35" ht="25.5" customHeight="1">
      <c r="A49" s="2150" t="s">
        <v>1341</v>
      </c>
      <c r="B49" s="3334" t="s">
        <v>1342</v>
      </c>
      <c r="C49" s="3334"/>
      <c r="D49" s="1478">
        <v>0</v>
      </c>
      <c r="E49" s="316" t="s">
        <v>1343</v>
      </c>
      <c r="F49" s="2231" t="s">
        <v>28</v>
      </c>
      <c r="G49" s="3317"/>
      <c r="H49" s="2132" t="s">
        <v>2134</v>
      </c>
      <c r="I49" s="2133"/>
      <c r="J49" s="2307">
        <v>4</v>
      </c>
      <c r="K49" s="3286" t="str">
        <f>IF(项目基本情况!E8="房地产抵押价值","房地产抵押价值","抵押担保权已注销时的房地产抵押价值")</f>
        <v>抵押担保权已注销时的房地产抵押价值</v>
      </c>
      <c r="L49" s="3286"/>
      <c r="M49" s="3289" t="str">
        <f>IF(项目基本情况!E8="房地产抵押价值",H107,H109)</f>
        <v>——</v>
      </c>
      <c r="N49" s="3289"/>
      <c r="O49" s="3289"/>
    </row>
    <row r="50" spans="1:35" ht="25.5" customHeight="1">
      <c r="A50" s="2335"/>
      <c r="B50" s="3334" t="s">
        <v>1344</v>
      </c>
      <c r="C50" s="3334"/>
      <c r="D50" s="2187"/>
      <c r="E50" s="323"/>
      <c r="F50" s="2231"/>
      <c r="G50" s="3318"/>
      <c r="H50" s="2134" t="s">
        <v>2135</v>
      </c>
      <c r="I50" s="2133"/>
      <c r="J50" s="3285" t="s">
        <v>1345</v>
      </c>
      <c r="K50" s="3285"/>
      <c r="L50" s="3285"/>
      <c r="M50" s="3285"/>
      <c r="N50" s="3285"/>
      <c r="O50" s="3285"/>
    </row>
    <row r="51" spans="1:35" ht="20.45" customHeight="1">
      <c r="A51" s="2336"/>
      <c r="B51" s="3334" t="s">
        <v>1346</v>
      </c>
      <c r="C51" s="3334"/>
      <c r="D51" s="1024"/>
      <c r="E51" s="319"/>
      <c r="F51" s="2231"/>
      <c r="G51" s="3319"/>
      <c r="H51" s="2134" t="s">
        <v>2136</v>
      </c>
      <c r="I51" s="2133"/>
      <c r="J51" s="2308" t="s">
        <v>1347</v>
      </c>
      <c r="K51" s="3286" t="s">
        <v>1348</v>
      </c>
      <c r="L51" s="3286"/>
      <c r="M51" s="2308" t="s">
        <v>1349</v>
      </c>
      <c r="N51" s="2308" t="s">
        <v>1350</v>
      </c>
      <c r="O51" s="2308" t="s">
        <v>1351</v>
      </c>
    </row>
    <row r="52" spans="1:35" ht="24" customHeight="1">
      <c r="A52" s="2151" t="s">
        <v>1352</v>
      </c>
      <c r="B52" s="3334" t="s">
        <v>1353</v>
      </c>
      <c r="C52" s="3334"/>
      <c r="D52" s="1024" t="e">
        <f ca="1">ROUND(D45*'数据-取费表'!B41/(1+'数据-取费表'!C42),0)</f>
        <v>#REF!</v>
      </c>
      <c r="E52" s="1256" t="s">
        <v>1354</v>
      </c>
      <c r="F52" s="2337">
        <f>'数据-取费表'!B41</f>
        <v>5.6000000000000001E-2</v>
      </c>
      <c r="G52" s="2338"/>
      <c r="H52" s="2328"/>
      <c r="I52" s="1669"/>
      <c r="J52" s="2307">
        <v>1</v>
      </c>
      <c r="K52" s="3311" t="s">
        <v>1355</v>
      </c>
      <c r="L52" s="3311"/>
      <c r="M52" s="2309" t="b">
        <f>D48</f>
        <v>0</v>
      </c>
      <c r="N52" s="2307" t="str">
        <f>E48</f>
        <v>销售额×税（费）率</v>
      </c>
      <c r="O52" s="2310">
        <f>F48</f>
        <v>5.6000000000000001E-2</v>
      </c>
    </row>
    <row r="53" spans="1:35" ht="12" customHeight="1">
      <c r="A53" s="2151" t="s">
        <v>1356</v>
      </c>
      <c r="B53" s="3335" t="s">
        <v>2289</v>
      </c>
      <c r="C53" s="3336"/>
      <c r="D53" s="1024" t="e">
        <f ca="1">ROUND(D45*'数据-取费表'!B41/(1+'数据-取费表'!C42),0)</f>
        <v>#REF!</v>
      </c>
      <c r="E53" s="1256" t="s">
        <v>1354</v>
      </c>
      <c r="F53" s="2337">
        <f>'数据-取费表'!B41</f>
        <v>5.6000000000000001E-2</v>
      </c>
      <c r="G53" s="2338"/>
      <c r="H53" s="2328"/>
      <c r="I53" s="1669"/>
      <c r="J53" s="2307">
        <v>2</v>
      </c>
      <c r="K53" s="3311" t="s">
        <v>1357</v>
      </c>
      <c r="L53" s="3311"/>
      <c r="M53" s="2309" t="e">
        <f t="shared" ref="M53:O54" ca="1" si="0">D55</f>
        <v>#REF!</v>
      </c>
      <c r="N53" s="2307" t="str">
        <f t="shared" si="0"/>
        <v>销售额×税（费）率</v>
      </c>
      <c r="O53" s="2310" t="str">
        <f t="shared" si="0"/>
        <v>免征</v>
      </c>
    </row>
    <row r="54" spans="1:35" ht="12" customHeight="1">
      <c r="A54" s="2151" t="s">
        <v>1358</v>
      </c>
      <c r="B54" s="3335" t="s">
        <v>2290</v>
      </c>
      <c r="C54" s="3336"/>
      <c r="D54" s="1024" t="e">
        <f ca="1">C68</f>
        <v>#REF!</v>
      </c>
      <c r="E54" s="319" t="s">
        <v>1359</v>
      </c>
      <c r="F54" s="2337">
        <f>'数据-取费表'!B41</f>
        <v>5.6000000000000001E-2</v>
      </c>
      <c r="G54" s="2338"/>
      <c r="H54" s="2339"/>
      <c r="I54" s="1669"/>
      <c r="J54" s="2307">
        <v>3</v>
      </c>
      <c r="K54" s="3311" t="s">
        <v>1360</v>
      </c>
      <c r="L54" s="3311"/>
      <c r="M54" s="2309" t="e">
        <f t="shared" ca="1" si="0"/>
        <v>#REF!</v>
      </c>
      <c r="N54" s="2307" t="str">
        <f t="shared" si="0"/>
        <v>增值额×税（费）率</v>
      </c>
      <c r="O54" s="2311" t="str">
        <f t="shared" si="0"/>
        <v>免征</v>
      </c>
    </row>
    <row r="55" spans="1:35" ht="24" customHeight="1">
      <c r="A55" s="3371" t="s">
        <v>1361</v>
      </c>
      <c r="B55" s="3349"/>
      <c r="C55" s="3349"/>
      <c r="D55" s="12" t="e">
        <f ca="1">IF(H55="个人住宅",0,ROUND(D45*I55,0))</f>
        <v>#REF!</v>
      </c>
      <c r="E55" s="1256" t="s">
        <v>1362</v>
      </c>
      <c r="F55" s="2337" t="str">
        <f>IF(H55="正常",I55,"免征")</f>
        <v>免征</v>
      </c>
      <c r="G55" s="2338"/>
      <c r="H55" s="2334"/>
      <c r="I55" s="157">
        <f>'数据-取费表'!B49</f>
        <v>5.0000000000000001E-4</v>
      </c>
      <c r="J55" s="2307">
        <f>IF(H59="非个人房产","",4)</f>
        <v>4</v>
      </c>
      <c r="K55" s="3311" t="str">
        <f>IF(H59="非个人房产","——","个人所得税")</f>
        <v>个人所得税</v>
      </c>
      <c r="L55" s="3311"/>
      <c r="M55" s="2312" t="e">
        <f ca="1">D59</f>
        <v>#REF!</v>
      </c>
      <c r="N55" s="1881" t="str">
        <f>E59</f>
        <v>差额计税</v>
      </c>
      <c r="O55" s="2313">
        <f>F59</f>
        <v>0.01</v>
      </c>
    </row>
    <row r="56" spans="1:35" ht="24.75">
      <c r="A56" s="3371" t="s">
        <v>1363</v>
      </c>
      <c r="B56" s="3349"/>
      <c r="C56" s="3349"/>
      <c r="D56" s="12" t="e">
        <f ca="1">IF(H56="个人住宅",D57,D58)</f>
        <v>#REF!</v>
      </c>
      <c r="E56" s="1256" t="s">
        <v>1364</v>
      </c>
      <c r="F56" s="2337" t="str">
        <f>IF(H56="正常",F58,"免征")</f>
        <v>免征</v>
      </c>
      <c r="G56" s="2340" t="s">
        <v>1365</v>
      </c>
      <c r="H56" s="2341"/>
      <c r="I56" s="1670"/>
      <c r="J56" s="2307" t="str">
        <f>IF(项目基本情况!K6="上海银行",IF(J55="",4,J55+1),"")</f>
        <v/>
      </c>
      <c r="K56" s="3292" t="str">
        <f>IF(项目基本情况!K6="上海银行","其他处置费用","")</f>
        <v/>
      </c>
      <c r="L56" s="3293"/>
      <c r="M56" s="2309" t="str">
        <f>IF(项目基本情况!K6="上海银行",M69,"")</f>
        <v/>
      </c>
      <c r="N56" s="3292" t="str">
        <f>IF(项目基本情况!K6="上海银行","包含处置中涉及的律师、诉讼、拍卖、评估等费用","")</f>
        <v/>
      </c>
      <c r="O56" s="3295"/>
    </row>
    <row r="57" spans="1:35" ht="12.75">
      <c r="A57" s="2151" t="s">
        <v>1341</v>
      </c>
      <c r="B57" s="3335" t="s">
        <v>1366</v>
      </c>
      <c r="C57" s="3336"/>
      <c r="D57" s="1478">
        <v>0</v>
      </c>
      <c r="E57" s="316" t="s">
        <v>1343</v>
      </c>
      <c r="F57" s="294"/>
      <c r="G57" s="2338"/>
      <c r="H57" s="2342"/>
      <c r="I57" s="1670"/>
      <c r="J57" s="3311">
        <f>IF(AND(J55="",J56=""),4,IF(项目基本情况!K6="上海银行",结果表!J56+1,结果表!J55+1))</f>
        <v>5</v>
      </c>
      <c r="K57" s="3311" t="s">
        <v>1367</v>
      </c>
      <c r="L57" s="2314" t="s">
        <v>1368</v>
      </c>
      <c r="M57" s="2315"/>
      <c r="N57" s="2316">
        <f ca="1">SUMIF(M52:M56,"&lt;9e307")</f>
        <v>0</v>
      </c>
      <c r="O57" s="2317"/>
      <c r="P57" s="2462" t="e">
        <f ca="1">N57/M49</f>
        <v>#VALUE!</v>
      </c>
    </row>
    <row r="58" spans="1:35" ht="24.75">
      <c r="A58" s="2151" t="s">
        <v>1352</v>
      </c>
      <c r="B58" s="3335" t="s">
        <v>1369</v>
      </c>
      <c r="C58" s="3334"/>
      <c r="D58" s="12" t="e">
        <f ca="1">IF(H58="转让取得",C81,C97)</f>
        <v>#REF!</v>
      </c>
      <c r="E58" s="1256" t="s">
        <v>1364</v>
      </c>
      <c r="F58" s="294" t="s">
        <v>28</v>
      </c>
      <c r="G58" s="2338"/>
      <c r="H58" s="2341"/>
      <c r="I58" s="1670"/>
      <c r="J58" s="3311"/>
      <c r="K58" s="3311"/>
      <c r="L58" s="2314" t="s">
        <v>1370</v>
      </c>
      <c r="M58" s="2318"/>
      <c r="N58" s="2319" t="str">
        <f ca="1">NUMBERSTRING(INT(N57*10000),2)&amp;"元整"</f>
        <v>零元整</v>
      </c>
      <c r="O58" s="2320"/>
    </row>
    <row r="59" spans="1:35" ht="24.75" thickBot="1">
      <c r="A59" s="3315" t="s">
        <v>1371</v>
      </c>
      <c r="B59" s="3316"/>
      <c r="C59" s="3316"/>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3">
        <f>J57+1</f>
        <v>6</v>
      </c>
      <c r="K59" s="3311" t="s">
        <v>1372</v>
      </c>
      <c r="L59" s="2307" t="s">
        <v>1368</v>
      </c>
      <c r="M59" s="2321"/>
      <c r="N59" s="2322" t="e">
        <f ca="1">M49-N57</f>
        <v>#VALUE!</v>
      </c>
      <c r="O59" s="2323"/>
    </row>
    <row r="60" spans="1:35" ht="12" customHeight="1">
      <c r="A60" s="1671"/>
      <c r="B60" s="646"/>
      <c r="C60" s="646"/>
      <c r="D60" s="646"/>
      <c r="E60" s="1466"/>
      <c r="F60" s="1670"/>
      <c r="G60" s="1670"/>
      <c r="H60" s="151"/>
      <c r="I60" s="121"/>
      <c r="J60" s="3314"/>
      <c r="K60" s="3311"/>
      <c r="L60" s="2314" t="s">
        <v>1370</v>
      </c>
      <c r="M60" s="2318"/>
      <c r="N60" s="2319" t="e">
        <f ca="1">NUMBERSTRING(INT(N59*10000),2)&amp;"元整"</f>
        <v>#VALUE!</v>
      </c>
      <c r="O60" s="2320"/>
    </row>
    <row r="61" spans="1:35" ht="13.5" thickBot="1">
      <c r="A61" s="3370" t="s">
        <v>1373</v>
      </c>
      <c r="B61" s="3370"/>
      <c r="C61" s="3370"/>
      <c r="D61" s="3370"/>
      <c r="E61" s="3370"/>
      <c r="F61" s="1670"/>
      <c r="G61" s="1670"/>
      <c r="H61" s="151"/>
      <c r="I61" s="121"/>
      <c r="J61" s="2307">
        <f>J59+1</f>
        <v>7</v>
      </c>
      <c r="K61" s="3311" t="s">
        <v>1374</v>
      </c>
      <c r="L61" s="3311"/>
      <c r="M61" s="2324"/>
      <c r="N61" s="2325" t="e">
        <f ca="1">ROUND(N59*10000/'数据-汇总表'!E3,0)</f>
        <v>#VALUE!</v>
      </c>
      <c r="O61" s="2326"/>
    </row>
    <row r="62" spans="1:35" ht="12.75">
      <c r="A62" s="3330" t="s">
        <v>1375</v>
      </c>
      <c r="B62" s="3331"/>
      <c r="C62" s="1863"/>
      <c r="D62" s="1863"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94"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9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94"/>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94"/>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9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94"/>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94"/>
      <c r="K69" s="1245" t="s">
        <v>1393</v>
      </c>
      <c r="L69" s="1245"/>
      <c r="M69" s="294" t="e">
        <f>ROUND(SUM(M63:M68),0)</f>
        <v>#VALUE!</v>
      </c>
      <c r="N69" s="2329" t="e">
        <f>M69/M49</f>
        <v>#VALUE!</v>
      </c>
      <c r="Z69" s="1623"/>
      <c r="AI69" s="1561"/>
    </row>
    <row r="70" spans="1:35" s="642" customFormat="1" ht="15"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0" t="s">
        <v>1375</v>
      </c>
      <c r="B71" s="333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35" t="s">
        <v>1402</v>
      </c>
      <c r="F76" s="3334"/>
      <c r="G76" s="3334"/>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27" t="s">
        <v>1406</v>
      </c>
      <c r="F78" s="3328"/>
      <c r="G78" s="3328"/>
      <c r="H78" s="332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0" t="s">
        <v>1375</v>
      </c>
      <c r="B84" s="333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6"/>
      <c r="G88" s="186" t="s">
        <v>1414</v>
      </c>
      <c r="H88" s="1684"/>
      <c r="I88" s="1681"/>
      <c r="J88" s="2305"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6"/>
      <c r="G90" s="3296" t="s">
        <v>2129</v>
      </c>
      <c r="H90" s="3297"/>
      <c r="I90" s="1681"/>
      <c r="J90" s="2305"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27" t="s">
        <v>1419</v>
      </c>
      <c r="F91" s="3328"/>
      <c r="G91" s="332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27" t="s">
        <v>1422</v>
      </c>
      <c r="F92" s="3328"/>
      <c r="G92" s="3328"/>
      <c r="H92" s="3329"/>
      <c r="I92" s="1681"/>
      <c r="J92" s="2306"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27" t="s">
        <v>1406</v>
      </c>
      <c r="F93" s="3328"/>
      <c r="G93" s="3328"/>
      <c r="H93" s="332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72" t="s">
        <v>1426</v>
      </c>
      <c r="F94" s="3373"/>
      <c r="G94" s="3373"/>
      <c r="H94" s="33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7" t="s">
        <v>1428</v>
      </c>
      <c r="B100" s="3278"/>
      <c r="C100" s="3278"/>
      <c r="D100" s="3312"/>
      <c r="E100" s="3278" t="s">
        <v>1429</v>
      </c>
      <c r="F100" s="3278"/>
      <c r="G100" s="3278"/>
      <c r="H100" s="3312"/>
      <c r="I100" s="121"/>
    </row>
    <row r="101" spans="1:35" ht="18.75" customHeight="1">
      <c r="A101" s="3320" t="s">
        <v>1430</v>
      </c>
      <c r="B101" s="3321"/>
      <c r="C101" s="2368" t="str">
        <f>C4</f>
        <v>成本法 (元)</v>
      </c>
      <c r="D101" s="2369" t="str">
        <f>D4</f>
        <v>比较法-住宅</v>
      </c>
      <c r="E101" s="3290" t="s">
        <v>1431</v>
      </c>
      <c r="F101" s="3291"/>
      <c r="G101" s="1687" t="s">
        <v>1432</v>
      </c>
      <c r="H101" s="2378" t="e">
        <f ca="1">H118</f>
        <v>#REF!</v>
      </c>
      <c r="I101" s="121"/>
    </row>
    <row r="102" spans="1:35" ht="18.75" customHeight="1">
      <c r="A102" s="3322" t="s">
        <v>1433</v>
      </c>
      <c r="B102" s="2367" t="s">
        <v>1432</v>
      </c>
      <c r="C102" s="2368">
        <f ca="1">IF(D32="楼面单价",ROUND(C19,0),C19)</f>
        <v>1870.9067</v>
      </c>
      <c r="D102" s="2369">
        <f ca="1">IF(D32="楼面单价",ROUND(D19,0),D19)</f>
        <v>2320.1651999999999</v>
      </c>
      <c r="E102" s="3290"/>
      <c r="F102" s="3291"/>
      <c r="G102" s="1687" t="s">
        <v>1434</v>
      </c>
      <c r="H102" s="2338" t="e">
        <f ca="1">I118</f>
        <v>#REF!</v>
      </c>
      <c r="I102" s="121"/>
    </row>
    <row r="103" spans="1:35" ht="42.75" customHeight="1">
      <c r="A103" s="3322"/>
      <c r="B103" s="2367" t="s">
        <v>1434</v>
      </c>
      <c r="C103" s="2370">
        <f ca="1">C20</f>
        <v>45327</v>
      </c>
      <c r="D103" s="2371">
        <f ca="1">D20</f>
        <v>56211</v>
      </c>
      <c r="E103" s="3283" t="s">
        <v>1435</v>
      </c>
      <c r="F103" s="3284"/>
      <c r="G103" s="1688" t="s">
        <v>1436</v>
      </c>
      <c r="H103" s="2378">
        <f>IF(D36="正常操作",H104+H105+H106,H105+H106)</f>
        <v>0</v>
      </c>
      <c r="I103" s="121"/>
    </row>
    <row r="104" spans="1:35" ht="18.75" customHeight="1">
      <c r="A104" s="3322"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32"/>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23" t="str">
        <f>IF(项目基本情况!E8="已注销","——","3.房地产抵押价值")</f>
        <v>3.房地产抵押价值</v>
      </c>
      <c r="F107" s="3291"/>
      <c r="G107" s="1687" t="s">
        <v>1432</v>
      </c>
      <c r="H107" s="2378" t="e">
        <f ca="1">IF(E107="——","——",H101-H103)</f>
        <v>#REF!</v>
      </c>
      <c r="I107" s="121"/>
    </row>
    <row r="108" spans="1:35" ht="18.75" customHeight="1">
      <c r="A108" s="121"/>
      <c r="B108" s="121"/>
      <c r="C108" s="121"/>
      <c r="D108" s="121"/>
      <c r="E108" s="3323"/>
      <c r="F108" s="3291"/>
      <c r="G108" s="1687" t="s">
        <v>1434</v>
      </c>
      <c r="H108" s="2338">
        <f ca="1">IF(H107=H101,H102,ROUND(H107*10000/'数据-汇总表'!E3,0))</f>
        <v>0</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1"/>
      <c r="G109" s="1687" t="s">
        <v>1432</v>
      </c>
      <c r="H109" s="2381" t="str">
        <f>IF(E109="——","——",H101-H105-H106)</f>
        <v>——</v>
      </c>
      <c r="I109" s="121"/>
    </row>
    <row r="110" spans="1:35" ht="18.75" customHeight="1">
      <c r="A110" s="121"/>
      <c r="B110" s="121"/>
      <c r="C110" s="121"/>
      <c r="D110" s="121"/>
      <c r="E110" s="3323"/>
      <c r="F110" s="3291"/>
      <c r="G110" s="1687" t="s">
        <v>1434</v>
      </c>
      <c r="H110" s="2338"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310"/>
      <c r="G111" s="1687" t="s">
        <v>1432</v>
      </c>
      <c r="H111" s="2378" t="str">
        <f>IF(E111="——","——",N59)</f>
        <v>——</v>
      </c>
      <c r="I111" s="121"/>
    </row>
    <row r="112" spans="1:35" ht="18.75" customHeight="1" thickBot="1">
      <c r="A112" s="121"/>
      <c r="B112" s="121"/>
      <c r="C112" s="121"/>
      <c r="D112" s="121"/>
      <c r="E112" s="3325"/>
      <c r="F112" s="3326"/>
      <c r="G112" s="1690" t="s">
        <v>1434</v>
      </c>
      <c r="H112" s="2382"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row>
    <row r="117" spans="1:27" ht="18.75" customHeight="1">
      <c r="A117" s="3298"/>
      <c r="B117" s="3303"/>
      <c r="C117" s="3303"/>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412.76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8" t="s">
        <v>1452</v>
      </c>
      <c r="B119" s="3298"/>
      <c r="C119" s="3298"/>
      <c r="D119" s="3304" t="e">
        <f ca="1">NUMBERSTRING(INT(D118*10000),2)&amp;"元整"</f>
        <v>#REF!</v>
      </c>
      <c r="E119" s="3305"/>
      <c r="F119" s="3304" t="e">
        <f ca="1">NUMBERSTRING(INT(F118*10000),2)&amp;"元整"</f>
        <v>#REF!</v>
      </c>
      <c r="G119" s="3305"/>
      <c r="H119" s="3304" t="e">
        <f ca="1">NUMBERSTRING(INT(H118*10000),2)&amp;"元整"</f>
        <v>#REF!</v>
      </c>
      <c r="I119" s="3305"/>
    </row>
    <row r="120" spans="1:27" ht="18.75" customHeight="1">
      <c r="A120" s="3299" t="str">
        <f>IF(项目基本情况!B9="房地产市场价值","",MID(E103,3,LEN(E103)-2))</f>
        <v/>
      </c>
      <c r="B120" s="3300"/>
      <c r="C120" s="3301"/>
      <c r="D120" s="3299">
        <f>H103</f>
        <v>0</v>
      </c>
      <c r="E120" s="3300"/>
      <c r="F120" s="3300"/>
      <c r="G120" s="3300"/>
      <c r="H120" s="3300"/>
      <c r="I120" s="330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4" t="s">
        <v>1452</v>
      </c>
      <c r="B121" s="3306"/>
      <c r="C121" s="3305"/>
      <c r="D121" s="3304" t="str">
        <f>IF(D120=0,"零元整",NUMBERSTRING(INT(D120*10000),2)&amp;"元整")</f>
        <v>零元整</v>
      </c>
      <c r="E121" s="3306"/>
      <c r="F121" s="3306"/>
      <c r="G121" s="3306"/>
      <c r="H121" s="3306"/>
      <c r="I121" s="3305"/>
      <c r="AA121" s="684"/>
    </row>
    <row r="122" spans="1:27" ht="18.75" customHeight="1">
      <c r="A122" s="3310" t="str">
        <f>IF(项目基本情况!B9="房地产市场价值","",MID(E107,3,LEN(E107)-2))</f>
        <v/>
      </c>
      <c r="B122" s="3310"/>
      <c r="C122" s="3310"/>
      <c r="D122" s="3299" t="e">
        <f ca="1">H107</f>
        <v>#REF!</v>
      </c>
      <c r="E122" s="3300"/>
      <c r="F122" s="3300"/>
      <c r="G122" s="3300"/>
      <c r="H122" s="3300"/>
      <c r="I122" s="3301"/>
      <c r="AA122" s="684"/>
    </row>
    <row r="123" spans="1:27" ht="18.75" customHeight="1">
      <c r="A123" s="3298" t="s">
        <v>1452</v>
      </c>
      <c r="B123" s="3298"/>
      <c r="C123" s="3298"/>
      <c r="D123" s="3304" t="e">
        <f ca="1">NUMBERSTRING(INT(D122*10000),2)&amp;"元整"</f>
        <v>#REF!</v>
      </c>
      <c r="E123" s="3306"/>
      <c r="F123" s="3306"/>
      <c r="G123" s="3306"/>
      <c r="H123" s="3306"/>
      <c r="I123" s="3305"/>
      <c r="AA123" s="684"/>
    </row>
    <row r="124" spans="1:27" ht="18.75" customHeight="1">
      <c r="A124" s="3310" t="str">
        <f>IF(项目基本情况!B9="房地产市场价值","",MID(E109,3,LEN(E109)-2))</f>
        <v/>
      </c>
      <c r="B124" s="3310"/>
      <c r="C124" s="3310"/>
      <c r="D124" s="3299" t="str">
        <f>H109</f>
        <v>——</v>
      </c>
      <c r="E124" s="3300"/>
      <c r="F124" s="3300"/>
      <c r="G124" s="3300"/>
      <c r="H124" s="3300"/>
      <c r="I124" s="3301"/>
      <c r="AA124" s="684"/>
    </row>
    <row r="125" spans="1:27" ht="18.75" customHeight="1">
      <c r="A125" s="3298" t="s">
        <v>1452</v>
      </c>
      <c r="B125" s="3298"/>
      <c r="C125" s="3298"/>
      <c r="D125" s="3304" t="e">
        <f>NUMBERSTRING(INT(D124*10000),2)&amp;"元整"</f>
        <v>#VALUE!</v>
      </c>
      <c r="E125" s="3306"/>
      <c r="F125" s="3306"/>
      <c r="G125" s="3306"/>
      <c r="H125" s="3306"/>
      <c r="I125" s="3305"/>
      <c r="AA125" s="684"/>
    </row>
    <row r="126" spans="1:27" ht="18.75" customHeight="1">
      <c r="A126" s="3310" t="str">
        <f>IF(项目基本情况!B9="房地产市场价值","",MID(E111,3,LEN(E111)-2))</f>
        <v/>
      </c>
      <c r="B126" s="3310"/>
      <c r="C126" s="3310"/>
      <c r="D126" s="3299" t="str">
        <f>H111</f>
        <v>——</v>
      </c>
      <c r="E126" s="3300"/>
      <c r="F126" s="3300"/>
      <c r="G126" s="3300"/>
      <c r="H126" s="3300"/>
      <c r="I126" s="3301"/>
      <c r="AA126" s="684"/>
    </row>
    <row r="127" spans="1:27" ht="18.75" customHeight="1">
      <c r="A127" s="3298" t="s">
        <v>1452</v>
      </c>
      <c r="B127" s="3298"/>
      <c r="C127" s="3298"/>
      <c r="D127" s="3304" t="e">
        <f>NUMBERSTRING(INT(D126*10000),2)&amp;"元整"</f>
        <v>#VALUE!</v>
      </c>
      <c r="E127" s="3306"/>
      <c r="F127" s="3306"/>
      <c r="G127" s="3306"/>
      <c r="H127" s="3306"/>
      <c r="I127" s="3305"/>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7195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7</v>
      </c>
      <c r="D9" s="795">
        <f ca="1">IF(B1="",'数据-汇总表'!E5,IF(INDIRECT("'数据-取费表'!c"&amp;$G$1)="住宅",INDIRECT("'数据-取费表'!k"&amp;$G$1),0))</f>
        <v>412.76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412.76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2</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206</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0.03</v>
      </c>
      <c r="G36" s="252" t="s">
        <v>1530</v>
      </c>
    </row>
    <row r="37" spans="1:7" s="250" customFormat="1" ht="13.5" customHeight="1">
      <c r="A37" s="734" t="s">
        <v>353</v>
      </c>
      <c r="B37" s="207" t="s">
        <v>1531</v>
      </c>
      <c r="C37" s="241">
        <f ca="1">ROUND(E37*D37*F34/10000,0)</f>
        <v>8</v>
      </c>
      <c r="D37" s="209">
        <f ca="1">D19</f>
        <v>412.76</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v>
      </c>
      <c r="D42" s="230"/>
      <c r="E42" s="230"/>
      <c r="F42" s="231"/>
      <c r="G42" s="3377" t="s">
        <v>1544</v>
      </c>
    </row>
    <row r="43" spans="1:7" ht="13.5" customHeight="1">
      <c r="A43" s="734" t="s">
        <v>347</v>
      </c>
      <c r="B43" s="207" t="s">
        <v>1545</v>
      </c>
      <c r="C43" s="230">
        <f ca="1">ROUND(IF('数据-取费表'!B22&lt;=1,C39*F22*'数据-取费表'!B21/2,C39*(POWER((1+F22),'数据-取费表'!B21/2)-1)),0)</f>
        <v>0</v>
      </c>
      <c r="D43" s="230"/>
      <c r="E43" s="230"/>
      <c r="F43" s="231"/>
      <c r="G43" s="3378"/>
    </row>
    <row r="44" spans="1:7" ht="13.5" customHeight="1">
      <c r="A44" s="734" t="s">
        <v>348</v>
      </c>
      <c r="B44" s="207" t="s">
        <v>1546</v>
      </c>
      <c r="C44" s="230">
        <f ca="1">ROUND(IF('数据-取费表'!B22&lt;=1,C40*F22*'数据-取费表'!B21/2,C40*(POWER((1+F22),'数据-取费表'!B21/2)-1)),4)</f>
        <v>5.0000000000000001E-4</v>
      </c>
      <c r="D44" s="230"/>
      <c r="E44" s="230"/>
      <c r="F44" s="231"/>
      <c r="G44" s="3379"/>
    </row>
    <row r="45" spans="1:7" s="206" customFormat="1" ht="13.5" customHeight="1">
      <c r="A45" s="247" t="s">
        <v>1547</v>
      </c>
      <c r="B45" s="236" t="s">
        <v>1513</v>
      </c>
      <c r="C45" s="237">
        <f ca="1">C46</f>
        <v>70</v>
      </c>
      <c r="D45" s="227">
        <f ca="1">C47</f>
        <v>8.9999999999999993E-3</v>
      </c>
      <c r="E45" s="228" t="s">
        <v>1539</v>
      </c>
      <c r="F45" s="238">
        <f ca="1">F27</f>
        <v>0.3</v>
      </c>
      <c r="G45" s="239" t="s">
        <v>1548</v>
      </c>
    </row>
    <row r="46" spans="1:7" s="206" customFormat="1" ht="13.5" customHeight="1">
      <c r="A46" s="734" t="s">
        <v>346</v>
      </c>
      <c r="B46" s="240" t="s">
        <v>1549</v>
      </c>
      <c r="C46" s="241">
        <f ca="1">ROUND((C33+C39)*F27,0)</f>
        <v>70</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336</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286</v>
      </c>
      <c r="D51" s="224"/>
      <c r="E51" s="224"/>
      <c r="F51" s="256"/>
      <c r="G51" s="226" t="s">
        <v>1560</v>
      </c>
    </row>
    <row r="52" spans="1:7" s="200" customFormat="1" ht="16.5" thickBot="1">
      <c r="A52" s="257" t="s">
        <v>1561</v>
      </c>
      <c r="B52" s="258"/>
      <c r="C52" s="259">
        <f ca="1">C31+C51</f>
        <v>297</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北京市房地产市场价值预评估</v>
      </c>
      <c r="C37" s="3195"/>
      <c r="D37" s="3195"/>
      <c r="E37" s="3195"/>
      <c r="F37" s="3195"/>
      <c r="G37" s="3195"/>
      <c r="H37" s="3195"/>
      <c r="I37" s="319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-9</v>
      </c>
      <c r="C2" s="268" t="s">
        <v>1595</v>
      </c>
      <c r="D2" s="268"/>
      <c r="E2" s="2565"/>
      <c r="F2" s="2565"/>
      <c r="G2" s="2565"/>
      <c r="H2" s="2565"/>
      <c r="I2" s="2565"/>
      <c r="J2" s="2565"/>
      <c r="K2" s="2565"/>
    </row>
    <row r="3" spans="1:33" ht="18" customHeight="1" thickBot="1">
      <c r="A3" s="195" t="s">
        <v>1464</v>
      </c>
      <c r="B3" s="196">
        <f ca="1">ROUND(B2*10000/IF(C1="",'数据-汇总表'!E3,INDIRECT("'数据-取费表'!K"&amp;$K$1)),0)</f>
        <v>-218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412.76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412.76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7</v>
      </c>
      <c r="D19" s="796">
        <f ca="1">IF(C1="",'数据-汇总表'!E5,IF(INDIRECT("'数据-取费表'!c"&amp;$K$1)="住宅",INDIRECT("'数据-取费表'!k"&amp;$K$1),0))</f>
        <v>412.76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2" t="s">
        <v>694</v>
      </c>
      <c r="C6" s="1011">
        <f ca="1">ROUND(F6*F8*F7*(1-F9)/10000,0)</f>
        <v>0</v>
      </c>
      <c r="D6" s="147" t="s">
        <v>2109</v>
      </c>
      <c r="E6" s="294" t="s">
        <v>696</v>
      </c>
      <c r="F6" s="295">
        <f ca="1">INDIRECT("'数据-取费表'!u"&amp;$G$1)</f>
        <v>0</v>
      </c>
      <c r="G6" s="1292"/>
      <c r="H6" s="1006" t="s">
        <v>398</v>
      </c>
      <c r="I6" s="3382" t="s">
        <v>694</v>
      </c>
      <c r="J6" s="293">
        <f ca="1">ROUND(M6*M8*M7*(1-M9)/10000,0)</f>
        <v>0</v>
      </c>
      <c r="K6" s="147" t="s">
        <v>2108</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0</v>
      </c>
      <c r="G7" s="1292"/>
      <c r="H7" s="296"/>
      <c r="I7" s="3383"/>
      <c r="J7" s="298"/>
      <c r="K7" s="299"/>
      <c r="L7" s="294" t="s">
        <v>697</v>
      </c>
      <c r="M7" s="295">
        <f ca="1">F7</f>
        <v>0</v>
      </c>
    </row>
    <row r="8" spans="1:37" ht="18" customHeight="1">
      <c r="A8" s="296"/>
      <c r="B8" s="3383"/>
      <c r="C8" s="298"/>
      <c r="D8" s="299"/>
      <c r="E8" s="294" t="s">
        <v>698</v>
      </c>
      <c r="F8" s="295">
        <f ca="1">INDIRECT("'数据-取费表'!ai"&amp;$G$1)</f>
        <v>0</v>
      </c>
      <c r="G8" s="1292"/>
      <c r="H8" s="296"/>
      <c r="I8" s="3383"/>
      <c r="J8" s="298"/>
      <c r="K8" s="299"/>
      <c r="L8" s="294" t="s">
        <v>698</v>
      </c>
      <c r="M8" s="295">
        <f ca="1">INDIRECT("'数据-取费表'!ai"&amp;$G$1)</f>
        <v>0</v>
      </c>
    </row>
    <row r="9" spans="1:37" ht="18" customHeight="1">
      <c r="A9" s="296"/>
      <c r="B9" s="3384"/>
      <c r="C9" s="298"/>
      <c r="D9" s="299"/>
      <c r="E9" s="294" t="s">
        <v>699</v>
      </c>
      <c r="F9" s="304">
        <f ca="1">INDIRECT("'数据-取费表'!w"&amp;$G$1)</f>
        <v>0</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7" t="s">
        <v>2304</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80" t="s">
        <v>837</v>
      </c>
      <c r="L53" s="338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10" zoomScaleNormal="60" zoomScaleSheetLayoutView="100" workbookViewId="0">
      <selection activeCell="B39" sqref="A39:XFD4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3439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2320.1651999999999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56211</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4"/>
      <c r="M4" s="2485"/>
      <c r="N4" s="2485"/>
      <c r="O4" s="2485"/>
      <c r="P4" s="3405" t="s">
        <v>1672</v>
      </c>
      <c r="Q4" s="3406"/>
      <c r="R4" s="3390" t="s">
        <v>1668</v>
      </c>
      <c r="S4" s="3391"/>
      <c r="T4" s="3390" t="s">
        <v>1669</v>
      </c>
      <c r="U4" s="3391"/>
      <c r="V4" s="3413" t="s">
        <v>1670</v>
      </c>
      <c r="W4" s="3413"/>
      <c r="X4" s="1265"/>
      <c r="Y4" s="3390" t="s">
        <v>1672</v>
      </c>
      <c r="Z4" s="3391"/>
      <c r="AA4" s="3385" t="s">
        <v>1668</v>
      </c>
      <c r="AB4" s="3385" t="s">
        <v>1669</v>
      </c>
      <c r="AC4" s="3385" t="s">
        <v>1670</v>
      </c>
    </row>
    <row r="5" spans="1:29" ht="15">
      <c r="A5" s="348"/>
      <c r="B5" s="349"/>
      <c r="C5" s="3394" t="s">
        <v>3488</v>
      </c>
      <c r="D5" s="3395"/>
      <c r="E5" s="3394" t="s">
        <v>3488</v>
      </c>
      <c r="F5" s="3395"/>
      <c r="G5" s="3394" t="s">
        <v>3488</v>
      </c>
      <c r="H5" s="3395"/>
      <c r="I5" s="3394" t="s">
        <v>3488</v>
      </c>
      <c r="J5" s="3395"/>
      <c r="K5" s="1745"/>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1745"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f>Sheet1!W5</f>
        <v>45959</v>
      </c>
      <c r="F7" s="357">
        <f>SUMIF(58:58,YEAR(E7)&amp;"-"&amp;MONTH(E7),59:59)</f>
        <v>100</v>
      </c>
      <c r="G7" s="356">
        <f>Sheet1!W6</f>
        <v>45811</v>
      </c>
      <c r="H7" s="355">
        <f>SUMIF(58:58,YEAR(G7)&amp;"-"&amp;MONTH(G7),59:59)</f>
        <v>100</v>
      </c>
      <c r="I7" s="356">
        <f>Sheet1!W9</f>
        <v>45740</v>
      </c>
      <c r="J7" s="355">
        <f>SUMIF(58:58,YEAR(I7)&amp;"-"&amp;MONTH(I7),59:59)</f>
        <v>99.5</v>
      </c>
      <c r="K7" s="1746"/>
      <c r="L7" s="2486"/>
      <c r="M7" s="2437"/>
      <c r="N7" s="2437"/>
      <c r="O7" s="2437"/>
      <c r="P7" s="3388" t="s">
        <v>1680</v>
      </c>
      <c r="Q7" s="3414"/>
      <c r="R7" s="664" t="s">
        <v>20</v>
      </c>
      <c r="S7" s="665">
        <f t="shared" ref="S7:S15" si="0">F7</f>
        <v>100</v>
      </c>
      <c r="T7" s="664" t="s">
        <v>20</v>
      </c>
      <c r="U7" s="665">
        <f t="shared" ref="U7:U15" si="1">H7</f>
        <v>100</v>
      </c>
      <c r="V7" s="664" t="s">
        <v>20</v>
      </c>
      <c r="W7" s="665">
        <f t="shared" ref="W7:W15" si="2">J7</f>
        <v>99.5</v>
      </c>
      <c r="X7" s="666"/>
      <c r="Y7" s="3388" t="s">
        <v>1680</v>
      </c>
      <c r="Z7" s="3389"/>
      <c r="AA7" s="50">
        <f>D7/F7</f>
        <v>1</v>
      </c>
      <c r="AB7" s="50">
        <f>D7/H7</f>
        <v>1</v>
      </c>
      <c r="AC7" s="50">
        <f>D7/J7</f>
        <v>1.0050251256281406</v>
      </c>
    </row>
    <row r="8" spans="1:29" s="102" customFormat="1" ht="15.75" thickBot="1">
      <c r="A8" s="352" t="s">
        <v>1681</v>
      </c>
      <c r="B8" s="353"/>
      <c r="C8" s="358" t="s">
        <v>3468</v>
      </c>
      <c r="D8" s="355">
        <v>100</v>
      </c>
      <c r="E8" s="1747" t="s">
        <v>3468</v>
      </c>
      <c r="F8" s="357">
        <f>SUMIF(61:61,E8,62:62)-SUMIF(61:61,C8,62:62)+100</f>
        <v>100</v>
      </c>
      <c r="G8" s="1747" t="s">
        <v>3468</v>
      </c>
      <c r="H8" s="355">
        <f>SUMIF(61:61,G8,62:62)-SUMIF(61:61,C8,62:62)+100</f>
        <v>100</v>
      </c>
      <c r="I8" s="1747" t="s">
        <v>3468</v>
      </c>
      <c r="J8" s="355">
        <f>SUMIF(61:61,I8,62:62)-SUMIF(61:61,C8,62:62)+100</f>
        <v>100</v>
      </c>
      <c r="K8" s="1746"/>
      <c r="L8" s="2486"/>
      <c r="M8" s="2437"/>
      <c r="N8" s="2437"/>
      <c r="O8" s="2437"/>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c r="A9" s="359" t="s">
        <v>1684</v>
      </c>
      <c r="B9" s="60" t="s">
        <v>1685</v>
      </c>
      <c r="C9" s="3173" t="s">
        <v>3467</v>
      </c>
      <c r="D9" s="59">
        <v>100</v>
      </c>
      <c r="E9" s="361" t="s">
        <v>3402</v>
      </c>
      <c r="F9" s="60">
        <f>SUMIF(63:63,E9,64:64)-SUMIF(63:63,C9,64:64)+100</f>
        <v>100</v>
      </c>
      <c r="G9" s="361" t="s">
        <v>3402</v>
      </c>
      <c r="H9" s="59">
        <f>SUMIF(63:63,G9,64:64)-SUMIF(63:63,C9,64:64)+100</f>
        <v>100</v>
      </c>
      <c r="I9" s="361" t="s">
        <v>3402</v>
      </c>
      <c r="J9" s="59">
        <f>SUMIF(63:63,I9,64:64)-SUMIF(63:63,C9,64:64)+100</f>
        <v>100</v>
      </c>
      <c r="K9" s="1746"/>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427"/>
      <c r="Q16" s="1263"/>
      <c r="R16" s="667"/>
      <c r="S16" s="668"/>
      <c r="T16" s="667"/>
      <c r="U16" s="668"/>
      <c r="V16" s="667"/>
      <c r="W16" s="668"/>
      <c r="X16" s="1265"/>
      <c r="Y16" s="3420"/>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5" t="s">
        <v>3449</v>
      </c>
      <c r="D18" s="389"/>
      <c r="E18" s="386" t="s">
        <v>3449</v>
      </c>
      <c r="F18" s="389"/>
      <c r="G18" s="386" t="s">
        <v>3449</v>
      </c>
      <c r="H18" s="387"/>
      <c r="I18" s="386" t="s">
        <v>3449</v>
      </c>
      <c r="J18" s="387"/>
      <c r="K18" s="1753"/>
      <c r="L18" s="2490"/>
      <c r="M18" s="2485"/>
      <c r="N18" s="2485"/>
      <c r="O18" s="2485"/>
      <c r="P18" s="3427"/>
      <c r="Q18" s="1263"/>
      <c r="R18" s="667"/>
      <c r="S18" s="668"/>
      <c r="T18" s="667"/>
      <c r="U18" s="668"/>
      <c r="V18" s="667"/>
      <c r="W18" s="668"/>
      <c r="X18" s="1265"/>
      <c r="Y18" s="3420"/>
      <c r="Z18" s="1264"/>
      <c r="AA18" s="1264">
        <v>1</v>
      </c>
      <c r="AB18" s="1264">
        <v>1</v>
      </c>
      <c r="AC18" s="1264">
        <v>1</v>
      </c>
    </row>
    <row r="19" spans="1:29" ht="63.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427"/>
      <c r="Q20" s="1263"/>
      <c r="R20" s="667"/>
      <c r="S20" s="668"/>
      <c r="T20" s="667"/>
      <c r="U20" s="668"/>
      <c r="V20" s="667"/>
      <c r="W20" s="668"/>
      <c r="X20" s="1265"/>
      <c r="Y20" s="342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t="s">
        <v>3454</v>
      </c>
      <c r="D22" s="387"/>
      <c r="E22" s="1755" t="s">
        <v>3454</v>
      </c>
      <c r="F22" s="387"/>
      <c r="G22" s="1755" t="s">
        <v>3454</v>
      </c>
      <c r="H22" s="387"/>
      <c r="I22" s="1755" t="s">
        <v>3454</v>
      </c>
      <c r="J22" s="387"/>
      <c r="K22" s="1759"/>
      <c r="L22" s="2490"/>
      <c r="M22" s="2485"/>
      <c r="N22" s="2485"/>
      <c r="O22" s="2485"/>
      <c r="P22" s="3427"/>
      <c r="Q22" s="1263"/>
      <c r="R22" s="667"/>
      <c r="S22" s="668"/>
      <c r="T22" s="667"/>
      <c r="U22" s="668"/>
      <c r="V22" s="667"/>
      <c r="W22" s="668"/>
      <c r="X22" s="1265"/>
      <c r="Y22" s="3420"/>
      <c r="Z22" s="1264"/>
      <c r="AA22" s="1264">
        <v>1</v>
      </c>
      <c r="AB22" s="1264">
        <v>1</v>
      </c>
      <c r="AC22" s="1264">
        <v>1</v>
      </c>
    </row>
    <row r="23" spans="1:29" ht="38.25" customHeight="1">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3435</v>
      </c>
      <c r="D26" s="374">
        <v>100</v>
      </c>
      <c r="E26" s="399" t="s">
        <v>3435</v>
      </c>
      <c r="F26" s="374">
        <f>SUMIF(88:88,E26,89:89)-SUMIF(88:88,C26,89:89)+100</f>
        <v>100</v>
      </c>
      <c r="G26" s="399" t="s">
        <v>3435</v>
      </c>
      <c r="H26" s="374">
        <f>SUMIF(88:88,G26,89:89)-SUMIF(88:88,C26,89:89)+100</f>
        <v>100</v>
      </c>
      <c r="I26" s="399" t="s">
        <v>3435</v>
      </c>
      <c r="J26" s="374">
        <f>SUMIF(88:88,I26,89:89)-SUMIF(88:88,C26,89:89)+100</f>
        <v>100</v>
      </c>
      <c r="K26" s="365"/>
      <c r="L26" s="2490"/>
      <c r="M26" s="2485"/>
      <c r="N26" s="2485"/>
      <c r="O26" s="2485"/>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75" thickBot="1">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t="s">
        <v>3489</v>
      </c>
      <c r="D32" s="405">
        <v>100</v>
      </c>
      <c r="E32" s="1764" t="s">
        <v>3489</v>
      </c>
      <c r="F32" s="400">
        <f>SUMIF(100:100,E32,101:101)-SUMIF(100:100,C32,101:101)+100</f>
        <v>100</v>
      </c>
      <c r="G32" s="1764" t="s">
        <v>3489</v>
      </c>
      <c r="H32" s="405">
        <f>SUMIF(100:100,G32,101:101)-SUMIF(100:100,C32,101:101)+100</f>
        <v>100</v>
      </c>
      <c r="I32" s="1764" t="s">
        <v>3489</v>
      </c>
      <c r="J32" s="374">
        <f>SUMIF(100:100,I32,101:101)-SUMIF(100:100,C32,101:101)+100</f>
        <v>100</v>
      </c>
      <c r="K32" s="365"/>
      <c r="L32" s="2490"/>
      <c r="M32" s="2485"/>
      <c r="N32" s="2485"/>
      <c r="O32" s="2485"/>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Sheet1!L5</f>
        <v>416.46</v>
      </c>
      <c r="F33" s="364">
        <f>LOOKUP(E33,103:103,104:104)-LOOKUP(C33,103:103,104:104)+100</f>
        <v>100</v>
      </c>
      <c r="G33" s="368">
        <f>Sheet1!L6</f>
        <v>420.85</v>
      </c>
      <c r="H33" s="119">
        <f>LOOKUP(G33,103:103,104:104)-LOOKUP(C33,103:103,104:104)+100</f>
        <v>100</v>
      </c>
      <c r="I33" s="369">
        <f>Sheet1!L9</f>
        <v>416.98</v>
      </c>
      <c r="J33" s="119">
        <f>LOOKUP(I33,103:103,104:104)-LOOKUP(C33,103:103,104:104)+100</f>
        <v>100</v>
      </c>
      <c r="K33" s="1748"/>
      <c r="L33" s="2489"/>
      <c r="M33" s="2491"/>
      <c r="N33" s="2491"/>
      <c r="O33" s="2491"/>
      <c r="P33" s="3422"/>
      <c r="Q33" s="531" t="str">
        <f t="shared" si="11"/>
        <v>项目建筑规模</v>
      </c>
      <c r="R33" s="669" t="s">
        <v>18</v>
      </c>
      <c r="S33" s="670">
        <f t="shared" si="12"/>
        <v>100</v>
      </c>
      <c r="T33" s="669" t="s">
        <v>18</v>
      </c>
      <c r="U33" s="670">
        <f t="shared" si="13"/>
        <v>100</v>
      </c>
      <c r="V33" s="669" t="s">
        <v>18</v>
      </c>
      <c r="W33" s="670">
        <f t="shared" si="14"/>
        <v>100</v>
      </c>
      <c r="X33" s="671"/>
      <c r="Y33" s="3424"/>
      <c r="Z33" s="672" t="str">
        <f t="shared" si="18"/>
        <v>项目建筑规模</v>
      </c>
      <c r="AA33" s="1264">
        <f t="shared" si="15"/>
        <v>1</v>
      </c>
      <c r="AB33" s="1264">
        <f t="shared" si="16"/>
        <v>1</v>
      </c>
      <c r="AC33" s="1264">
        <f t="shared" si="17"/>
        <v>1</v>
      </c>
    </row>
    <row r="34" spans="1:29" ht="15">
      <c r="A34" s="409"/>
      <c r="B34" s="364" t="s">
        <v>1698</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365"/>
      <c r="L34" s="2490"/>
      <c r="M34" s="2485"/>
      <c r="N34" s="2485"/>
      <c r="O34" s="2485"/>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v>0.85</v>
      </c>
      <c r="D37" s="119">
        <v>100</v>
      </c>
      <c r="E37" s="411">
        <f>C37</f>
        <v>0.85</v>
      </c>
      <c r="F37" s="364">
        <f>LOOKUP(E37,112:112,113:113)-LOOKUP(C37,112:112,113:113)+100</f>
        <v>100</v>
      </c>
      <c r="G37" s="413">
        <f>E37</f>
        <v>0.85</v>
      </c>
      <c r="H37" s="119">
        <f>LOOKUP(G37,112:112,113:113)-LOOKUP(C37,112:112,113:113)+100</f>
        <v>100</v>
      </c>
      <c r="I37" s="412">
        <f>E37</f>
        <v>0.85</v>
      </c>
      <c r="J37" s="119">
        <f>LOOKUP(I37,112:112,113:113)-LOOKUP(C37,112:112,113:113)+100</f>
        <v>100</v>
      </c>
      <c r="K37" s="365"/>
      <c r="L37" s="2486"/>
      <c r="M37" s="2437"/>
      <c r="N37" s="2437"/>
      <c r="O37" s="2437"/>
      <c r="P37" s="3422"/>
      <c r="Q37" s="530" t="str">
        <f t="shared" si="11"/>
        <v>成新度</v>
      </c>
      <c r="R37" s="664" t="s">
        <v>18</v>
      </c>
      <c r="S37" s="665">
        <f t="shared" si="12"/>
        <v>100</v>
      </c>
      <c r="T37" s="664" t="s">
        <v>18</v>
      </c>
      <c r="U37" s="665">
        <f t="shared" si="13"/>
        <v>100</v>
      </c>
      <c r="V37" s="664" t="s">
        <v>18</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hidden="1">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0" t="s">
        <v>3441</v>
      </c>
      <c r="F42" s="400">
        <f>SUMIF(122:122,E42,123:123)-SUMIF(122:122,C42,123:123)+100</f>
        <v>100</v>
      </c>
      <c r="G42" s="1760" t="s">
        <v>3441</v>
      </c>
      <c r="H42" s="374">
        <f>SUMIF(122:122,G42,123:123)-SUMIF(122:122,C42,123:123)+100</f>
        <v>100</v>
      </c>
      <c r="I42" s="1760" t="s">
        <v>3441</v>
      </c>
      <c r="J42" s="374">
        <f>SUMIF(122:122,I42,123:123)-SUMIF(122:122,C42,123:123)+100</f>
        <v>100</v>
      </c>
      <c r="K42" s="365">
        <v>0</v>
      </c>
      <c r="L42" s="2490"/>
      <c r="M42" s="2485"/>
      <c r="N42" s="2485"/>
      <c r="O42" s="2485"/>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f>Sheet1!T5</f>
        <v>51866</v>
      </c>
      <c r="F47" s="420"/>
      <c r="G47" s="421">
        <f>Sheet1!T6</f>
        <v>59404</v>
      </c>
      <c r="H47" s="422"/>
      <c r="I47" s="419">
        <f>Sheet1!T9</f>
        <v>57077</v>
      </c>
      <c r="J47" s="422"/>
      <c r="K47" s="1765"/>
      <c r="L47" s="2492"/>
      <c r="M47" s="2485"/>
      <c r="N47" s="2485"/>
      <c r="O47" s="2485"/>
      <c r="P47" s="3418" t="str">
        <f>A47</f>
        <v>成交单价（元/平方米）</v>
      </c>
      <c r="Q47" s="3418"/>
      <c r="R47" s="3413">
        <f>E47</f>
        <v>51866</v>
      </c>
      <c r="S47" s="3413"/>
      <c r="T47" s="3413">
        <f>G47</f>
        <v>59404</v>
      </c>
      <c r="U47" s="3413"/>
      <c r="V47" s="3413">
        <f>I47</f>
        <v>57077</v>
      </c>
      <c r="W47" s="3413"/>
      <c r="X47" s="385"/>
      <c r="Y47" s="673"/>
      <c r="Z47" s="385"/>
      <c r="AA47" s="385"/>
      <c r="AB47" s="385"/>
      <c r="AC47" s="385"/>
    </row>
    <row r="48" spans="1:29" ht="15.75" thickBot="1">
      <c r="A48" s="423" t="s">
        <v>1709</v>
      </c>
      <c r="B48" s="424"/>
      <c r="C48" s="1082">
        <f>R49</f>
        <v>56211</v>
      </c>
      <c r="D48" s="2139" t="s">
        <v>2138</v>
      </c>
      <c r="E48" s="1083">
        <f>R48</f>
        <v>51866</v>
      </c>
      <c r="F48" s="2140"/>
      <c r="G48" s="1082">
        <f>T48</f>
        <v>59404</v>
      </c>
      <c r="H48" s="2140"/>
      <c r="I48" s="1083">
        <f>V48</f>
        <v>57364</v>
      </c>
      <c r="J48" s="2140"/>
      <c r="K48" s="2141">
        <f>F48+H48+J48</f>
        <v>0</v>
      </c>
      <c r="L48" s="2492"/>
      <c r="M48" s="2485"/>
      <c r="N48" s="2485"/>
      <c r="O48" s="2485"/>
      <c r="P48" s="3418" t="str">
        <f>A48</f>
        <v>比较价值（元/平方米）</v>
      </c>
      <c r="Q48" s="3418"/>
      <c r="R48" s="3413">
        <f>IF(F1="售价",ROUND(PRODUCT(R47,AA7:AA46),0),ROUND(PRODUCT(R47,AA7:AA46),1))</f>
        <v>51866</v>
      </c>
      <c r="S48" s="3413"/>
      <c r="T48" s="3413">
        <f>IF(F1="售价",ROUND(PRODUCT(T47,AB7:AB46),0),ROUND(PRODUCT(T47,AB7:AB46),1))</f>
        <v>59404</v>
      </c>
      <c r="U48" s="3413"/>
      <c r="V48" s="3413">
        <f>IF(F1="售价",ROUND(PRODUCT(V47,AC7:AC46),0),ROUND(PRODUCT(V47,AC7:AC46),1))</f>
        <v>57364</v>
      </c>
      <c r="W48" s="3413"/>
      <c r="X48" s="385"/>
      <c r="Y48" s="385"/>
      <c r="Z48" s="385"/>
      <c r="AA48" s="385"/>
      <c r="AB48" s="385"/>
      <c r="AC48" s="385"/>
    </row>
    <row r="49" spans="1:29" ht="15.75" thickBot="1">
      <c r="A49" s="427" t="s">
        <v>1710</v>
      </c>
      <c r="B49" s="428"/>
      <c r="C49" s="1084">
        <f>R49</f>
        <v>56211</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56211</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v>
      </c>
      <c r="F52" s="435" t="str">
        <f>IF(OR(E52&gt;=0.3,E52&lt;=-0.3),"超过30%","")</f>
        <v/>
      </c>
      <c r="G52" s="434">
        <f>IF(G47&lt;G48,G48/G47-1,G47/G48-1)</f>
        <v>0</v>
      </c>
      <c r="H52" s="435" t="str">
        <f>IF(OR(G52&gt;=0.3,G52&lt;=-0.3),"超过30%","")</f>
        <v/>
      </c>
      <c r="I52" s="434">
        <f>IF(I47&lt;I48,I48/I47-1,I47/I48-1)</f>
        <v>5.028295110114378E-3</v>
      </c>
      <c r="J52" s="435" t="str">
        <f>IF(OR(I52&gt;=0.3,I52&lt;=-0.3),"超过30%","")</f>
        <v/>
      </c>
      <c r="K52" s="2497"/>
      <c r="L52" s="2493"/>
      <c r="M52" s="2485"/>
      <c r="N52" s="2485"/>
      <c r="O52" s="2485"/>
    </row>
    <row r="53" spans="1:29" ht="13.5" customHeight="1">
      <c r="A53" s="2485"/>
      <c r="B53" s="2485"/>
      <c r="C53" s="432" t="s">
        <v>1712</v>
      </c>
      <c r="D53" s="436"/>
      <c r="E53" s="434">
        <f>IF(E48&lt;G48,G48/E48-1,E48/G48-1)</f>
        <v>0.14533605830409124</v>
      </c>
      <c r="F53" s="435" t="str">
        <f>IF(OR(E53&gt;=0.2,E53&lt;=-0.2),"超过20%","")</f>
        <v/>
      </c>
      <c r="G53" s="434">
        <f>IF(G48&lt;I48,I48/G48-1,G48/I48-1)</f>
        <v>3.5562373614113296E-2</v>
      </c>
      <c r="H53" s="435" t="str">
        <f>IF(OR(G53&gt;=0.2,G53&lt;=-0.2),"超过20%","")</f>
        <v/>
      </c>
      <c r="I53" s="434">
        <f>IF(I48&lt;E48,E48/I48-1,I48/E48-1)</f>
        <v>0.10600393321250912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0.14533605830409124</v>
      </c>
      <c r="F54" s="435" t="str">
        <f>IF(OR(E54&gt;=0.3,E54&lt;=-0.3),"超过30%","")</f>
        <v/>
      </c>
      <c r="G54" s="434">
        <f>IF(G47&lt;I47,I47/G47-1,G47/I47-1)</f>
        <v>4.076948683357573E-2</v>
      </c>
      <c r="H54" s="435" t="str">
        <f>IF(OR(G54&gt;=0.3,G54&lt;=-0.3),"超过30%","")</f>
        <v/>
      </c>
      <c r="I54" s="434">
        <f>IF(I47&lt;E47,E47/I47-1,I47/E47-1)</f>
        <v>0.10047044306482089</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0"/>
      <c r="C59" s="1102">
        <v>100</v>
      </c>
      <c r="D59" s="445">
        <v>100</v>
      </c>
      <c r="E59" s="446">
        <v>100</v>
      </c>
      <c r="F59" s="446">
        <v>100</v>
      </c>
      <c r="G59" s="446">
        <v>100</v>
      </c>
      <c r="H59" s="446">
        <v>100</v>
      </c>
      <c r="I59" s="446">
        <v>99.5</v>
      </c>
      <c r="J59" s="446">
        <v>99.5</v>
      </c>
      <c r="K59" s="446">
        <v>99.5</v>
      </c>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3455</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3451</v>
      </c>
      <c r="D100" s="3172" t="s">
        <v>3490</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300</v>
      </c>
      <c r="G103" s="6"/>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4"/>
      <c r="Q104" s="490"/>
    </row>
    <row r="105" spans="1:17" ht="15" thickTop="1">
      <c r="A105" s="409"/>
      <c r="B105" s="469" t="s">
        <v>1738</v>
      </c>
      <c r="C105" s="3171" t="s">
        <v>3453</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3448</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3445</v>
      </c>
      <c r="D122" s="3171" t="s">
        <v>3446</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115" zoomScaleNormal="70" zoomScaleSheetLayoutView="115"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54.22</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2019.5125</v>
      </c>
      <c r="C2" s="1289" t="s">
        <v>879</v>
      </c>
      <c r="D2" s="1375">
        <f ca="1">C40+J29+L46</f>
        <v>20195125</v>
      </c>
      <c r="E2" s="1295" t="s">
        <v>880</v>
      </c>
      <c r="F2" s="1296"/>
      <c r="G2" s="2476"/>
      <c r="H2" s="2466"/>
      <c r="I2" s="2466"/>
      <c r="J2" s="2466"/>
      <c r="K2" s="2467"/>
      <c r="L2" s="2466"/>
      <c r="M2" s="2466"/>
    </row>
    <row r="3" spans="1:37" ht="18" customHeight="1" thickBot="1">
      <c r="A3" s="1297" t="s">
        <v>881</v>
      </c>
      <c r="B3" s="1298">
        <f ca="1">IF(ISERROR(D2/F43),0,ROUND(D2/F43,0))</f>
        <v>48927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652050</v>
      </c>
      <c r="D5" s="1273" t="s">
        <v>889</v>
      </c>
      <c r="E5" s="1008"/>
      <c r="F5" s="1009"/>
      <c r="G5" s="1292"/>
      <c r="H5" s="291">
        <v>1</v>
      </c>
      <c r="I5" s="292" t="s">
        <v>888</v>
      </c>
      <c r="J5" s="1007">
        <f ca="1">J6+J10+J12</f>
        <v>0</v>
      </c>
      <c r="K5" s="1273" t="s">
        <v>889</v>
      </c>
      <c r="L5" s="1008"/>
      <c r="M5" s="1009"/>
    </row>
    <row r="6" spans="1:37" ht="18" customHeight="1">
      <c r="A6" s="1006" t="s">
        <v>398</v>
      </c>
      <c r="B6" s="3382" t="s">
        <v>694</v>
      </c>
      <c r="C6" s="1011">
        <f ca="1">ROUND(F6*F8*F7*(1-F9),0)</f>
        <v>651236</v>
      </c>
      <c r="D6" s="147" t="s">
        <v>2106</v>
      </c>
      <c r="E6" s="294" t="s">
        <v>696</v>
      </c>
      <c r="F6" s="295">
        <f ca="1">INDIRECT("'数据-取费表'!u"&amp;$G$1)</f>
        <v>138.4</v>
      </c>
      <c r="G6" s="1292"/>
      <c r="H6" s="1006" t="s">
        <v>398</v>
      </c>
      <c r="I6" s="3382" t="s">
        <v>694</v>
      </c>
      <c r="J6" s="293">
        <f ca="1">ROUND(M6*M8*M7*(1-M9),0)</f>
        <v>0</v>
      </c>
      <c r="K6" s="1284" t="s">
        <v>2107</v>
      </c>
      <c r="L6" s="294" t="s">
        <v>696</v>
      </c>
      <c r="M6" s="295">
        <f ca="1">INDIRECT("'数据-取费表'!z"&amp;$G$1)</f>
        <v>0</v>
      </c>
    </row>
    <row r="7" spans="1:37" ht="18" customHeight="1">
      <c r="A7" s="1010"/>
      <c r="B7" s="3383"/>
      <c r="C7" s="1012"/>
      <c r="D7" s="299"/>
      <c r="E7" s="1013" t="s">
        <v>697</v>
      </c>
      <c r="F7" s="295">
        <f ca="1">IF(INDIRECT("'数据-取费表'!ah"&amp;$G$1)="",INDIRECT("'数据-取费表'!k"&amp;$G$1),INDIRECT("'数据-取费表'!ah"&amp;$G$1))</f>
        <v>412.76</v>
      </c>
      <c r="G7" s="1292"/>
      <c r="H7" s="296"/>
      <c r="I7" s="3383"/>
      <c r="J7" s="298"/>
      <c r="K7" s="299"/>
      <c r="L7" s="294" t="s">
        <v>697</v>
      </c>
      <c r="M7" s="295">
        <f ca="1">F7</f>
        <v>412.76</v>
      </c>
    </row>
    <row r="8" spans="1:37" ht="18" customHeight="1">
      <c r="A8" s="296"/>
      <c r="B8" s="3383"/>
      <c r="C8" s="298"/>
      <c r="D8" s="299"/>
      <c r="E8" s="294" t="s">
        <v>698</v>
      </c>
      <c r="F8" s="295">
        <f ca="1">INDIRECT("'数据-取费表'!ai"&amp;$G$1)</f>
        <v>12</v>
      </c>
      <c r="G8" s="1292"/>
      <c r="H8" s="296"/>
      <c r="I8" s="3383"/>
      <c r="J8" s="298"/>
      <c r="K8" s="299"/>
      <c r="L8" s="294" t="s">
        <v>698</v>
      </c>
      <c r="M8" s="295">
        <f ca="1">INDIRECT("'数据-取费表'!ai"&amp;$G$1)</f>
        <v>12</v>
      </c>
    </row>
    <row r="9" spans="1:37" ht="18" customHeight="1">
      <c r="A9" s="296"/>
      <c r="B9" s="3384"/>
      <c r="C9" s="298"/>
      <c r="D9" s="299"/>
      <c r="E9" s="294" t="s">
        <v>699</v>
      </c>
      <c r="F9" s="304">
        <f ca="1">INDIRECT("'数据-取费表'!w"&amp;$G$1)</f>
        <v>0.05</v>
      </c>
      <c r="G9" s="1292"/>
      <c r="H9" s="296"/>
      <c r="I9" s="3384"/>
      <c r="J9" s="298"/>
      <c r="K9" s="299"/>
      <c r="L9" s="305" t="s">
        <v>699</v>
      </c>
      <c r="M9" s="306">
        <f ca="1">INDIRECT("'数据-取费表'!ab"&amp;$G$1)</f>
        <v>0</v>
      </c>
    </row>
    <row r="10" spans="1:37" ht="18" customHeight="1">
      <c r="A10" s="1006" t="s">
        <v>402</v>
      </c>
      <c r="B10" s="1274" t="s">
        <v>700</v>
      </c>
      <c r="C10" s="308">
        <f ca="1">ROUND(IF(F10="押一",C6/12*F11,IF(F10="押二",C6/12*2*F11,IF(F10="押三",C6/12*3*F11,C11*F11))),0)</f>
        <v>814</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2876397</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2063800</v>
      </c>
      <c r="D14" s="1257" t="s">
        <v>708</v>
      </c>
      <c r="E14" s="1255"/>
      <c r="F14" s="311"/>
      <c r="G14" s="1292"/>
      <c r="H14" s="928" t="s">
        <v>398</v>
      </c>
      <c r="I14" s="294" t="s">
        <v>709</v>
      </c>
      <c r="J14" s="21">
        <f ca="1">C29</f>
        <v>3383996</v>
      </c>
      <c r="K14" s="12"/>
      <c r="L14" s="759"/>
      <c r="M14" s="760"/>
    </row>
    <row r="15" spans="1:37" s="1304" customFormat="1" ht="18" customHeight="1" thickBot="1">
      <c r="A15" s="928" t="s">
        <v>399</v>
      </c>
      <c r="B15" s="294" t="s">
        <v>710</v>
      </c>
      <c r="C15" s="21">
        <f ca="1">ROUND(C14*F15,0)</f>
        <v>61914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61914</v>
      </c>
      <c r="D16" s="294" t="s">
        <v>711</v>
      </c>
      <c r="E16" s="294" t="s">
        <v>712</v>
      </c>
      <c r="F16" s="314">
        <f ca="1">IF(INDIRECT("'数据-取费表'!c"&amp;$G$1)="住宅",'数据-取费表'!B34,0)</f>
        <v>0.03</v>
      </c>
      <c r="G16" s="1292"/>
      <c r="H16" s="1016" t="s">
        <v>393</v>
      </c>
      <c r="I16" s="1017" t="s">
        <v>714</v>
      </c>
      <c r="J16" s="302">
        <f ca="1">ROUND(J17+J22+J23+J24,0)</f>
        <v>6768</v>
      </c>
      <c r="K16" s="1024" t="s">
        <v>715</v>
      </c>
      <c r="L16" s="1025"/>
      <c r="M16" s="1009"/>
    </row>
    <row r="17" spans="1:37" s="1304" customFormat="1" ht="18" customHeight="1">
      <c r="A17" s="928" t="s">
        <v>681</v>
      </c>
      <c r="B17" s="294" t="s">
        <v>716</v>
      </c>
      <c r="C17" s="21">
        <f ca="1">ROUND(F17*(F43+INDIRECT("'数据-取费表'!S"&amp;$G$1)),0)</f>
        <v>82552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41276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2311456</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23115</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35019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-6768</v>
      </c>
      <c r="K25" s="1032" t="s">
        <v>753</v>
      </c>
      <c r="L25" s="1033"/>
      <c r="M25" s="1034"/>
    </row>
    <row r="26" spans="1:37" ht="18" customHeight="1">
      <c r="A26" s="928" t="s">
        <v>397</v>
      </c>
      <c r="B26" s="294" t="s">
        <v>754</v>
      </c>
      <c r="C26" s="21">
        <f ca="1">ROUND((C19+C20)*F26,0)</f>
        <v>700371</v>
      </c>
      <c r="D26" s="315" t="s">
        <v>755</v>
      </c>
      <c r="E26" s="305" t="s">
        <v>756</v>
      </c>
      <c r="F26" s="304">
        <f ca="1">INDIRECT("'数据-取费表'!q"&amp;$G$1)</f>
        <v>0.3</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8.9999999999999993E-3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3383996</v>
      </c>
      <c r="D29" s="1029"/>
      <c r="E29" s="1027"/>
      <c r="F29" s="1030"/>
      <c r="G29" s="1303"/>
      <c r="H29" s="325" t="s">
        <v>396</v>
      </c>
      <c r="I29" s="326" t="s">
        <v>768</v>
      </c>
      <c r="J29" s="327">
        <f ca="1">ROUND(J26/(1+F40)^F41,0)</f>
        <v>0</v>
      </c>
      <c r="K29" s="328" t="s">
        <v>769</v>
      </c>
      <c r="L29" s="329"/>
      <c r="M29" s="330">
        <f ca="1">INDIRECT("'数据-取费表'!k"&amp;$G$1)</f>
        <v>412.76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31671</v>
      </c>
      <c r="D30" s="1024" t="s">
        <v>715</v>
      </c>
      <c r="E30" s="1025"/>
      <c r="F30" s="1009"/>
      <c r="G30" s="1292"/>
      <c r="H30" s="2468"/>
      <c r="I30" s="1305"/>
      <c r="J30" s="1306"/>
      <c r="K30" s="121"/>
      <c r="L30" s="2469"/>
      <c r="M30" s="2470"/>
    </row>
    <row r="31" spans="1:37" ht="18" customHeight="1">
      <c r="A31" s="928" t="s">
        <v>398</v>
      </c>
      <c r="B31" s="294" t="s">
        <v>719</v>
      </c>
      <c r="C31" s="2138">
        <f ca="1">ROUND(IF(AND(项目基本情况!B11="自然人",项目基本情况!B10="北京市"),C6*F31/(1+'数据-取费表'!C42),C32+C33+C34),0)</f>
        <v>15506</v>
      </c>
      <c r="D31" s="1257" t="s">
        <v>720</v>
      </c>
      <c r="E31" s="1256" t="s">
        <v>770</v>
      </c>
      <c r="F31" s="2137">
        <f ca="1">IF(项目基本情况!B11="企业","——",IF(M47="住宅",IF(F6*F7*F8/12/(1+'数据-取费表'!F30)&gt;100000,4%,2.5%),IF(F6*F7*F8/12/(1+'数据-取费表'!F30)&gt;100000,12%,7%)))</f>
        <v>2.5000000000000001E-2</v>
      </c>
      <c r="G31" s="1292"/>
      <c r="H31" s="2567" t="s">
        <v>2304</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6768</v>
      </c>
      <c r="D36" s="1256" t="s">
        <v>771</v>
      </c>
      <c r="E36" s="294" t="s">
        <v>712</v>
      </c>
      <c r="F36" s="320">
        <f ca="1">INDIRECT("'数据-取费表'!Ak"&amp;$G$1)</f>
        <v>2E-3</v>
      </c>
      <c r="G36" s="1292"/>
      <c r="H36" s="2471"/>
      <c r="I36" s="1305"/>
      <c r="J36" s="1306"/>
      <c r="K36" s="2328"/>
      <c r="L36" s="2471"/>
      <c r="M36" s="2471"/>
    </row>
    <row r="37" spans="1:18" ht="18" customHeight="1">
      <c r="A37" s="928" t="s">
        <v>437</v>
      </c>
      <c r="B37" s="294" t="s">
        <v>742</v>
      </c>
      <c r="C37" s="21">
        <f ca="1">ROUND(C13*F37,0)</f>
        <v>2876</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6521</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620379</v>
      </c>
      <c r="D39" s="1032" t="s">
        <v>773</v>
      </c>
      <c r="E39" s="1033"/>
      <c r="F39" s="1034"/>
      <c r="G39" s="1292"/>
      <c r="H39" s="2471"/>
      <c r="I39" s="1305"/>
      <c r="J39" s="1306"/>
      <c r="K39" s="2469"/>
      <c r="L39" s="2471"/>
      <c r="M39" s="2471"/>
    </row>
    <row r="40" spans="1:18" ht="18" customHeight="1">
      <c r="A40" s="291" t="s">
        <v>395</v>
      </c>
      <c r="B40" s="292" t="s">
        <v>774</v>
      </c>
      <c r="C40" s="293">
        <f ca="1">ROUND(C39*(1-((1+F42)/(1+F40))^F41)/(F40-F42),0)</f>
        <v>20195125</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54.22</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48927</v>
      </c>
      <c r="D43" s="328" t="s">
        <v>777</v>
      </c>
      <c r="E43" s="329" t="s">
        <v>778</v>
      </c>
      <c r="F43" s="330">
        <f ca="1">INDIRECT("'数据-取费表'!k"&amp;$G$1)</f>
        <v>412.76</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f ca="1">ROUND((C68-C40)/10000,4)</f>
        <v>-2040.7474</v>
      </c>
      <c r="D45" s="3128" t="s">
        <v>3349</v>
      </c>
      <c r="E45" s="1307"/>
      <c r="F45" s="1307"/>
      <c r="O45" s="1310" t="s">
        <v>808</v>
      </c>
      <c r="P45" s="1366"/>
      <c r="Q45" s="1366"/>
      <c r="R45" s="1366"/>
    </row>
    <row r="46" spans="1:18" s="1292" customFormat="1" ht="13.5" thickBot="1">
      <c r="A46" s="1311" t="s">
        <v>809</v>
      </c>
      <c r="C46" s="1312">
        <f ca="1">ROUND(C45,0)</f>
        <v>-2041</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3452</v>
      </c>
      <c r="K47" s="1323" t="s">
        <v>816</v>
      </c>
      <c r="L47" s="1324">
        <f ca="1">INDIRECT("'数据-取费表'!d"&amp;$G$1)</f>
        <v>70</v>
      </c>
      <c r="M47" s="1288" t="str">
        <f>IF(ISNUMBER(FIND("住宅",C1)),"住宅","非住宅")</f>
        <v>住宅</v>
      </c>
      <c r="O47" s="1325" t="s">
        <v>403</v>
      </c>
      <c r="P47" s="1326" t="s">
        <v>817</v>
      </c>
      <c r="Q47" s="1327">
        <f ca="1">C40+J29</f>
        <v>20195125</v>
      </c>
      <c r="R47" s="1327" t="s">
        <v>818</v>
      </c>
    </row>
    <row r="48" spans="1:18" s="1292" customFormat="1" ht="28.5" thickBot="1">
      <c r="A48" s="1047" t="s">
        <v>438</v>
      </c>
      <c r="B48" s="292" t="s">
        <v>692</v>
      </c>
      <c r="C48" s="1268">
        <f ca="1">C49+C53+C55</f>
        <v>0</v>
      </c>
      <c r="D48" s="1049"/>
      <c r="E48" s="1050"/>
      <c r="F48" s="908"/>
      <c r="G48" s="681"/>
      <c r="H48" s="682"/>
      <c r="I48" s="1328" t="s">
        <v>819</v>
      </c>
      <c r="J48" s="1329" t="s">
        <v>3459</v>
      </c>
      <c r="K48" s="1330" t="s">
        <v>820</v>
      </c>
      <c r="L48" s="1331">
        <f ca="1">INDIRECT("'数据-取费表'!f"&amp;$G$1)</f>
        <v>54.22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2011</v>
      </c>
      <c r="K49" s="1330" t="s">
        <v>824</v>
      </c>
      <c r="L49" s="1333"/>
      <c r="O49" s="1334" t="s">
        <v>405</v>
      </c>
      <c r="P49" s="1326" t="s">
        <v>825</v>
      </c>
      <c r="Q49" s="1327">
        <f ca="1">C29</f>
        <v>3383996</v>
      </c>
      <c r="R49" s="1327" t="s">
        <v>818</v>
      </c>
    </row>
    <row r="50" spans="1:18" s="1292" customFormat="1" ht="13.5" thickBot="1">
      <c r="A50" s="922"/>
      <c r="B50" s="925"/>
      <c r="C50" s="926"/>
      <c r="D50" s="899"/>
      <c r="E50" s="993" t="s">
        <v>697</v>
      </c>
      <c r="F50" s="994">
        <f ca="1">F7</f>
        <v>412.76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8006608</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54.22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54.22</v>
      </c>
      <c r="K53" s="3380" t="s">
        <v>837</v>
      </c>
      <c r="L53" s="3381"/>
      <c r="O53" s="1325" t="s">
        <v>409</v>
      </c>
      <c r="P53" s="1326" t="s">
        <v>838</v>
      </c>
      <c r="Q53" s="1327">
        <f ca="1">Q47+Q48</f>
        <v>20195125</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2876397</v>
      </c>
      <c r="D56" s="1352"/>
      <c r="E56" s="1353"/>
      <c r="F56" s="1345"/>
      <c r="I56" s="1354" t="s">
        <v>842</v>
      </c>
      <c r="J56" s="1355" t="s">
        <v>3428</v>
      </c>
      <c r="K56" s="1328" t="s">
        <v>843</v>
      </c>
      <c r="L56" s="1331">
        <f ca="1">IF(L48&lt;J51,"——",L48-J51)</f>
        <v>8.2199999999999989</v>
      </c>
      <c r="O56" s="1325" t="s">
        <v>403</v>
      </c>
      <c r="P56" s="1326" t="s">
        <v>817</v>
      </c>
      <c r="Q56" s="1327">
        <f ca="1">C40+J29</f>
        <v>20195125</v>
      </c>
      <c r="R56" s="1327" t="s">
        <v>818</v>
      </c>
    </row>
    <row r="57" spans="1:18" s="1292" customFormat="1" ht="24.75" thickBot="1">
      <c r="A57" s="1356"/>
      <c r="B57" s="896" t="s">
        <v>767</v>
      </c>
      <c r="C57" s="230">
        <f ca="1">C29</f>
        <v>3383996</v>
      </c>
      <c r="D57" s="1357"/>
      <c r="E57" s="1358"/>
      <c r="F57" s="1359"/>
      <c r="I57" s="1360" t="s">
        <v>844</v>
      </c>
      <c r="J57" s="1361" t="str">
        <f ca="1">IF(OR(M47="住宅",J51&lt;L48,J56="是"),"——",J51-L48)</f>
        <v>——</v>
      </c>
      <c r="K57" s="1328" t="s">
        <v>892</v>
      </c>
      <c r="L57" s="1331">
        <f ca="1">IF(L48&lt;J51,"——",IF(L55="比较法",L49,IF(L55="基准地价",L50,L51)))</f>
        <v>8006608</v>
      </c>
      <c r="O57" s="1325" t="s">
        <v>404</v>
      </c>
      <c r="P57" s="1326" t="s">
        <v>893</v>
      </c>
      <c r="Q57" s="1327">
        <f ca="1">L60</f>
        <v>0</v>
      </c>
      <c r="R57" s="1327" t="s">
        <v>894</v>
      </c>
    </row>
    <row r="58" spans="1:18" s="1292" customFormat="1" ht="24.75" thickBot="1">
      <c r="A58" s="307" t="s">
        <v>393</v>
      </c>
      <c r="B58" s="904" t="s">
        <v>714</v>
      </c>
      <c r="C58" s="308">
        <f ca="1">ROUND(C59+C64+C65+C66,0)</f>
        <v>9644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20195125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2876</v>
      </c>
      <c r="D65" s="910" t="s">
        <v>743</v>
      </c>
      <c r="E65" s="896" t="s">
        <v>744</v>
      </c>
      <c r="F65" s="321">
        <f t="shared" ca="1" si="0"/>
        <v>1E-3</v>
      </c>
      <c r="I65" s="1367" t="s">
        <v>867</v>
      </c>
      <c r="J65" s="610">
        <v>40</v>
      </c>
      <c r="K65" s="610">
        <v>30</v>
      </c>
      <c r="L65" s="610">
        <v>50</v>
      </c>
      <c r="M65" s="1369">
        <v>0.02</v>
      </c>
      <c r="O65" s="1325" t="s">
        <v>403</v>
      </c>
      <c r="P65" s="1326" t="s">
        <v>868</v>
      </c>
      <c r="Q65" s="1327">
        <f ca="1">C40+J29</f>
        <v>20195125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-9644</v>
      </c>
      <c r="D67" s="909" t="s">
        <v>753</v>
      </c>
      <c r="E67" s="914"/>
      <c r="F67" s="915"/>
      <c r="O67" s="1334" t="s">
        <v>405</v>
      </c>
      <c r="P67" s="1326" t="s">
        <v>850</v>
      </c>
      <c r="Q67" s="1370">
        <f ca="1">L51</f>
        <v>8006608</v>
      </c>
      <c r="R67" s="1327" t="s">
        <v>870</v>
      </c>
    </row>
    <row r="68" spans="1:18" s="1292" customFormat="1" ht="16.5" thickBot="1">
      <c r="A68" s="893" t="s">
        <v>395</v>
      </c>
      <c r="B68" s="894" t="s">
        <v>774</v>
      </c>
      <c r="C68" s="293">
        <f ca="1">ROUND(C67*(1-((1+F70)/(1+F68))^F69)/(F68-F70),0)</f>
        <v>-212349</v>
      </c>
      <c r="D68" s="911" t="s">
        <v>758</v>
      </c>
      <c r="E68" s="896" t="s">
        <v>759</v>
      </c>
      <c r="F68" s="304">
        <f ca="1">F40</f>
        <v>0.04</v>
      </c>
      <c r="O68" s="1334" t="s">
        <v>406</v>
      </c>
      <c r="P68" s="1371" t="s">
        <v>871</v>
      </c>
      <c r="Q68" s="1327">
        <f ca="1">ROUND(Q69-Q70*Q71,0)</f>
        <v>447795</v>
      </c>
      <c r="R68" s="1327" t="s">
        <v>414</v>
      </c>
    </row>
    <row r="69" spans="1:18" s="1292" customFormat="1" ht="13.5" thickBot="1">
      <c r="A69" s="897"/>
      <c r="B69" s="898"/>
      <c r="C69" s="298"/>
      <c r="D69" s="916" t="s">
        <v>762</v>
      </c>
      <c r="E69" s="896" t="s">
        <v>763</v>
      </c>
      <c r="F69" s="324">
        <f ca="1">F41</f>
        <v>54.22</v>
      </c>
      <c r="O69" s="1334" t="s">
        <v>411</v>
      </c>
      <c r="P69" s="1371" t="s">
        <v>872</v>
      </c>
      <c r="Q69" s="1327">
        <f ca="1">C39</f>
        <v>620379</v>
      </c>
      <c r="R69" s="1327" t="s">
        <v>818</v>
      </c>
    </row>
    <row r="70" spans="1:18" s="1292" customFormat="1" ht="13.5" thickBot="1">
      <c r="A70" s="900"/>
      <c r="B70" s="901"/>
      <c r="C70" s="302"/>
      <c r="D70" s="912"/>
      <c r="E70" s="896" t="s">
        <v>766</v>
      </c>
      <c r="F70" s="991"/>
      <c r="O70" s="1334" t="s">
        <v>412</v>
      </c>
      <c r="P70" s="1371" t="s">
        <v>873</v>
      </c>
      <c r="Q70" s="1327">
        <f ca="1">C13</f>
        <v>2876397</v>
      </c>
      <c r="R70" s="1327" t="s">
        <v>818</v>
      </c>
    </row>
    <row r="71" spans="1:18" s="1292" customFormat="1" ht="13.5" thickBot="1">
      <c r="A71" s="917" t="s">
        <v>396</v>
      </c>
      <c r="B71" s="918" t="s">
        <v>776</v>
      </c>
      <c r="C71" s="327">
        <f ca="1">ROUND(C68/F71,0)</f>
        <v>-514</v>
      </c>
      <c r="D71" s="919" t="s">
        <v>777</v>
      </c>
      <c r="E71" s="920" t="s">
        <v>778</v>
      </c>
      <c r="F71" s="330">
        <f ca="1">F43</f>
        <v>412.76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172584</v>
      </c>
      <c r="D75" s="1292"/>
      <c r="E75" s="1292"/>
      <c r="F75" s="1292"/>
      <c r="K75" s="1309"/>
      <c r="L75" s="1292"/>
      <c r="O75" s="1325" t="s">
        <v>409</v>
      </c>
      <c r="P75" s="1326" t="s">
        <v>838</v>
      </c>
      <c r="Q75" s="1327">
        <f ca="1">Q65+Q66</f>
        <v>20195125</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0.72199999999999998</v>
      </c>
    </row>
    <row r="80" spans="1:18">
      <c r="B80" s="331" t="s">
        <v>800</v>
      </c>
      <c r="C80" s="266">
        <f ca="1">ROUND(C75/C39,3)</f>
        <v>0.27800000000000002</v>
      </c>
    </row>
    <row r="81" spans="2:3">
      <c r="B81" s="262" t="s">
        <v>801</v>
      </c>
      <c r="C81" s="230"/>
    </row>
    <row r="82" spans="2:3">
      <c r="B82" s="265" t="s">
        <v>802</v>
      </c>
      <c r="C82" s="267">
        <f ca="1">1-C83</f>
        <v>0.85799999999999998</v>
      </c>
    </row>
    <row r="83" spans="2:3">
      <c r="B83" s="265" t="s">
        <v>803</v>
      </c>
      <c r="C83" s="266">
        <f ca="1">ROUND(C13/C40,3)</f>
        <v>0.14199999999999999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6" t="s">
        <v>3355</v>
      </c>
      <c r="E2" s="3137"/>
      <c r="F2" s="2595"/>
      <c r="G2" s="2596"/>
      <c r="H2" s="2597"/>
      <c r="I2" s="2598"/>
      <c r="J2" s="3428" t="s">
        <v>2315</v>
      </c>
      <c r="K2" s="3429"/>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430" t="s">
        <v>2325</v>
      </c>
      <c r="K3" s="3431"/>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430" t="s">
        <v>2327</v>
      </c>
      <c r="K4" s="3431"/>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32" t="s">
        <v>2331</v>
      </c>
      <c r="B6" s="3433"/>
      <c r="C6" s="3434"/>
      <c r="D6" s="2619"/>
      <c r="E6" s="2620"/>
      <c r="F6" s="2621"/>
      <c r="G6" s="2622"/>
      <c r="H6" s="2597"/>
      <c r="I6" s="2598"/>
      <c r="J6" s="3435">
        <v>1</v>
      </c>
      <c r="K6" s="3436"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35"/>
      <c r="K7" s="3437"/>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39" t="s">
        <v>2345</v>
      </c>
      <c r="C8" s="3440"/>
      <c r="D8" s="2638" t="s">
        <v>2346</v>
      </c>
      <c r="E8" s="2639" t="s">
        <v>2347</v>
      </c>
      <c r="F8" s="2640" t="s">
        <v>2348</v>
      </c>
      <c r="G8" s="2641"/>
      <c r="H8" s="2597"/>
      <c r="I8" s="2598"/>
      <c r="J8" s="3435"/>
      <c r="K8" s="3437"/>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39" t="s">
        <v>2351</v>
      </c>
      <c r="C9" s="3440"/>
      <c r="D9" s="2638">
        <f>ROUND(D6*E9,0)</f>
        <v>0</v>
      </c>
      <c r="E9" s="2642"/>
      <c r="F9" s="2643" t="s">
        <v>2352</v>
      </c>
      <c r="G9" s="2622"/>
      <c r="H9" s="2597"/>
      <c r="I9" s="2598"/>
      <c r="J9" s="3435"/>
      <c r="K9" s="3437"/>
      <c r="L9" s="2632" t="s">
        <v>2353</v>
      </c>
      <c r="M9" s="2633"/>
      <c r="N9" s="2609"/>
      <c r="O9" s="2634"/>
      <c r="P9" s="2634"/>
      <c r="Q9" s="2635">
        <v>365</v>
      </c>
      <c r="R9" s="2636">
        <f t="shared" si="0"/>
        <v>0</v>
      </c>
      <c r="S9" s="2590"/>
      <c r="T9" s="2590"/>
      <c r="U9" s="2590"/>
      <c r="V9" s="2598"/>
    </row>
    <row r="10" spans="1:22" s="2602" customFormat="1" ht="13.15" customHeight="1">
      <c r="A10" s="2637">
        <v>2</v>
      </c>
      <c r="B10" s="3439" t="s">
        <v>2354</v>
      </c>
      <c r="C10" s="3440"/>
      <c r="D10" s="2638">
        <f>ROUND(D6*E10,0)</f>
        <v>0</v>
      </c>
      <c r="E10" s="2642"/>
      <c r="F10" s="2643" t="s">
        <v>2355</v>
      </c>
      <c r="G10" s="2622"/>
      <c r="H10" s="2597"/>
      <c r="I10" s="2598"/>
      <c r="J10" s="3435"/>
      <c r="K10" s="3437"/>
      <c r="L10" s="2632" t="s">
        <v>2356</v>
      </c>
      <c r="M10" s="2633"/>
      <c r="N10" s="2609"/>
      <c r="O10" s="2634"/>
      <c r="P10" s="2634"/>
      <c r="Q10" s="2635">
        <v>365</v>
      </c>
      <c r="R10" s="2636">
        <f t="shared" si="0"/>
        <v>0</v>
      </c>
      <c r="S10" s="2590"/>
      <c r="T10" s="2590"/>
      <c r="U10" s="2590"/>
      <c r="V10" s="2598"/>
    </row>
    <row r="11" spans="1:22" s="2602" customFormat="1" ht="13.15" customHeight="1">
      <c r="A11" s="2637">
        <v>3</v>
      </c>
      <c r="B11" s="3439" t="s">
        <v>2357</v>
      </c>
      <c r="C11" s="3440"/>
      <c r="D11" s="2638">
        <f>D12+D14+D15+D16</f>
        <v>0</v>
      </c>
      <c r="E11" s="2644" t="e">
        <f>D11/D6</f>
        <v>#DIV/0!</v>
      </c>
      <c r="F11" s="2640"/>
      <c r="G11" s="2641"/>
      <c r="H11" s="2597"/>
      <c r="I11" s="2598"/>
      <c r="J11" s="3435"/>
      <c r="K11" s="3437"/>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41" t="s">
        <v>2360</v>
      </c>
      <c r="C12" s="3442"/>
      <c r="D12" s="2646">
        <f>ROUND(D13*1.2%*(1-30%),0)</f>
        <v>0</v>
      </c>
      <c r="E12" s="2647">
        <v>1.2E-2</v>
      </c>
      <c r="F12" s="2640" t="s">
        <v>2361</v>
      </c>
      <c r="G12" s="2641"/>
      <c r="H12" s="2597"/>
      <c r="I12" s="2598"/>
      <c r="J12" s="3435"/>
      <c r="K12" s="3437"/>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35"/>
      <c r="K13" s="3437"/>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41" t="s">
        <v>2366</v>
      </c>
      <c r="C14" s="3442"/>
      <c r="D14" s="2646">
        <f>ROUND(E14*B5/10000,0)</f>
        <v>0</v>
      </c>
      <c r="E14" s="2635"/>
      <c r="F14" s="2640" t="s">
        <v>2367</v>
      </c>
      <c r="G14" s="2641"/>
      <c r="H14" s="2597"/>
      <c r="I14" s="2598"/>
      <c r="J14" s="3435"/>
      <c r="K14" s="3438"/>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41" t="s">
        <v>2370</v>
      </c>
      <c r="C15" s="3442"/>
      <c r="D15" s="2646">
        <f>ROUND(D6*E15,0)</f>
        <v>0</v>
      </c>
      <c r="E15" s="2647">
        <v>5.5E-2</v>
      </c>
      <c r="F15" s="2640" t="s">
        <v>2371</v>
      </c>
      <c r="G15" s="2622"/>
      <c r="H15" s="2597"/>
      <c r="I15" s="2598"/>
      <c r="J15" s="3435">
        <v>2</v>
      </c>
      <c r="K15" s="3436"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41" t="s">
        <v>2379</v>
      </c>
      <c r="C16" s="3442"/>
      <c r="D16" s="2657">
        <f>D6*E16</f>
        <v>0</v>
      </c>
      <c r="E16" s="2658"/>
      <c r="F16" s="2643" t="s">
        <v>2380</v>
      </c>
      <c r="G16" s="2622"/>
      <c r="H16" s="2597"/>
      <c r="I16" s="2598"/>
      <c r="J16" s="3435"/>
      <c r="K16" s="3437"/>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43" t="s">
        <v>2382</v>
      </c>
      <c r="C17" s="3444"/>
      <c r="D17" s="2660">
        <f>ROUND(D6*E17,0)</f>
        <v>0</v>
      </c>
      <c r="E17" s="2661"/>
      <c r="F17" s="2662" t="s">
        <v>2383</v>
      </c>
      <c r="G17" s="2622"/>
      <c r="H17" s="2597"/>
      <c r="I17" s="2598"/>
      <c r="J17" s="3435"/>
      <c r="K17" s="3437"/>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35"/>
      <c r="K18" s="3437"/>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35"/>
      <c r="K19" s="3438"/>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5">
        <v>3</v>
      </c>
      <c r="K20" s="3436"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35"/>
      <c r="K21" s="3437"/>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35"/>
      <c r="K22" s="3437"/>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35"/>
      <c r="K23" s="3437"/>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35"/>
      <c r="K24" s="3438"/>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45">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4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428" t="s">
        <v>2315</v>
      </c>
      <c r="K32" s="3429"/>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430" t="s">
        <v>2325</v>
      </c>
      <c r="K33" s="3431"/>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430" t="s">
        <v>2327</v>
      </c>
      <c r="K34" s="343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35">
        <v>1</v>
      </c>
      <c r="K36" s="3436"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35"/>
      <c r="K37" s="3437"/>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5"/>
      <c r="K38" s="3437"/>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35"/>
      <c r="K39" s="3437"/>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35"/>
      <c r="K40" s="3438"/>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45">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4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2019.5125</v>
      </c>
      <c r="C2" s="1729" t="s">
        <v>1651</v>
      </c>
      <c r="D2" s="1730" t="s">
        <v>1652</v>
      </c>
      <c r="E2" s="2390">
        <f>SUM(E6:E13)</f>
        <v>412.76</v>
      </c>
      <c r="F2" s="2477"/>
      <c r="G2" s="459"/>
      <c r="H2" s="459"/>
      <c r="I2" s="459"/>
      <c r="J2" s="459"/>
      <c r="K2" s="459"/>
      <c r="L2" s="459"/>
      <c r="M2" s="459"/>
      <c r="N2" s="459"/>
      <c r="O2" s="459"/>
      <c r="P2" s="459"/>
      <c r="Q2" s="459"/>
      <c r="R2" s="459"/>
      <c r="S2" s="459"/>
    </row>
    <row r="3" spans="1:22" ht="15.75">
      <c r="A3" s="1728" t="s">
        <v>686</v>
      </c>
      <c r="B3" s="2384">
        <f ca="1">ROUND(B2*10000/E2,0)</f>
        <v>48927</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47" t="s">
        <v>1654</v>
      </c>
      <c r="C5" s="3448"/>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2019.5125</v>
      </c>
      <c r="C6" s="1729" t="s">
        <v>1651</v>
      </c>
      <c r="D6" s="2477"/>
      <c r="E6" s="2389">
        <f>IF(OR(A6=0,F6="否"),0,'数据-取费表'!K6+'数据-取费表'!S6)</f>
        <v>412.76</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412.76</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90" t="s">
        <v>1771</v>
      </c>
      <c r="S4" s="3391"/>
      <c r="T4" s="3390" t="s">
        <v>1772</v>
      </c>
      <c r="U4" s="3391"/>
      <c r="V4" s="3413" t="s">
        <v>1773</v>
      </c>
      <c r="W4" s="3413"/>
      <c r="X4" s="1265"/>
      <c r="Y4" s="3390" t="s">
        <v>1775</v>
      </c>
      <c r="Z4" s="3391"/>
      <c r="AA4" s="3385" t="s">
        <v>1771</v>
      </c>
      <c r="AB4" s="3413" t="s">
        <v>1772</v>
      </c>
      <c r="AC4" s="3385" t="s">
        <v>1773</v>
      </c>
    </row>
    <row r="5" spans="1:29" ht="15">
      <c r="A5" s="348"/>
      <c r="B5" s="349"/>
      <c r="C5" s="3451" t="s">
        <v>1673</v>
      </c>
      <c r="D5" s="3395"/>
      <c r="E5" s="3449" t="s">
        <v>1674</v>
      </c>
      <c r="F5" s="3450"/>
      <c r="G5" s="3451" t="s">
        <v>1675</v>
      </c>
      <c r="H5" s="3395"/>
      <c r="I5" s="3451" t="s">
        <v>1676</v>
      </c>
      <c r="J5" s="3395"/>
      <c r="K5" s="537"/>
      <c r="L5" s="2484"/>
      <c r="M5" s="2485"/>
      <c r="N5" s="2485"/>
      <c r="O5" s="2485"/>
      <c r="P5" s="3407"/>
      <c r="Q5" s="3408"/>
      <c r="R5" s="3392"/>
      <c r="S5" s="3393"/>
      <c r="T5" s="3392"/>
      <c r="U5" s="3393"/>
      <c r="V5" s="3413"/>
      <c r="W5" s="3413"/>
      <c r="X5" s="1265"/>
      <c r="Y5" s="3392"/>
      <c r="Z5" s="3393"/>
      <c r="AA5" s="3386"/>
      <c r="AB5" s="3413"/>
      <c r="AC5" s="338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2"/>
      <c r="S6" s="3393"/>
      <c r="T6" s="3411"/>
      <c r="U6" s="3412"/>
      <c r="V6" s="3413"/>
      <c r="W6" s="3413"/>
      <c r="X6" s="1265"/>
      <c r="Y6" s="3411"/>
      <c r="Z6" s="3412"/>
      <c r="AA6" s="3387"/>
      <c r="AB6" s="3413"/>
      <c r="AC6" s="3387"/>
    </row>
    <row r="7" spans="1:29" s="102" customFormat="1" ht="15.75" thickBot="1">
      <c r="A7" s="352" t="s">
        <v>1679</v>
      </c>
      <c r="B7" s="353"/>
      <c r="C7" s="354">
        <f>'数据-取费表'!B2</f>
        <v>45972</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8" t="s">
        <v>1680</v>
      </c>
      <c r="Q7" s="3414"/>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8" t="s">
        <v>1683</v>
      </c>
      <c r="Q8" s="3389"/>
      <c r="R8" s="664" t="s">
        <v>14</v>
      </c>
      <c r="S8" s="665">
        <f t="shared" si="0"/>
        <v>100</v>
      </c>
      <c r="T8" s="664" t="s">
        <v>14</v>
      </c>
      <c r="U8" s="665">
        <f t="shared" si="1"/>
        <v>100</v>
      </c>
      <c r="V8" s="664" t="s">
        <v>14</v>
      </c>
      <c r="W8" s="665">
        <f t="shared" si="2"/>
        <v>100</v>
      </c>
      <c r="X8" s="666"/>
      <c r="Y8" s="3388" t="s">
        <v>1683</v>
      </c>
      <c r="Z8" s="338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7"/>
      <c r="Q16" s="1263"/>
      <c r="R16" s="667"/>
      <c r="S16" s="668"/>
      <c r="T16" s="667"/>
      <c r="U16" s="668"/>
      <c r="V16" s="667"/>
      <c r="W16" s="668"/>
      <c r="X16" s="1265"/>
      <c r="Y16" s="3420"/>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7"/>
      <c r="Q18" s="1263"/>
      <c r="R18" s="667"/>
      <c r="S18" s="668"/>
      <c r="T18" s="667"/>
      <c r="U18" s="668"/>
      <c r="V18" s="667"/>
      <c r="W18" s="668"/>
      <c r="X18" s="1265"/>
      <c r="Y18" s="3420"/>
      <c r="Z18" s="1264"/>
      <c r="AA18" s="1264">
        <v>1</v>
      </c>
      <c r="AB18" s="1264">
        <v>1</v>
      </c>
      <c r="AC18" s="1264">
        <v>1</v>
      </c>
    </row>
    <row r="19" spans="1:29" ht="299.25">
      <c r="A19" s="367"/>
      <c r="B19" s="390" t="s">
        <v>1778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7"/>
      <c r="Q20" s="1263"/>
      <c r="R20" s="667"/>
      <c r="S20" s="668"/>
      <c r="T20" s="667"/>
      <c r="U20" s="668"/>
      <c r="V20" s="667"/>
      <c r="W20" s="668"/>
      <c r="X20" s="1265"/>
      <c r="Y20" s="342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7"/>
      <c r="Q22" s="1263"/>
      <c r="R22" s="667"/>
      <c r="S22" s="668"/>
      <c r="T22" s="667"/>
      <c r="U22" s="668"/>
      <c r="V22" s="667"/>
      <c r="W22" s="668"/>
      <c r="X22" s="1265"/>
      <c r="Y22" s="3420"/>
      <c r="Z22" s="1264"/>
      <c r="AA22" s="1264">
        <v>1</v>
      </c>
      <c r="AB22" s="1264">
        <v>1</v>
      </c>
      <c r="AC22" s="1264">
        <v>1</v>
      </c>
    </row>
    <row r="23" spans="1:29" ht="85.5">
      <c r="A23" s="367"/>
      <c r="B23" s="390" t="s">
        <v>1261</v>
      </c>
      <c r="C23" s="1804" t="str">
        <f>估价对象房地状况!C9</f>
        <v>周边有通惠河灌渠、马家湾湿地公园、聿博文体公园等自然人文环境，综合评价环境状况较好。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412.76</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58" t="s">
        <v>1775</v>
      </c>
      <c r="Q4" s="3459"/>
      <c r="R4" s="3453" t="s">
        <v>1771</v>
      </c>
      <c r="S4" s="3454"/>
      <c r="T4" s="3453" t="s">
        <v>1772</v>
      </c>
      <c r="U4" s="3454"/>
      <c r="V4" s="3462" t="s">
        <v>1773</v>
      </c>
      <c r="W4" s="3462"/>
      <c r="X4" s="1807"/>
      <c r="Y4" s="3453" t="s">
        <v>1775</v>
      </c>
      <c r="Z4" s="3454"/>
      <c r="AA4" s="3452" t="s">
        <v>1771</v>
      </c>
      <c r="AB4" s="3452" t="s">
        <v>1772</v>
      </c>
      <c r="AC4" s="3455" t="s">
        <v>1773</v>
      </c>
    </row>
    <row r="5" spans="1:29" ht="15">
      <c r="A5" s="348"/>
      <c r="B5" s="349"/>
      <c r="C5" s="3451" t="s">
        <v>1673</v>
      </c>
      <c r="D5" s="3395"/>
      <c r="E5" s="3449" t="s">
        <v>1674</v>
      </c>
      <c r="F5" s="3450"/>
      <c r="G5" s="3451" t="s">
        <v>1675</v>
      </c>
      <c r="H5" s="3395"/>
      <c r="I5" s="3451" t="s">
        <v>1676</v>
      </c>
      <c r="J5" s="3395"/>
      <c r="K5" s="537"/>
      <c r="L5" s="2484"/>
      <c r="M5" s="2485"/>
      <c r="N5" s="2485"/>
      <c r="O5" s="2485"/>
      <c r="P5" s="3460"/>
      <c r="Q5" s="3408"/>
      <c r="R5" s="3392"/>
      <c r="S5" s="3393"/>
      <c r="T5" s="3392"/>
      <c r="U5" s="3393"/>
      <c r="V5" s="3413"/>
      <c r="W5" s="3413"/>
      <c r="X5" s="1265"/>
      <c r="Y5" s="3392"/>
      <c r="Z5" s="3393"/>
      <c r="AA5" s="3386"/>
      <c r="AB5" s="3386"/>
      <c r="AC5" s="345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61"/>
      <c r="Q6" s="3410"/>
      <c r="R6" s="3392"/>
      <c r="S6" s="3393"/>
      <c r="T6" s="3411"/>
      <c r="U6" s="3412"/>
      <c r="V6" s="3413"/>
      <c r="W6" s="3413"/>
      <c r="X6" s="1265"/>
      <c r="Y6" s="3411"/>
      <c r="Z6" s="3412"/>
      <c r="AA6" s="3387"/>
      <c r="AB6" s="3387"/>
      <c r="AC6" s="3457"/>
    </row>
    <row r="7" spans="1:29" s="102" customFormat="1" ht="15.75" thickBot="1">
      <c r="A7" s="352" t="s">
        <v>1679</v>
      </c>
      <c r="B7" s="353"/>
      <c r="C7" s="354">
        <f>'数据-取费表'!B2</f>
        <v>45972</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3" t="s">
        <v>1680</v>
      </c>
      <c r="Q7" s="3414"/>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3"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0"/>
      <c r="M16" s="2485"/>
      <c r="N16" s="2485"/>
      <c r="O16" s="2485"/>
      <c r="P16" s="3427"/>
      <c r="Q16" s="1263"/>
      <c r="R16" s="667"/>
      <c r="S16" s="668"/>
      <c r="T16" s="667"/>
      <c r="U16" s="668"/>
      <c r="V16" s="667"/>
      <c r="W16" s="668"/>
      <c r="X16" s="1265"/>
      <c r="Y16" s="3420"/>
      <c r="Z16" s="1264"/>
      <c r="AA16" s="1264">
        <v>1</v>
      </c>
      <c r="AB16" s="1264">
        <v>1</v>
      </c>
      <c r="AC16" s="1810">
        <v>1</v>
      </c>
    </row>
    <row r="17" spans="1:29" ht="114">
      <c r="A17" s="367"/>
      <c r="B17" s="556" t="s">
        <v>1259</v>
      </c>
      <c r="C17" s="1811" t="str">
        <f>估价对象房地状况!C6</f>
        <v>估价对象距离地铁7号线郎辛庄站约100米，周边有411路、457路、专170、专171等公交通过并设站，综合评价交通便捷度较好。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0"/>
      <c r="M18" s="2485"/>
      <c r="N18" s="2485"/>
      <c r="O18" s="2485"/>
      <c r="P18" s="3427"/>
      <c r="Q18" s="1263"/>
      <c r="R18" s="667"/>
      <c r="S18" s="668"/>
      <c r="T18" s="667"/>
      <c r="U18" s="668"/>
      <c r="V18" s="667"/>
      <c r="W18" s="668"/>
      <c r="X18" s="1265"/>
      <c r="Y18" s="3420"/>
      <c r="Z18" s="1264"/>
      <c r="AA18" s="1264">
        <v>1</v>
      </c>
      <c r="AB18" s="1264">
        <v>1</v>
      </c>
      <c r="AC18" s="1810">
        <v>1</v>
      </c>
    </row>
    <row r="19" spans="1:29" ht="270.75">
      <c r="A19" s="367"/>
      <c r="B19" s="556" t="s">
        <v>1812</v>
      </c>
      <c r="C19" s="1811"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0"/>
      <c r="M20" s="2485"/>
      <c r="N20" s="2485"/>
      <c r="O20" s="2485"/>
      <c r="P20" s="3427"/>
      <c r="Q20" s="1263"/>
      <c r="R20" s="667"/>
      <c r="S20" s="668"/>
      <c r="T20" s="667"/>
      <c r="U20" s="668"/>
      <c r="V20" s="667"/>
      <c r="W20" s="668"/>
      <c r="X20" s="1265"/>
      <c r="Y20" s="3420"/>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0"/>
      <c r="M22" s="2485"/>
      <c r="N22" s="2485"/>
      <c r="O22" s="2485"/>
      <c r="P22" s="3427"/>
      <c r="Q22" s="1263"/>
      <c r="R22" s="667"/>
      <c r="S22" s="668"/>
      <c r="T22" s="667"/>
      <c r="U22" s="668"/>
      <c r="V22" s="667"/>
      <c r="W22" s="668"/>
      <c r="X22" s="1265"/>
      <c r="Y22" s="3420"/>
      <c r="Z22" s="1264"/>
      <c r="AA22" s="1264">
        <v>1</v>
      </c>
      <c r="AB22" s="1264">
        <v>1</v>
      </c>
      <c r="AC22" s="1810">
        <v>1</v>
      </c>
    </row>
    <row r="23" spans="1:29" ht="85.5">
      <c r="A23" s="367"/>
      <c r="B23" s="556" t="s">
        <v>1814</v>
      </c>
      <c r="C23" s="1811" t="str">
        <f>估价对象房地状况!C9</f>
        <v>周边有通惠河灌渠、马家湾湿地公园、聿博文体公园等自然人文环境，综合评价环境状况较好。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0"/>
      <c r="M24" s="2485"/>
      <c r="N24" s="2485"/>
      <c r="O24" s="2485"/>
      <c r="P24" s="3427"/>
      <c r="Q24" s="1263"/>
      <c r="R24" s="667"/>
      <c r="S24" s="668"/>
      <c r="T24" s="667"/>
      <c r="U24" s="668"/>
      <c r="V24" s="667"/>
      <c r="W24" s="668"/>
      <c r="X24" s="1265"/>
      <c r="Y24" s="3420"/>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0"/>
      <c r="M26" s="2485"/>
      <c r="N26" s="2485"/>
      <c r="O26" s="2485"/>
      <c r="P26" s="3427"/>
      <c r="Q26" s="1263"/>
      <c r="R26" s="667"/>
      <c r="S26" s="668"/>
      <c r="T26" s="667"/>
      <c r="U26" s="668"/>
      <c r="V26" s="667"/>
      <c r="W26" s="668"/>
      <c r="X26" s="1265"/>
      <c r="Y26" s="3420"/>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412.76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90" t="s">
        <v>1771</v>
      </c>
      <c r="S4" s="3391"/>
      <c r="T4" s="3390" t="s">
        <v>1772</v>
      </c>
      <c r="U4" s="3391"/>
      <c r="V4" s="3413" t="s">
        <v>1773</v>
      </c>
      <c r="W4" s="3413"/>
      <c r="X4" s="1265"/>
      <c r="Y4" s="3390" t="s">
        <v>1775</v>
      </c>
      <c r="Z4" s="3391"/>
      <c r="AA4" s="3385" t="s">
        <v>1771</v>
      </c>
      <c r="AB4" s="3386" t="s">
        <v>1772</v>
      </c>
      <c r="AC4" s="3385" t="s">
        <v>1773</v>
      </c>
    </row>
    <row r="5" spans="1:29" ht="15">
      <c r="A5" s="348"/>
      <c r="B5" s="349"/>
      <c r="C5" s="3451" t="s">
        <v>1673</v>
      </c>
      <c r="D5" s="3395"/>
      <c r="E5" s="3449" t="s">
        <v>1674</v>
      </c>
      <c r="F5" s="3450"/>
      <c r="G5" s="3451" t="s">
        <v>1675</v>
      </c>
      <c r="H5" s="3395"/>
      <c r="I5" s="3451" t="s">
        <v>1676</v>
      </c>
      <c r="J5" s="3395"/>
      <c r="K5" s="537"/>
      <c r="L5" s="860"/>
      <c r="M5" s="861"/>
      <c r="N5" s="861"/>
      <c r="O5" s="861"/>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4"/>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90" t="s">
        <v>1771</v>
      </c>
      <c r="S4" s="3391"/>
      <c r="T4" s="3390" t="s">
        <v>1772</v>
      </c>
      <c r="U4" s="3391"/>
      <c r="V4" s="3413" t="s">
        <v>1773</v>
      </c>
      <c r="W4" s="3413"/>
      <c r="X4" s="1265"/>
      <c r="Y4" s="3390" t="s">
        <v>1775</v>
      </c>
      <c r="Z4" s="3391"/>
      <c r="AA4" s="3385" t="s">
        <v>1771</v>
      </c>
      <c r="AB4" s="3386" t="s">
        <v>1772</v>
      </c>
      <c r="AC4" s="3385" t="s">
        <v>1773</v>
      </c>
    </row>
    <row r="5" spans="1:29" ht="15">
      <c r="A5" s="348"/>
      <c r="B5" s="349"/>
      <c r="C5" s="3451" t="s">
        <v>1673</v>
      </c>
      <c r="D5" s="3395"/>
      <c r="E5" s="3449" t="s">
        <v>1674</v>
      </c>
      <c r="F5" s="3450"/>
      <c r="G5" s="3451" t="s">
        <v>1675</v>
      </c>
      <c r="H5" s="3395"/>
      <c r="I5" s="3451" t="s">
        <v>1676</v>
      </c>
      <c r="J5" s="3395"/>
      <c r="K5" s="537"/>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8" t="s">
        <v>1680</v>
      </c>
      <c r="Q7" s="3414"/>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8"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28.25">
      <c r="A14" s="345" t="s">
        <v>1690</v>
      </c>
      <c r="B14" s="554"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0"/>
      <c r="Q15" s="1263"/>
      <c r="R15" s="667"/>
      <c r="S15" s="668"/>
      <c r="T15" s="667"/>
      <c r="U15" s="668"/>
      <c r="V15" s="667"/>
      <c r="W15" s="668"/>
      <c r="X15" s="1265"/>
      <c r="Y15" s="3420"/>
      <c r="Z15" s="1264"/>
      <c r="AA15" s="1264">
        <v>1</v>
      </c>
      <c r="AB15" s="1264">
        <v>1</v>
      </c>
      <c r="AC15" s="1264">
        <v>1</v>
      </c>
    </row>
    <row r="16" spans="1:29" ht="299.25">
      <c r="A16" s="348"/>
      <c r="B16" s="556"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0"/>
      <c r="Q17" s="1263"/>
      <c r="R17" s="667"/>
      <c r="S17" s="668"/>
      <c r="T17" s="667"/>
      <c r="U17" s="668"/>
      <c r="V17" s="667"/>
      <c r="W17" s="668"/>
      <c r="X17" s="1265"/>
      <c r="Y17" s="342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0"/>
      <c r="Q19" s="1263"/>
      <c r="R19" s="667"/>
      <c r="S19" s="668"/>
      <c r="T19" s="667"/>
      <c r="U19" s="668"/>
      <c r="V19" s="667"/>
      <c r="W19" s="668"/>
      <c r="X19" s="1265"/>
      <c r="Y19" s="3420"/>
      <c r="Z19" s="1264"/>
      <c r="AA19" s="1264">
        <v>1</v>
      </c>
      <c r="AB19" s="1264">
        <v>1</v>
      </c>
      <c r="AC19" s="1264">
        <v>1</v>
      </c>
    </row>
    <row r="20" spans="1:29" ht="85.5">
      <c r="A20" s="348"/>
      <c r="B20" s="556" t="s">
        <v>1834</v>
      </c>
      <c r="C20" s="1754" t="str">
        <f>IF(B1="工业",估价对象房地状况!G7,估价对象房地状况!C9)</f>
        <v>周边有通惠河灌渠、马家湾湿地公园、聿博文体公园等自然人文环境，综合评价环境状况较好。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19" t="s">
        <v>3350</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估价对象为北京市房地产，为所有。根据《国有土地使用证》[]，估价对象（分摊）出让国有建设用地使用权面积为0平方米，建筑面积为412.76平方米。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估价对象为北京市房地产,属开发建设的居住项目，该项目尚在开发建设中。根据《国有土地使用证》[]，估价对象（分摊）出让国有建设用地使用权面积为0平方米，规划建筑面积为412.76平方米。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2025年11月11日（评估专业人员实地查勘之日）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90" t="s">
        <v>1771</v>
      </c>
      <c r="S4" s="3391"/>
      <c r="T4" s="3390" t="s">
        <v>1772</v>
      </c>
      <c r="U4" s="3391"/>
      <c r="V4" s="3413" t="s">
        <v>1773</v>
      </c>
      <c r="W4" s="3413"/>
      <c r="X4" s="1265"/>
      <c r="Y4" s="3390" t="s">
        <v>1775</v>
      </c>
      <c r="Z4" s="3391"/>
      <c r="AA4" s="3385" t="s">
        <v>1771</v>
      </c>
      <c r="AB4" s="3386" t="s">
        <v>1772</v>
      </c>
      <c r="AC4" s="3385" t="s">
        <v>1773</v>
      </c>
    </row>
    <row r="5" spans="1:29" ht="15">
      <c r="A5" s="348"/>
      <c r="B5" s="349"/>
      <c r="C5" s="3451" t="s">
        <v>1673</v>
      </c>
      <c r="D5" s="3395"/>
      <c r="E5" s="3449" t="s">
        <v>1674</v>
      </c>
      <c r="F5" s="3450"/>
      <c r="G5" s="3451" t="s">
        <v>1675</v>
      </c>
      <c r="H5" s="3395"/>
      <c r="I5" s="3451" t="s">
        <v>1676</v>
      </c>
      <c r="J5" s="3395"/>
      <c r="K5" s="537"/>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8" t="s">
        <v>1680</v>
      </c>
      <c r="Q7" s="3414"/>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8"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28.25">
      <c r="A14" s="379" t="s">
        <v>1690</v>
      </c>
      <c r="B14" s="58" t="s">
        <v>1833</v>
      </c>
      <c r="C14" s="1817" t="str">
        <f>IF(B1="工业",估价对象房地状况!G4,估价对象房地状况!C6)</f>
        <v>估价对象距离地铁7号线郎辛庄站约100米，周边有411路、457路、专170、专171等公交通过并设站，综合评价交通便捷度较好。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0"/>
      <c r="Q15" s="1263"/>
      <c r="R15" s="667"/>
      <c r="S15" s="668"/>
      <c r="T15" s="667"/>
      <c r="U15" s="668"/>
      <c r="V15" s="667"/>
      <c r="W15" s="668"/>
      <c r="X15" s="1265"/>
      <c r="Y15" s="3420"/>
      <c r="Z15" s="1264"/>
      <c r="AA15" s="1264">
        <v>1</v>
      </c>
      <c r="AB15" s="1264">
        <v>1</v>
      </c>
      <c r="AC15" s="1264">
        <v>1</v>
      </c>
    </row>
    <row r="16" spans="1:29" ht="299.25">
      <c r="A16" s="367"/>
      <c r="B16" s="390" t="s">
        <v>1812</v>
      </c>
      <c r="C16" s="1754" t="str">
        <f>IF(B1="工业",估价对象房地状况!G5,估价对象房地状况!C7)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0"/>
      <c r="Q17" s="1263"/>
      <c r="R17" s="667"/>
      <c r="S17" s="668"/>
      <c r="T17" s="667"/>
      <c r="U17" s="668"/>
      <c r="V17" s="667"/>
      <c r="W17" s="668"/>
      <c r="X17" s="1265"/>
      <c r="Y17" s="342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0"/>
      <c r="Q19" s="1263"/>
      <c r="R19" s="667"/>
      <c r="S19" s="668"/>
      <c r="T19" s="667"/>
      <c r="U19" s="668"/>
      <c r="V19" s="667"/>
      <c r="W19" s="668"/>
      <c r="X19" s="1265"/>
      <c r="Y19" s="3420"/>
      <c r="Z19" s="1264"/>
      <c r="AA19" s="1264">
        <v>1</v>
      </c>
      <c r="AB19" s="1264">
        <v>1</v>
      </c>
      <c r="AC19" s="1264">
        <v>1</v>
      </c>
    </row>
    <row r="20" spans="1:29" ht="85.5">
      <c r="A20" s="367"/>
      <c r="B20" s="390" t="s">
        <v>1834</v>
      </c>
      <c r="C20" s="1754" t="str">
        <f>IF(B1="工业",估价对象房地状况!G7,估价对象房地状况!C9)</f>
        <v>周边有通惠河灌渠、马家湾湿地公园、聿博文体公园等自然人文环境，综合评价环境状况较好。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90" t="s">
        <v>1771</v>
      </c>
      <c r="S4" s="3391"/>
      <c r="T4" s="3390" t="s">
        <v>1772</v>
      </c>
      <c r="U4" s="3391"/>
      <c r="V4" s="3413" t="s">
        <v>1773</v>
      </c>
      <c r="W4" s="3413"/>
      <c r="X4" s="1265"/>
      <c r="Y4" s="3390" t="s">
        <v>1775</v>
      </c>
      <c r="Z4" s="3391"/>
      <c r="AA4" s="3385" t="s">
        <v>1771</v>
      </c>
      <c r="AB4" s="3386" t="s">
        <v>1772</v>
      </c>
      <c r="AC4" s="3385" t="s">
        <v>1773</v>
      </c>
    </row>
    <row r="5" spans="1:29" ht="15">
      <c r="A5" s="348"/>
      <c r="B5" s="349"/>
      <c r="C5" s="3451" t="s">
        <v>1673</v>
      </c>
      <c r="D5" s="3395"/>
      <c r="E5" s="3449" t="s">
        <v>1674</v>
      </c>
      <c r="F5" s="3450"/>
      <c r="G5" s="3451" t="s">
        <v>1675</v>
      </c>
      <c r="H5" s="3395"/>
      <c r="I5" s="3451" t="s">
        <v>1676</v>
      </c>
      <c r="J5" s="3395"/>
      <c r="K5" s="537"/>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8" t="s">
        <v>1680</v>
      </c>
      <c r="Q7" s="3414"/>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7"/>
      <c r="M10" s="2488"/>
      <c r="N10" s="2488"/>
      <c r="O10" s="2539"/>
      <c r="P10" s="3418"/>
      <c r="Q10" s="530" t="str">
        <f t="shared" si="6"/>
        <v>土地使用年限（年）</v>
      </c>
      <c r="R10" s="664" t="s">
        <v>14</v>
      </c>
      <c r="S10" s="665">
        <f t="shared" si="0"/>
        <v>104</v>
      </c>
      <c r="T10" s="664" t="s">
        <v>14</v>
      </c>
      <c r="U10" s="665">
        <f t="shared" si="1"/>
        <v>104</v>
      </c>
      <c r="V10" s="664" t="s">
        <v>14</v>
      </c>
      <c r="W10" s="665">
        <f t="shared" si="2"/>
        <v>104</v>
      </c>
      <c r="X10" s="666"/>
      <c r="Y10" s="3353"/>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8"/>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114">
      <c r="A15" s="379" t="s">
        <v>1690</v>
      </c>
      <c r="B15" s="58" t="s">
        <v>1257</v>
      </c>
      <c r="C15" s="1750" t="str">
        <f>估价对象房地状况!C15</f>
        <v>估价对象周边有CBD玲珑墅、朗悦家园、朝丰家园等住宅小区，居住社区发展完善程度较高，居住社区成熟度较好。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0"/>
      <c r="Q20" s="1263"/>
      <c r="R20" s="667"/>
      <c r="S20" s="668"/>
      <c r="T20" s="667"/>
      <c r="U20" s="668"/>
      <c r="V20" s="667"/>
      <c r="W20" s="668"/>
      <c r="X20" s="1265"/>
      <c r="Y20" s="3420"/>
      <c r="Z20" s="1264"/>
      <c r="AA20" s="1264">
        <v>1</v>
      </c>
      <c r="AB20" s="1264">
        <v>1</v>
      </c>
      <c r="AC20" s="1264">
        <v>1</v>
      </c>
    </row>
    <row r="21" spans="1:29" ht="128.25">
      <c r="A21" s="367"/>
      <c r="B21" s="390" t="s">
        <v>1833</v>
      </c>
      <c r="C21" s="1754" t="str">
        <f>估价对象房地状况!C18</f>
        <v>估价对象距离地铁7号线郎辛庄站约100米，周边有411路、457路、专170、专171等公交通过并设站，综合评价交通便捷度较好。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0"/>
      <c r="Q24" s="1263"/>
      <c r="R24" s="667"/>
      <c r="S24" s="668"/>
      <c r="T24" s="667"/>
      <c r="U24" s="668"/>
      <c r="V24" s="667"/>
      <c r="W24" s="668"/>
      <c r="X24" s="1265"/>
      <c r="Y24" s="3420"/>
      <c r="Z24" s="1264"/>
      <c r="AA24" s="1264"/>
      <c r="AB24" s="1264"/>
      <c r="AC24" s="1264"/>
    </row>
    <row r="25" spans="1:29" ht="85.5">
      <c r="A25" s="348"/>
      <c r="B25" s="586" t="s">
        <v>1872</v>
      </c>
      <c r="C25" s="1804" t="str">
        <f>估价对象房地状况!C20</f>
        <v>周边有通惠河灌渠、马家湾湿地公园、聿博文体公园等自然人文环境，综合评价环境状况较好。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0"/>
      <c r="Q26" s="1263"/>
      <c r="R26" s="667"/>
      <c r="S26" s="668"/>
      <c r="T26" s="667"/>
      <c r="U26" s="668"/>
      <c r="V26" s="667"/>
      <c r="W26" s="668"/>
      <c r="X26" s="1265"/>
      <c r="Y26" s="3420"/>
      <c r="Z26" s="1264"/>
      <c r="AA26" s="1264">
        <v>1</v>
      </c>
      <c r="AB26" s="1264">
        <v>1</v>
      </c>
      <c r="AC26" s="1264">
        <v>1</v>
      </c>
    </row>
    <row r="27" spans="1:29" s="102" customFormat="1" ht="299.25">
      <c r="A27" s="443"/>
      <c r="B27" s="586" t="s">
        <v>1778</v>
      </c>
      <c r="C27" s="1754"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6"/>
      <c r="M28" s="2437"/>
      <c r="N28" s="2437"/>
      <c r="O28" s="2538"/>
      <c r="P28" s="3420"/>
      <c r="Q28" s="530"/>
      <c r="R28" s="664"/>
      <c r="S28" s="665"/>
      <c r="T28" s="664"/>
      <c r="U28" s="665"/>
      <c r="V28" s="664"/>
      <c r="W28" s="665"/>
      <c r="X28" s="666"/>
      <c r="Y28" s="342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6"/>
      <c r="M30" s="2437"/>
      <c r="N30" s="2437"/>
      <c r="O30" s="2538"/>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8" t="str">
        <f>A47</f>
        <v>比较价值（元/平方米）</v>
      </c>
      <c r="Q47" s="3418"/>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1"/>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412.76</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SUMIF(修正!A59:A70,H62,修正!G59:G70)</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412.76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90" t="s">
        <v>1771</v>
      </c>
      <c r="S4" s="3391"/>
      <c r="T4" s="3390" t="s">
        <v>1772</v>
      </c>
      <c r="U4" s="3391"/>
      <c r="V4" s="3413" t="s">
        <v>1773</v>
      </c>
      <c r="W4" s="3413"/>
      <c r="X4" s="1265"/>
      <c r="Y4" s="3390" t="s">
        <v>1775</v>
      </c>
      <c r="Z4" s="3391"/>
      <c r="AA4" s="3385" t="s">
        <v>1771</v>
      </c>
      <c r="AB4" s="3386" t="s">
        <v>1772</v>
      </c>
      <c r="AC4" s="3385" t="s">
        <v>1773</v>
      </c>
    </row>
    <row r="5" spans="1:29" ht="15">
      <c r="A5" s="348"/>
      <c r="B5" s="349"/>
      <c r="C5" s="3451" t="s">
        <v>1673</v>
      </c>
      <c r="D5" s="3395"/>
      <c r="E5" s="3449" t="s">
        <v>1674</v>
      </c>
      <c r="F5" s="3450"/>
      <c r="G5" s="3451" t="s">
        <v>1675</v>
      </c>
      <c r="H5" s="3395"/>
      <c r="I5" s="3451" t="s">
        <v>1676</v>
      </c>
      <c r="J5" s="3395"/>
      <c r="K5" s="537"/>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8" t="s">
        <v>1680</v>
      </c>
      <c r="Q7" s="3414"/>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7"/>
      <c r="M10" s="2488"/>
      <c r="N10" s="2488"/>
      <c r="O10" s="2539"/>
      <c r="P10" s="3418"/>
      <c r="Q10" s="530" t="str">
        <f t="shared" si="6"/>
        <v>土地使用年限（年）</v>
      </c>
      <c r="R10" s="664" t="s">
        <v>14</v>
      </c>
      <c r="S10" s="665">
        <f t="shared" si="0"/>
        <v>104</v>
      </c>
      <c r="T10" s="664" t="s">
        <v>14</v>
      </c>
      <c r="U10" s="665">
        <f t="shared" si="1"/>
        <v>104</v>
      </c>
      <c r="V10" s="664" t="s">
        <v>14</v>
      </c>
      <c r="W10" s="665">
        <f t="shared" si="2"/>
        <v>104</v>
      </c>
      <c r="X10" s="666"/>
      <c r="Y10" s="3353"/>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0"/>
      <c r="Q16" s="1263"/>
      <c r="R16" s="667"/>
      <c r="S16" s="668"/>
      <c r="T16" s="667"/>
      <c r="U16" s="668"/>
      <c r="V16" s="667"/>
      <c r="W16" s="668"/>
      <c r="X16" s="1265"/>
      <c r="Y16" s="342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0"/>
      <c r="Q18" s="1263"/>
      <c r="R18" s="667"/>
      <c r="S18" s="668"/>
      <c r="T18" s="667"/>
      <c r="U18" s="668"/>
      <c r="V18" s="667"/>
      <c r="W18" s="668"/>
      <c r="X18" s="1265"/>
      <c r="Y18" s="342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0"/>
      <c r="Q20" s="1263"/>
      <c r="R20" s="667"/>
      <c r="S20" s="668"/>
      <c r="T20" s="667"/>
      <c r="U20" s="668"/>
      <c r="V20" s="667"/>
      <c r="W20" s="668"/>
      <c r="X20" s="1265"/>
      <c r="Y20" s="342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0"/>
      <c r="Q22" s="1263"/>
      <c r="R22" s="667"/>
      <c r="S22" s="668"/>
      <c r="T22" s="667"/>
      <c r="U22" s="668"/>
      <c r="V22" s="667"/>
      <c r="W22" s="668"/>
      <c r="X22" s="1265"/>
      <c r="Y22" s="342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6"/>
      <c r="M24" s="2437"/>
      <c r="N24" s="2437"/>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6"/>
      <c r="M26" s="2437"/>
      <c r="N26" s="2437"/>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8" t="str">
        <f>A42</f>
        <v>比较价值（元/平方米）</v>
      </c>
      <c r="Q42" s="3418"/>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1"/>
      <c r="I50" s="1264" t="s">
        <v>1923</v>
      </c>
      <c r="J50" s="1264">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412.76</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SUMIF(修正!A59:A70,H58,修正!G59:G70)</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2" t="s">
        <v>2073</v>
      </c>
      <c r="B2" s="2385">
        <f ca="1">SUMIF(B6:B13,"&lt;&gt;#ref!",B6:B13)</f>
        <v>1031</v>
      </c>
      <c r="C2" s="1982" t="s">
        <v>2074</v>
      </c>
      <c r="D2" s="1982" t="s">
        <v>2075</v>
      </c>
      <c r="E2" s="2395">
        <f ca="1">SUMIF(E6:E13,"&lt;&gt;#ref!",E6:E13)</f>
        <v>412.76</v>
      </c>
      <c r="F2" s="2542"/>
      <c r="G2" s="2542"/>
      <c r="H2" s="2542"/>
      <c r="I2" s="2542"/>
      <c r="J2" s="2542"/>
      <c r="K2" s="2542"/>
      <c r="L2" s="2542"/>
      <c r="M2" s="2542"/>
      <c r="N2" s="2542"/>
      <c r="O2" s="2542"/>
      <c r="P2" s="2542"/>
    </row>
    <row r="3" spans="1:16" ht="15.75">
      <c r="A3" s="1982" t="s">
        <v>2076</v>
      </c>
      <c r="B3" s="2385">
        <f ca="1">ROUND(B2*10000/E2,0)</f>
        <v>24978</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1031</v>
      </c>
      <c r="C6" s="1982" t="s">
        <v>2074</v>
      </c>
      <c r="D6" s="2542"/>
      <c r="E6" s="2395">
        <f ca="1">SUMIF(INDIRECT("'"&amp;A6&amp;"'"&amp;"!C:C"),"建筑面积",INDIRECT("'"&amp;A6&amp;"'"&amp;"!D:D"))</f>
        <v>412.76</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43E28-FF1C-4F57-A6C0-AA431DA75A32}">
  <sheetPr>
    <tabColor rgb="FF92D050"/>
    <pageSetUpPr fitToPage="1"/>
  </sheetPr>
  <dimension ref="A1:AC148"/>
  <sheetViews>
    <sheetView view="pageBreakPreview" topLeftCell="B16" zoomScaleNormal="60" zoomScaleSheetLayoutView="100" workbookViewId="0">
      <selection activeCell="C42" sqref="C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2" t="s">
        <v>3438</v>
      </c>
      <c r="F1" s="1735" t="s">
        <v>3506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5.7126000000000001</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138.4</v>
      </c>
      <c r="C3" s="344" t="s">
        <v>1665</v>
      </c>
      <c r="D3" s="343">
        <f>IF(D1="",'数据-汇总表'!E3,SUMIF('数据-汇总表'!$C19:$C33,D1,'数据-汇总表'!$E19:$E33))</f>
        <v>412.76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01" t="s">
        <v>1667</v>
      </c>
      <c r="D4" s="3402"/>
      <c r="E4" s="3403" t="s">
        <v>1668</v>
      </c>
      <c r="F4" s="3404"/>
      <c r="G4" s="3401" t="s">
        <v>1669</v>
      </c>
      <c r="H4" s="3402"/>
      <c r="I4" s="3401" t="s">
        <v>1670</v>
      </c>
      <c r="J4" s="3402"/>
      <c r="K4" s="1744" t="s">
        <v>1671</v>
      </c>
      <c r="L4" s="2484"/>
      <c r="M4" s="2485"/>
      <c r="N4" s="2485"/>
      <c r="O4" s="2485"/>
      <c r="P4" s="3405" t="s">
        <v>1672</v>
      </c>
      <c r="Q4" s="3406"/>
      <c r="R4" s="3390" t="s">
        <v>1668</v>
      </c>
      <c r="S4" s="3391"/>
      <c r="T4" s="3390" t="s">
        <v>1669</v>
      </c>
      <c r="U4" s="3391"/>
      <c r="V4" s="3413" t="s">
        <v>1670</v>
      </c>
      <c r="W4" s="3413"/>
      <c r="X4" s="1265"/>
      <c r="Y4" s="3390" t="s">
        <v>1672</v>
      </c>
      <c r="Z4" s="3391"/>
      <c r="AA4" s="3385" t="s">
        <v>1668</v>
      </c>
      <c r="AB4" s="3385" t="s">
        <v>1669</v>
      </c>
      <c r="AC4" s="3385" t="s">
        <v>1670</v>
      </c>
    </row>
    <row r="5" spans="1:29" ht="15">
      <c r="A5" s="348"/>
      <c r="B5" s="349"/>
      <c r="C5" s="3394" t="str">
        <f>'比较法-住宅'!C5:D5</f>
        <v>中海九号公馆</v>
      </c>
      <c r="D5" s="3395"/>
      <c r="E5" s="3394" t="s">
        <v>3437</v>
      </c>
      <c r="F5" s="3395"/>
      <c r="G5" s="3394" t="s">
        <v>3437</v>
      </c>
      <c r="H5" s="3395"/>
      <c r="I5" s="3394" t="s">
        <v>3437</v>
      </c>
      <c r="J5" s="3395"/>
      <c r="K5" s="1745"/>
      <c r="L5" s="2484"/>
      <c r="M5" s="2485"/>
      <c r="N5" s="2485"/>
      <c r="O5" s="2485"/>
      <c r="P5" s="3407"/>
      <c r="Q5" s="3408"/>
      <c r="R5" s="3392"/>
      <c r="S5" s="3393"/>
      <c r="T5" s="3392"/>
      <c r="U5" s="3393"/>
      <c r="V5" s="3413"/>
      <c r="W5" s="3413"/>
      <c r="X5" s="1265"/>
      <c r="Y5" s="3392"/>
      <c r="Z5" s="3393"/>
      <c r="AA5" s="3386"/>
      <c r="AB5" s="3386"/>
      <c r="AC5" s="3386"/>
    </row>
    <row r="6" spans="1:29" ht="15.75" thickBot="1">
      <c r="A6" s="350"/>
      <c r="B6" s="351"/>
      <c r="C6" s="3396" t="s">
        <v>1677</v>
      </c>
      <c r="D6" s="3397"/>
      <c r="E6" s="3398" t="s">
        <v>1677</v>
      </c>
      <c r="F6" s="3399"/>
      <c r="G6" s="3396" t="s">
        <v>1677</v>
      </c>
      <c r="H6" s="3397"/>
      <c r="I6" s="3396" t="s">
        <v>1677</v>
      </c>
      <c r="J6" s="3397"/>
      <c r="K6" s="1745" t="s">
        <v>1678</v>
      </c>
      <c r="L6" s="2484"/>
      <c r="M6" s="2485"/>
      <c r="N6" s="2485"/>
      <c r="O6" s="2485"/>
      <c r="P6" s="3409"/>
      <c r="Q6" s="3410"/>
      <c r="R6" s="3392"/>
      <c r="S6" s="3393"/>
      <c r="T6" s="3411"/>
      <c r="U6" s="3412"/>
      <c r="V6" s="3413"/>
      <c r="W6" s="3413"/>
      <c r="X6" s="1265"/>
      <c r="Y6" s="3411"/>
      <c r="Z6" s="3412"/>
      <c r="AA6" s="3387"/>
      <c r="AB6" s="3387"/>
      <c r="AC6" s="3387"/>
    </row>
    <row r="7" spans="1:29" s="102" customFormat="1" ht="15.75" thickBot="1">
      <c r="A7" s="352" t="s">
        <v>1679</v>
      </c>
      <c r="B7" s="353"/>
      <c r="C7" s="354">
        <f>'数据-取费表'!B2</f>
        <v>45972</v>
      </c>
      <c r="D7" s="355">
        <v>100</v>
      </c>
      <c r="E7" s="356">
        <f>Sheet1!K21</f>
        <v>45798</v>
      </c>
      <c r="F7" s="357">
        <f>SUMIF(58:58,YEAR(E7)&amp;"-"&amp;MONTH(E7),59:59)</f>
        <v>100.5</v>
      </c>
      <c r="G7" s="356">
        <f>Sheet1!K22</f>
        <v>45580</v>
      </c>
      <c r="H7" s="355">
        <f>SUMIF(58:58,YEAR(G7)&amp;"-"&amp;MONTH(G7),59:59)</f>
        <v>101</v>
      </c>
      <c r="I7" s="356">
        <v>45962</v>
      </c>
      <c r="J7" s="355">
        <f>SUMIF(58:58,YEAR(I7)&amp;"-"&amp;MONTH(I7),59:59)</f>
        <v>100</v>
      </c>
      <c r="K7" s="1746"/>
      <c r="L7" s="2486"/>
      <c r="M7" s="2437"/>
      <c r="N7" s="2437"/>
      <c r="O7" s="2437"/>
      <c r="P7" s="3388" t="s">
        <v>1680</v>
      </c>
      <c r="Q7" s="3414"/>
      <c r="R7" s="664" t="s">
        <v>14</v>
      </c>
      <c r="S7" s="665">
        <f t="shared" ref="S7:S15" si="0">F7</f>
        <v>100.5</v>
      </c>
      <c r="T7" s="664" t="s">
        <v>14</v>
      </c>
      <c r="U7" s="665">
        <f t="shared" ref="U7:U15" si="1">H7</f>
        <v>101</v>
      </c>
      <c r="V7" s="664" t="s">
        <v>14</v>
      </c>
      <c r="W7" s="665">
        <f t="shared" ref="W7:W15" si="2">J7</f>
        <v>100</v>
      </c>
      <c r="X7" s="666"/>
      <c r="Y7" s="3388" t="s">
        <v>1680</v>
      </c>
      <c r="Z7" s="3389"/>
      <c r="AA7" s="50">
        <f>D7/F7</f>
        <v>0.99502487562189057</v>
      </c>
      <c r="AB7" s="50">
        <f>D7/H7</f>
        <v>0.99009900990099009</v>
      </c>
      <c r="AC7" s="50">
        <f>D7/J7</f>
        <v>1</v>
      </c>
    </row>
    <row r="8" spans="1:29" s="102" customFormat="1" ht="15.75" thickBot="1">
      <c r="A8" s="352" t="s">
        <v>1681</v>
      </c>
      <c r="B8" s="353"/>
      <c r="C8" s="358" t="s">
        <v>3468</v>
      </c>
      <c r="D8" s="355">
        <v>100</v>
      </c>
      <c r="E8" s="358" t="s">
        <v>3468</v>
      </c>
      <c r="F8" s="357">
        <f>SUMIF(61:61,E8,62:62)-SUMIF(61:61,C8,62:62)+100</f>
        <v>100</v>
      </c>
      <c r="G8" s="358" t="s">
        <v>3468</v>
      </c>
      <c r="H8" s="355">
        <f>SUMIF(61:61,G8,62:62)-SUMIF(61:61,C8,62:62)+100</f>
        <v>100</v>
      </c>
      <c r="I8" s="1747" t="s">
        <v>3504</v>
      </c>
      <c r="J8" s="355">
        <f>SUMIF(61:61,I8,62:62)-SUMIF(61:61,C8,62:62)+100</f>
        <v>103</v>
      </c>
      <c r="K8" s="1746"/>
      <c r="L8" s="2486"/>
      <c r="M8" s="2437"/>
      <c r="N8" s="2437"/>
      <c r="O8" s="2437"/>
      <c r="P8" s="3388" t="s">
        <v>1683</v>
      </c>
      <c r="Q8" s="3389"/>
      <c r="R8" s="664" t="s">
        <v>14</v>
      </c>
      <c r="S8" s="665">
        <f t="shared" si="0"/>
        <v>100</v>
      </c>
      <c r="T8" s="664" t="s">
        <v>14</v>
      </c>
      <c r="U8" s="665">
        <f t="shared" si="1"/>
        <v>100</v>
      </c>
      <c r="V8" s="664" t="s">
        <v>14</v>
      </c>
      <c r="W8" s="665">
        <f t="shared" si="2"/>
        <v>103</v>
      </c>
      <c r="X8" s="666"/>
      <c r="Y8" s="3388" t="s">
        <v>1683</v>
      </c>
      <c r="Z8" s="3389"/>
      <c r="AA8" s="50">
        <f t="shared" ref="AA8:AA19" si="3">D8/F8</f>
        <v>1</v>
      </c>
      <c r="AB8" s="50">
        <f t="shared" ref="AB8:AB19" si="4">D8/H8</f>
        <v>1</v>
      </c>
      <c r="AC8" s="50">
        <f t="shared" ref="AC8:AC19" si="5">D8/J8</f>
        <v>0.970873786407767</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99.75">
      <c r="A15" s="379" t="s">
        <v>1690</v>
      </c>
      <c r="B15" s="58" t="s">
        <v>1257</v>
      </c>
      <c r="C15" s="1750" t="str">
        <f>估价对象房地状况!C3</f>
        <v>估价对象周边有CBD玲珑墅、朗悦家园、朝丰家园等住宅小区，居住社区发展完善程度较高，居住社区成熟度较好。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6"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t="s">
        <v>3449</v>
      </c>
      <c r="D16" s="387"/>
      <c r="E16" s="386" t="s">
        <v>3449</v>
      </c>
      <c r="F16" s="387"/>
      <c r="G16" s="386" t="s">
        <v>3449</v>
      </c>
      <c r="H16" s="389"/>
      <c r="I16" s="386" t="s">
        <v>3449</v>
      </c>
      <c r="J16" s="387"/>
      <c r="K16" s="1753"/>
      <c r="L16" s="2490"/>
      <c r="M16" s="2485"/>
      <c r="N16" s="2485"/>
      <c r="O16" s="2485"/>
      <c r="P16" s="3427"/>
      <c r="Q16" s="1263"/>
      <c r="R16" s="667"/>
      <c r="S16" s="668"/>
      <c r="T16" s="667"/>
      <c r="U16" s="668"/>
      <c r="V16" s="667"/>
      <c r="W16" s="668"/>
      <c r="X16" s="1265"/>
      <c r="Y16" s="3420"/>
      <c r="Z16" s="1264"/>
      <c r="AA16" s="1264">
        <v>1</v>
      </c>
      <c r="AB16" s="1264">
        <v>1</v>
      </c>
      <c r="AC16" s="1264">
        <v>1</v>
      </c>
    </row>
    <row r="17" spans="1:29" ht="114">
      <c r="A17" s="367"/>
      <c r="B17" s="390" t="s">
        <v>1259</v>
      </c>
      <c r="C17" s="1754" t="str">
        <f>估价对象房地状况!C6</f>
        <v>估价对象距离地铁7号线郎辛庄站约100米，周边有411路、457路、专170、专171等公交通过并设站，综合评价交通便捷度较好。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386" t="s">
        <v>3449</v>
      </c>
      <c r="D18" s="389"/>
      <c r="E18" s="386" t="s">
        <v>3449</v>
      </c>
      <c r="F18" s="389"/>
      <c r="G18" s="386" t="s">
        <v>3449</v>
      </c>
      <c r="H18" s="387"/>
      <c r="I18" s="386" t="s">
        <v>3449</v>
      </c>
      <c r="J18" s="387"/>
      <c r="K18" s="1753"/>
      <c r="L18" s="2490"/>
      <c r="M18" s="2485"/>
      <c r="N18" s="2485"/>
      <c r="O18" s="2485"/>
      <c r="P18" s="3427"/>
      <c r="Q18" s="1263"/>
      <c r="R18" s="667"/>
      <c r="S18" s="668"/>
      <c r="T18" s="667"/>
      <c r="U18" s="668"/>
      <c r="V18" s="667"/>
      <c r="W18" s="668"/>
      <c r="X18" s="1265"/>
      <c r="Y18" s="3420"/>
      <c r="Z18" s="1264"/>
      <c r="AA18" s="1264">
        <v>1</v>
      </c>
      <c r="AB18" s="1264">
        <v>1</v>
      </c>
      <c r="AC18" s="1264">
        <v>1</v>
      </c>
    </row>
    <row r="19" spans="1:29" ht="135.75" customHeight="1">
      <c r="A19" s="367"/>
      <c r="B19" s="390" t="s">
        <v>1258</v>
      </c>
      <c r="C19" s="1754" t="str">
        <f>估价对象房地状况!C7</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t="s">
        <v>3449</v>
      </c>
      <c r="D20" s="387"/>
      <c r="E20" s="386" t="s">
        <v>3449</v>
      </c>
      <c r="F20" s="387"/>
      <c r="G20" s="386" t="s">
        <v>3449</v>
      </c>
      <c r="H20" s="387"/>
      <c r="I20" s="386" t="s">
        <v>3449</v>
      </c>
      <c r="J20" s="387"/>
      <c r="K20" s="1753"/>
      <c r="L20" s="2490"/>
      <c r="M20" s="2485"/>
      <c r="N20" s="2485"/>
      <c r="O20" s="2485"/>
      <c r="P20" s="3427"/>
      <c r="Q20" s="1263"/>
      <c r="R20" s="667"/>
      <c r="S20" s="668"/>
      <c r="T20" s="667"/>
      <c r="U20" s="668"/>
      <c r="V20" s="667"/>
      <c r="W20" s="668"/>
      <c r="X20" s="1265"/>
      <c r="Y20" s="342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5" t="s">
        <v>3454</v>
      </c>
      <c r="D22" s="387"/>
      <c r="E22" s="1755" t="s">
        <v>3454</v>
      </c>
      <c r="F22" s="387"/>
      <c r="G22" s="1755" t="s">
        <v>3454</v>
      </c>
      <c r="H22" s="387"/>
      <c r="I22" s="1755" t="s">
        <v>3454</v>
      </c>
      <c r="J22" s="387"/>
      <c r="K22" s="1759"/>
      <c r="L22" s="2490"/>
      <c r="M22" s="2485"/>
      <c r="N22" s="2485"/>
      <c r="O22" s="2485"/>
      <c r="P22" s="3427"/>
      <c r="Q22" s="1263"/>
      <c r="R22" s="667"/>
      <c r="S22" s="668"/>
      <c r="T22" s="667"/>
      <c r="U22" s="668"/>
      <c r="V22" s="667"/>
      <c r="W22" s="668"/>
      <c r="X22" s="1265"/>
      <c r="Y22" s="3420"/>
      <c r="Z22" s="1264"/>
      <c r="AA22" s="1264">
        <v>1</v>
      </c>
      <c r="AB22" s="1264">
        <v>1</v>
      </c>
      <c r="AC22" s="1264">
        <v>1</v>
      </c>
    </row>
    <row r="23" spans="1:29" ht="85.5">
      <c r="A23" s="367"/>
      <c r="B23" s="390" t="s">
        <v>1261</v>
      </c>
      <c r="C23" s="1754" t="str">
        <f>估价对象房地状况!C9</f>
        <v>周边有通惠河灌渠、马家湾湿地公园、聿博文体公园等自然人文环境，综合评价环境状况较好。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D23/F23</f>
        <v>1</v>
      </c>
      <c r="AB23" s="1264">
        <f>D23/H23</f>
        <v>1</v>
      </c>
      <c r="AC23" s="1264">
        <f>D23/J23</f>
        <v>1</v>
      </c>
    </row>
    <row r="24" spans="1:29" ht="15">
      <c r="A24" s="367"/>
      <c r="B24" s="395"/>
      <c r="C24" s="386" t="s">
        <v>3449</v>
      </c>
      <c r="D24" s="387"/>
      <c r="E24" s="386" t="s">
        <v>3449</v>
      </c>
      <c r="F24" s="387"/>
      <c r="G24" s="386" t="s">
        <v>3449</v>
      </c>
      <c r="H24" s="387"/>
      <c r="I24" s="386" t="s">
        <v>3449</v>
      </c>
      <c r="J24" s="387"/>
      <c r="K24" s="1753"/>
      <c r="L24" s="2490"/>
      <c r="M24" s="2485"/>
      <c r="N24" s="2485"/>
      <c r="O24" s="2485"/>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7"/>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7"/>
      <c r="Q26" s="1263" t="str">
        <f t="shared" si="11"/>
        <v>朝向</v>
      </c>
      <c r="R26" s="667" t="s">
        <v>14</v>
      </c>
      <c r="S26" s="668">
        <f t="shared" si="12"/>
        <v>100</v>
      </c>
      <c r="T26" s="667" t="s">
        <v>14</v>
      </c>
      <c r="U26" s="668">
        <f t="shared" si="13"/>
        <v>100</v>
      </c>
      <c r="V26" s="667" t="s">
        <v>14</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7"/>
      <c r="N27" s="2437"/>
      <c r="O27" s="2437"/>
      <c r="P27" s="3427"/>
      <c r="Q27" s="530">
        <f t="shared" si="11"/>
        <v>111</v>
      </c>
      <c r="R27" s="664" t="s">
        <v>14</v>
      </c>
      <c r="S27" s="665">
        <f t="shared" si="12"/>
        <v>100</v>
      </c>
      <c r="T27" s="664" t="s">
        <v>14</v>
      </c>
      <c r="U27" s="665">
        <f t="shared" si="13"/>
        <v>100</v>
      </c>
      <c r="V27" s="664" t="s">
        <v>14</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7"/>
      <c r="Q28" s="1263">
        <f t="shared" si="11"/>
        <v>111</v>
      </c>
      <c r="R28" s="667" t="s">
        <v>14</v>
      </c>
      <c r="S28" s="668">
        <f t="shared" si="12"/>
        <v>100</v>
      </c>
      <c r="T28" s="667" t="s">
        <v>14</v>
      </c>
      <c r="U28" s="668">
        <f t="shared" si="13"/>
        <v>100</v>
      </c>
      <c r="V28" s="667" t="s">
        <v>14</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7"/>
      <c r="Q29" s="1263">
        <f t="shared" si="11"/>
        <v>111</v>
      </c>
      <c r="R29" s="667" t="s">
        <v>14</v>
      </c>
      <c r="S29" s="668">
        <f t="shared" si="12"/>
        <v>100</v>
      </c>
      <c r="T29" s="667" t="s">
        <v>14</v>
      </c>
      <c r="U29" s="668">
        <f t="shared" si="13"/>
        <v>100</v>
      </c>
      <c r="V29" s="667" t="s">
        <v>14</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7"/>
      <c r="Q30" s="1263">
        <f t="shared" si="11"/>
        <v>111</v>
      </c>
      <c r="R30" s="667" t="s">
        <v>14</v>
      </c>
      <c r="S30" s="668">
        <f t="shared" si="12"/>
        <v>100</v>
      </c>
      <c r="T30" s="667" t="s">
        <v>14</v>
      </c>
      <c r="U30" s="668">
        <f t="shared" si="13"/>
        <v>100</v>
      </c>
      <c r="V30" s="667" t="s">
        <v>14</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7"/>
      <c r="Q31" s="1263">
        <f t="shared" si="11"/>
        <v>111</v>
      </c>
      <c r="R31" s="667" t="s">
        <v>14</v>
      </c>
      <c r="S31" s="668">
        <f t="shared" si="12"/>
        <v>100</v>
      </c>
      <c r="T31" s="667" t="s">
        <v>14</v>
      </c>
      <c r="U31" s="668">
        <f t="shared" si="13"/>
        <v>100</v>
      </c>
      <c r="V31" s="667" t="s">
        <v>14</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4" t="s">
        <v>3450</v>
      </c>
      <c r="D32" s="405">
        <v>100</v>
      </c>
      <c r="E32" s="1764" t="s">
        <v>3450</v>
      </c>
      <c r="F32" s="400">
        <f>SUMIF(100:100,E32,101:101)-SUMIF(100:100,C32,101:101)+100</f>
        <v>100</v>
      </c>
      <c r="G32" s="1764" t="s">
        <v>3450</v>
      </c>
      <c r="H32" s="405">
        <f>SUMIF(100:100,G32,101:101)-SUMIF(100:100,C32,101:101)+100</f>
        <v>100</v>
      </c>
      <c r="I32" s="1764" t="s">
        <v>3450</v>
      </c>
      <c r="J32" s="374">
        <f>SUMIF(100:100,I32,101:101)-SUMIF(100:100,C32,101:101)+100</f>
        <v>100</v>
      </c>
      <c r="K32" s="365"/>
      <c r="L32" s="2490"/>
      <c r="M32" s="2485"/>
      <c r="N32" s="2485"/>
      <c r="O32" s="2485"/>
      <c r="P32" s="3421" t="s">
        <v>1696</v>
      </c>
      <c r="Q32" s="1263" t="str">
        <f t="shared" si="11"/>
        <v>建筑类型</v>
      </c>
      <c r="R32" s="667" t="s">
        <v>14</v>
      </c>
      <c r="S32" s="668">
        <f t="shared" si="12"/>
        <v>100</v>
      </c>
      <c r="T32" s="667" t="s">
        <v>14</v>
      </c>
      <c r="U32" s="668">
        <f t="shared" si="13"/>
        <v>100</v>
      </c>
      <c r="V32" s="667" t="s">
        <v>14</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412.76</v>
      </c>
      <c r="D33" s="119">
        <v>100</v>
      </c>
      <c r="E33" s="369">
        <f>Sheet1!H21</f>
        <v>428.35</v>
      </c>
      <c r="F33" s="364">
        <f>LOOKUP(E33,103:103,104:104)-LOOKUP(C33,103:103,104:104)+100</f>
        <v>100</v>
      </c>
      <c r="G33" s="368">
        <f>Sheet1!H22</f>
        <v>444.4</v>
      </c>
      <c r="H33" s="119">
        <f>LOOKUP(G33,103:103,104:104)-LOOKUP(C33,103:103,104:104)+100</f>
        <v>100</v>
      </c>
      <c r="I33" s="369">
        <f>Sheet1!H32</f>
        <v>410.11</v>
      </c>
      <c r="J33" s="119">
        <f>LOOKUP(I33,103:103,104:104)-LOOKUP(C33,103:103,104:104)+100</f>
        <v>100</v>
      </c>
      <c r="K33" s="1748"/>
      <c r="L33" s="2489"/>
      <c r="M33" s="2491"/>
      <c r="N33" s="2491"/>
      <c r="O33" s="2491"/>
      <c r="P33" s="3422"/>
      <c r="Q33" s="531" t="str">
        <f t="shared" si="11"/>
        <v>项目建筑规模</v>
      </c>
      <c r="R33" s="669" t="s">
        <v>14</v>
      </c>
      <c r="S33" s="670">
        <f t="shared" si="12"/>
        <v>100</v>
      </c>
      <c r="T33" s="669" t="s">
        <v>14</v>
      </c>
      <c r="U33" s="670">
        <f t="shared" si="13"/>
        <v>100</v>
      </c>
      <c r="V33" s="669" t="s">
        <v>14</v>
      </c>
      <c r="W33" s="670">
        <f t="shared" si="14"/>
        <v>100</v>
      </c>
      <c r="X33" s="671"/>
      <c r="Y33" s="3424"/>
      <c r="Z33" s="672" t="str">
        <f t="shared" si="18"/>
        <v>项目建筑规模</v>
      </c>
      <c r="AA33" s="1264">
        <f t="shared" si="15"/>
        <v>1</v>
      </c>
      <c r="AB33" s="1264">
        <f t="shared" si="16"/>
        <v>1</v>
      </c>
      <c r="AC33" s="1264">
        <f t="shared" si="17"/>
        <v>1</v>
      </c>
    </row>
    <row r="34" spans="1:29" ht="15">
      <c r="A34" s="409"/>
      <c r="B34" s="364" t="s">
        <v>1698</v>
      </c>
      <c r="C34" s="399" t="s">
        <v>3452</v>
      </c>
      <c r="D34" s="374">
        <v>100</v>
      </c>
      <c r="E34" s="399" t="s">
        <v>3452</v>
      </c>
      <c r="F34" s="400">
        <f>SUMIF(105:105,E34,106:106)-SUMIF(105:105,C34,106:106)+100</f>
        <v>100</v>
      </c>
      <c r="G34" s="399" t="s">
        <v>3452</v>
      </c>
      <c r="H34" s="374">
        <f>SUMIF(105:105,G34,106:106)-SUMIF(105:105,C34,106:106)+100</f>
        <v>100</v>
      </c>
      <c r="I34" s="399" t="s">
        <v>3452</v>
      </c>
      <c r="J34" s="374">
        <f>SUMIF(105:105,I34,106:106)-SUMIF(105:105,C34,106:106)+100</f>
        <v>100</v>
      </c>
      <c r="K34" s="365"/>
      <c r="L34" s="2490"/>
      <c r="M34" s="2485"/>
      <c r="N34" s="2485"/>
      <c r="O34" s="2485"/>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2"/>
      <c r="Q35" s="1263" t="str">
        <f t="shared" si="11"/>
        <v>建筑品质</v>
      </c>
      <c r="R35" s="667" t="s">
        <v>14</v>
      </c>
      <c r="S35" s="668">
        <f t="shared" si="12"/>
        <v>100</v>
      </c>
      <c r="T35" s="667" t="s">
        <v>14</v>
      </c>
      <c r="U35" s="668">
        <f t="shared" si="13"/>
        <v>100</v>
      </c>
      <c r="V35" s="667" t="s">
        <v>14</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v>0.75</v>
      </c>
      <c r="D37" s="119">
        <v>100</v>
      </c>
      <c r="E37" s="411">
        <f>C37</f>
        <v>0.75</v>
      </c>
      <c r="F37" s="364">
        <f>LOOKUP(E37,112:112,113:113)-LOOKUP(C37,112:112,113:113)+100</f>
        <v>100</v>
      </c>
      <c r="G37" s="413">
        <f>E37</f>
        <v>0.75</v>
      </c>
      <c r="H37" s="119">
        <f>LOOKUP(G37,112:112,113:113)-LOOKUP(C37,112:112,113:113)+100</f>
        <v>100</v>
      </c>
      <c r="I37" s="412">
        <f>E37</f>
        <v>0.75</v>
      </c>
      <c r="J37" s="119">
        <f>LOOKUP(I37,112:112,113:113)-LOOKUP(C37,112:112,113:113)+100</f>
        <v>100</v>
      </c>
      <c r="K37" s="365"/>
      <c r="L37" s="2486"/>
      <c r="M37" s="2437"/>
      <c r="N37" s="2437"/>
      <c r="O37" s="2437"/>
      <c r="P37" s="3422"/>
      <c r="Q37" s="530" t="str">
        <f t="shared" si="11"/>
        <v>成新度</v>
      </c>
      <c r="R37" s="664" t="s">
        <v>14</v>
      </c>
      <c r="S37" s="665">
        <f t="shared" si="12"/>
        <v>100</v>
      </c>
      <c r="T37" s="664" t="s">
        <v>14</v>
      </c>
      <c r="U37" s="665">
        <f t="shared" si="13"/>
        <v>100</v>
      </c>
      <c r="V37" s="664" t="s">
        <v>14</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60" t="s">
        <v>3447</v>
      </c>
      <c r="D38" s="374">
        <v>100</v>
      </c>
      <c r="E38" s="1760" t="s">
        <v>3447</v>
      </c>
      <c r="F38" s="400">
        <f>SUMIF(114:114,E38,115:115)-SUMIF(114:114,C38,115:115)+100</f>
        <v>100</v>
      </c>
      <c r="G38" s="1760" t="s">
        <v>3447</v>
      </c>
      <c r="H38" s="374">
        <f>SUMIF(114:114,G38,115:115)-SUMIF(114:114,C38,115:115)+100</f>
        <v>100</v>
      </c>
      <c r="I38" s="1760" t="s">
        <v>3447</v>
      </c>
      <c r="J38" s="374">
        <f>SUMIF(114:114,I38,115:115)-SUMIF(114:114,C38,115:115)+100</f>
        <v>100</v>
      </c>
      <c r="K38" s="365"/>
      <c r="L38" s="2490"/>
      <c r="M38" s="2485"/>
      <c r="N38" s="2485"/>
      <c r="O38" s="2485"/>
      <c r="P38" s="3422" t="s">
        <v>1696</v>
      </c>
      <c r="Q38" s="1263" t="str">
        <f t="shared" si="11"/>
        <v>物业管理</v>
      </c>
      <c r="R38" s="667" t="s">
        <v>14</v>
      </c>
      <c r="S38" s="668">
        <f t="shared" si="12"/>
        <v>100</v>
      </c>
      <c r="T38" s="667" t="s">
        <v>14</v>
      </c>
      <c r="U38" s="668">
        <f t="shared" si="13"/>
        <v>100</v>
      </c>
      <c r="V38" s="667" t="s">
        <v>14</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2"/>
      <c r="Q39" s="1263" t="str">
        <f t="shared" si="11"/>
        <v>市政基础设施</v>
      </c>
      <c r="R39" s="667" t="s">
        <v>14</v>
      </c>
      <c r="S39" s="668">
        <f t="shared" si="12"/>
        <v>100</v>
      </c>
      <c r="T39" s="667" t="s">
        <v>14</v>
      </c>
      <c r="U39" s="668">
        <f t="shared" si="13"/>
        <v>100</v>
      </c>
      <c r="V39" s="667" t="s">
        <v>14</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2"/>
      <c r="Q40" s="1263" t="str">
        <f t="shared" si="11"/>
        <v>房型</v>
      </c>
      <c r="R40" s="667" t="s">
        <v>14</v>
      </c>
      <c r="S40" s="668">
        <f t="shared" si="12"/>
        <v>100</v>
      </c>
      <c r="T40" s="667" t="s">
        <v>14</v>
      </c>
      <c r="U40" s="668">
        <f t="shared" si="13"/>
        <v>100</v>
      </c>
      <c r="V40" s="667" t="s">
        <v>14</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2"/>
      <c r="Q41" s="531" t="str">
        <f t="shared" si="11"/>
        <v>单套/主力户型建筑面积</v>
      </c>
      <c r="R41" s="669" t="s">
        <v>14</v>
      </c>
      <c r="S41" s="670">
        <f t="shared" si="12"/>
        <v>100</v>
      </c>
      <c r="T41" s="669" t="s">
        <v>14</v>
      </c>
      <c r="U41" s="670">
        <f t="shared" si="13"/>
        <v>100</v>
      </c>
      <c r="V41" s="669" t="s">
        <v>14</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60" t="s">
        <v>3441</v>
      </c>
      <c r="D42" s="374">
        <v>100</v>
      </c>
      <c r="E42" s="1761" t="s">
        <v>3441</v>
      </c>
      <c r="F42" s="400">
        <f>SUMIF(122:122,E42,123:123)-SUMIF(122:122,C42,123:123)+100</f>
        <v>100</v>
      </c>
      <c r="G42" s="1761" t="s">
        <v>3441</v>
      </c>
      <c r="H42" s="374">
        <f>SUMIF(122:122,G42,123:123)-SUMIF(122:122,C42,123:123)+100</f>
        <v>100</v>
      </c>
      <c r="I42" s="1761" t="s">
        <v>3441</v>
      </c>
      <c r="J42" s="374">
        <f>SUMIF(122:122,I42,123:123)-SUMIF(122:122,C42,123:123)+100</f>
        <v>100</v>
      </c>
      <c r="K42" s="365">
        <v>2</v>
      </c>
      <c r="L42" s="2490"/>
      <c r="M42" s="2485"/>
      <c r="N42" s="2485"/>
      <c r="O42" s="2485"/>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60" t="s">
        <v>3449</v>
      </c>
      <c r="D43" s="374">
        <v>100</v>
      </c>
      <c r="E43" s="1760" t="s">
        <v>3449</v>
      </c>
      <c r="F43" s="400">
        <f>SUMIF(124:124,E43,125:125)-SUMIF(124:124,C43,125:125)+100</f>
        <v>100</v>
      </c>
      <c r="G43" s="1760" t="s">
        <v>3449</v>
      </c>
      <c r="H43" s="374">
        <f>SUMIF(124:124,G43,125:125)-SUMIF(124:124,C43,125:125)+100</f>
        <v>100</v>
      </c>
      <c r="I43" s="1760" t="s">
        <v>3449</v>
      </c>
      <c r="J43" s="374">
        <f>SUMIF(124:124,I43,125:125)-SUMIF(124:124,C43,125:125)+100</f>
        <v>100</v>
      </c>
      <c r="K43" s="365"/>
      <c r="L43" s="2490"/>
      <c r="M43" s="2485"/>
      <c r="N43" s="2485"/>
      <c r="O43" s="2485"/>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2"/>
      <c r="Q45" s="1263">
        <f t="shared" si="11"/>
        <v>111</v>
      </c>
      <c r="R45" s="667" t="s">
        <v>14</v>
      </c>
      <c r="S45" s="668">
        <f t="shared" si="12"/>
        <v>100</v>
      </c>
      <c r="T45" s="667" t="s">
        <v>14</v>
      </c>
      <c r="U45" s="668">
        <f t="shared" si="13"/>
        <v>100</v>
      </c>
      <c r="V45" s="667" t="s">
        <v>14</v>
      </c>
      <c r="W45" s="668">
        <f t="shared" si="14"/>
        <v>100</v>
      </c>
      <c r="X45" s="1265"/>
      <c r="Y45" s="342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3"/>
      <c r="Q46" s="1263">
        <f t="shared" si="11"/>
        <v>111</v>
      </c>
      <c r="R46" s="667" t="s">
        <v>14</v>
      </c>
      <c r="S46" s="668">
        <f t="shared" si="12"/>
        <v>100</v>
      </c>
      <c r="T46" s="667" t="s">
        <v>14</v>
      </c>
      <c r="U46" s="668">
        <f t="shared" si="13"/>
        <v>100</v>
      </c>
      <c r="V46" s="667" t="s">
        <v>14</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0</v>
      </c>
      <c r="D47" s="418"/>
      <c r="E47" s="419">
        <f>Sheet1!J21</f>
        <v>155.63999999999999</v>
      </c>
      <c r="F47" s="420"/>
      <c r="G47" s="421">
        <f>Sheet1!J22</f>
        <v>131.26</v>
      </c>
      <c r="H47" s="422"/>
      <c r="I47" s="419">
        <f>Sheet1!J32</f>
        <v>134.11000000000001</v>
      </c>
      <c r="J47" s="422"/>
      <c r="K47" s="1765"/>
      <c r="L47" s="2492"/>
      <c r="M47" s="2485"/>
      <c r="N47" s="2485"/>
      <c r="O47" s="2485"/>
      <c r="P47" s="3418" t="str">
        <f>A47</f>
        <v>成交单价（元/平方米）</v>
      </c>
      <c r="Q47" s="3418"/>
      <c r="R47" s="3413">
        <f>E47</f>
        <v>155.63999999999999</v>
      </c>
      <c r="S47" s="3413"/>
      <c r="T47" s="3413">
        <f>G47</f>
        <v>131.26</v>
      </c>
      <c r="U47" s="3413"/>
      <c r="V47" s="3413">
        <f>I47</f>
        <v>134.11000000000001</v>
      </c>
      <c r="W47" s="3413"/>
      <c r="X47" s="385"/>
      <c r="Y47" s="673"/>
      <c r="Z47" s="385"/>
      <c r="AA47" s="385"/>
      <c r="AB47" s="385"/>
      <c r="AC47" s="385"/>
    </row>
    <row r="48" spans="1:29" ht="15.75" thickBot="1">
      <c r="A48" s="423" t="s">
        <v>1709</v>
      </c>
      <c r="B48" s="424"/>
      <c r="C48" s="1082">
        <f>R49</f>
        <v>138.4</v>
      </c>
      <c r="D48" s="2139" t="s">
        <v>2138</v>
      </c>
      <c r="E48" s="1083">
        <f>R48</f>
        <v>154.9</v>
      </c>
      <c r="F48" s="2140"/>
      <c r="G48" s="1082">
        <f>T48</f>
        <v>130</v>
      </c>
      <c r="H48" s="2140"/>
      <c r="I48" s="1083">
        <f>V48</f>
        <v>130.19999999999999</v>
      </c>
      <c r="J48" s="2140"/>
      <c r="K48" s="2141">
        <f>F48+H48+J48</f>
        <v>0</v>
      </c>
      <c r="L48" s="2492"/>
      <c r="M48" s="2485"/>
      <c r="N48" s="2485"/>
      <c r="O48" s="2485"/>
      <c r="P48" s="3418" t="str">
        <f>A48</f>
        <v>比较价值（元/平方米）</v>
      </c>
      <c r="Q48" s="3418"/>
      <c r="R48" s="3413">
        <f>IF(F1="售价",ROUND(PRODUCT(R47,AA7:AA46),0),ROUND(PRODUCT(R47,AA7:AA46),1))</f>
        <v>154.9</v>
      </c>
      <c r="S48" s="3413"/>
      <c r="T48" s="3413">
        <f>IF(F1="售价",ROUND(PRODUCT(T47,AB7:AB46),0),ROUND(PRODUCT(T47,AB7:AB46),1))</f>
        <v>130</v>
      </c>
      <c r="U48" s="3413"/>
      <c r="V48" s="3413">
        <f>IF(F1="售价",ROUND(PRODUCT(V47,AC7:AC46),0),ROUND(PRODUCT(V47,AC7:AC46),1))</f>
        <v>130.19999999999999</v>
      </c>
      <c r="W48" s="3413"/>
      <c r="X48" s="385"/>
      <c r="Y48" s="385"/>
      <c r="Z48" s="385"/>
      <c r="AA48" s="385"/>
      <c r="AB48" s="385"/>
      <c r="AC48" s="385"/>
    </row>
    <row r="49" spans="1:29" ht="15.75" thickBot="1">
      <c r="A49" s="427" t="s">
        <v>1710</v>
      </c>
      <c r="B49" s="428"/>
      <c r="C49" s="1084">
        <f>R49</f>
        <v>138.4</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138.4</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4.7772756617170398E-3</v>
      </c>
      <c r="F52" s="435" t="str">
        <f>IF(OR(E52&gt;=0.3,E52&lt;=-0.3),"超过30%","")</f>
        <v/>
      </c>
      <c r="G52" s="434">
        <f>IF(G47&lt;G48,G48/G47-1,G47/G48-1)</f>
        <v>9.6923076923076668E-3</v>
      </c>
      <c r="H52" s="435" t="str">
        <f>IF(OR(G52&gt;=0.3,G52&lt;=-0.3),"超过30%","")</f>
        <v/>
      </c>
      <c r="I52" s="434">
        <f>IF(I47&lt;I48,I48/I47-1,I47/I48-1)</f>
        <v>3.0030721966205931E-2</v>
      </c>
      <c r="J52" s="435" t="str">
        <f>IF(OR(I52&gt;=0.3,I52&lt;=-0.3),"超过30%","")</f>
        <v/>
      </c>
      <c r="K52" s="2497"/>
      <c r="L52" s="2493"/>
      <c r="M52" s="2485"/>
      <c r="N52" s="2485"/>
      <c r="O52" s="2485"/>
    </row>
    <row r="53" spans="1:29" ht="13.5" customHeight="1">
      <c r="A53" s="2485"/>
      <c r="B53" s="2485"/>
      <c r="C53" s="432" t="s">
        <v>1712</v>
      </c>
      <c r="D53" s="436"/>
      <c r="E53" s="434">
        <f>IF(E48&lt;G48,G48/E48-1,E48/G48-1)</f>
        <v>0.19153846153846166</v>
      </c>
      <c r="F53" s="435" t="str">
        <f>IF(OR(E53&gt;=0.2,E53&lt;=-0.2),"超过20%","")</f>
        <v/>
      </c>
      <c r="G53" s="434">
        <f>IF(G48&lt;I48,I48/G48-1,G48/I48-1)</f>
        <v>1.5384615384614886E-3</v>
      </c>
      <c r="H53" s="435" t="str">
        <f>IF(OR(G53&gt;=0.2,G53&lt;=-0.2),"超过20%","")</f>
        <v/>
      </c>
      <c r="I53" s="434">
        <f>IF(I48&lt;E48,E48/I48-1,I48/E48-1)</f>
        <v>0.18970814132104463</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0.18573822946823104</v>
      </c>
      <c r="F54" s="435" t="str">
        <f>IF(OR(E54&gt;=0.3,E54&lt;=-0.3),"超过30%","")</f>
        <v/>
      </c>
      <c r="G54" s="434">
        <f>IF(G47&lt;I47,I47/G47-1,G47/I47-1)</f>
        <v>2.1712631418558725E-2</v>
      </c>
      <c r="H54" s="435" t="str">
        <f>IF(OR(G54&gt;=0.3,G54&lt;=-0.3),"超过30%","")</f>
        <v/>
      </c>
      <c r="I54" s="434">
        <f>IF(I47&lt;E47,E47/I47-1,I47/E47-1)</f>
        <v>0.16053985534262893</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2025-11</v>
      </c>
      <c r="D58" s="1104">
        <f>EDATE(C58,-1)</f>
        <v>45931</v>
      </c>
      <c r="E58" s="1104">
        <f>EDATE(D58,-1)</f>
        <v>45901</v>
      </c>
      <c r="F58" s="1104">
        <f t="shared" ref="F58:P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3193">
        <f t="shared" si="19"/>
        <v>45566</v>
      </c>
    </row>
    <row r="59" spans="1:29" s="102" customFormat="1" ht="15">
      <c r="A59" s="443"/>
      <c r="B59" s="1770"/>
      <c r="C59" s="1102">
        <v>100</v>
      </c>
      <c r="D59" s="445">
        <v>100</v>
      </c>
      <c r="E59" s="446">
        <v>100</v>
      </c>
      <c r="F59" s="445">
        <v>100</v>
      </c>
      <c r="G59" s="446">
        <v>100</v>
      </c>
      <c r="H59" s="445">
        <v>100</v>
      </c>
      <c r="I59" s="446">
        <v>100.5</v>
      </c>
      <c r="J59" s="446">
        <v>100.5</v>
      </c>
      <c r="K59" s="446">
        <v>100.5</v>
      </c>
      <c r="L59" s="446">
        <v>100.5</v>
      </c>
      <c r="M59" s="446">
        <v>100.5</v>
      </c>
      <c r="N59" s="446">
        <v>101</v>
      </c>
      <c r="O59" s="446">
        <v>101</v>
      </c>
      <c r="P59" s="446">
        <v>101</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94" t="s">
        <v>3505</v>
      </c>
      <c r="E61" s="31"/>
      <c r="F61" s="31"/>
      <c r="G61" s="31"/>
      <c r="H61" s="31"/>
      <c r="I61" s="31"/>
      <c r="J61" s="31"/>
      <c r="K61" s="31"/>
      <c r="L61" s="457"/>
      <c r="M61" s="458"/>
      <c r="N61" s="878"/>
      <c r="O61" s="878"/>
      <c r="P61" s="1772"/>
      <c r="Q61" s="439"/>
    </row>
    <row r="62" spans="1:29" s="102" customFormat="1" ht="15.75" thickBot="1">
      <c r="A62" s="455"/>
      <c r="B62" s="444"/>
      <c r="C62" s="445">
        <v>100</v>
      </c>
      <c r="D62" s="446">
        <v>103</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1" t="s">
        <v>3436</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f>B27</f>
        <v>111</v>
      </c>
      <c r="C90" s="485"/>
      <c r="D90" s="485"/>
      <c r="E90" s="485"/>
      <c r="F90" s="485"/>
      <c r="G90" s="485"/>
      <c r="H90" s="486"/>
      <c r="I90" s="486"/>
      <c r="J90" s="486"/>
      <c r="K90" s="486"/>
      <c r="L90" s="487"/>
      <c r="M90" s="488"/>
      <c r="N90" s="881"/>
      <c r="O90" s="881"/>
      <c r="P90" s="1774"/>
      <c r="Q90" s="490"/>
    </row>
    <row r="91" spans="1:17" s="408" customFormat="1" ht="15.75" thickBot="1">
      <c r="A91" s="484"/>
      <c r="B91" s="474"/>
      <c r="C91" s="491"/>
      <c r="D91" s="491"/>
      <c r="E91" s="491"/>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2" t="s">
        <v>3456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0(含)-100</v>
      </c>
      <c r="D102" s="509" t="str">
        <f t="shared" ref="D102:L102" si="26">D103&amp;"(含)"&amp;"-"&amp;E103</f>
        <v>100(含)-200</v>
      </c>
      <c r="E102" s="509" t="str">
        <f t="shared" si="26"/>
        <v>200(含)-250</v>
      </c>
      <c r="F102" s="509" t="str">
        <f t="shared" si="26"/>
        <v>250(含)-300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200</v>
      </c>
      <c r="F103" s="6">
        <v>250</v>
      </c>
      <c r="G103" s="6">
        <v>300</v>
      </c>
      <c r="H103" s="6"/>
      <c r="I103" s="6"/>
      <c r="J103" s="524"/>
      <c r="K103" s="524"/>
      <c r="L103" s="525"/>
      <c r="M103" s="526"/>
      <c r="N103" s="881"/>
      <c r="O103" s="881"/>
      <c r="P103" s="1774"/>
      <c r="Q103" s="490"/>
    </row>
    <row r="104" spans="1:17" s="408" customFormat="1" ht="15.75" thickBot="1">
      <c r="A104" s="484"/>
      <c r="B104" s="474"/>
      <c r="C104" s="491">
        <v>100</v>
      </c>
      <c r="D104" s="467">
        <f>C104+$H$104</f>
        <v>102</v>
      </c>
      <c r="E104" s="467">
        <f t="shared" ref="E104:G104" si="27">D104+$H$104</f>
        <v>104</v>
      </c>
      <c r="F104" s="467">
        <f t="shared" si="27"/>
        <v>106</v>
      </c>
      <c r="G104" s="467">
        <f t="shared" si="27"/>
        <v>108</v>
      </c>
      <c r="H104" s="467">
        <v>2</v>
      </c>
      <c r="I104" s="467"/>
      <c r="J104" s="467"/>
      <c r="K104" s="467"/>
      <c r="L104" s="467"/>
      <c r="M104" s="467"/>
      <c r="N104" s="880"/>
      <c r="O104" s="880"/>
      <c r="P104" s="1774"/>
      <c r="Q104" s="490"/>
    </row>
    <row r="105" spans="1:17" ht="15" thickTop="1">
      <c r="A105" s="409"/>
      <c r="B105" s="469" t="s">
        <v>1738</v>
      </c>
      <c r="C105" s="3171" t="s">
        <v>3458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1" t="s">
        <v>3457</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1" t="s">
        <v>3442</v>
      </c>
      <c r="D122" s="3171" t="s">
        <v>3443</v>
      </c>
      <c r="E122" s="3171" t="s">
        <v>3444</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BCE5E812-AB43-4534-A9F8-0A5A7235AE4B}">
      <formula1>"项目模式,单套模式"</formula1>
    </dataValidation>
    <dataValidation type="list" allowBlank="1" showInputMessage="1" showErrorMessage="1" sqref="D48" xr:uid="{18664D30-D8C9-4140-96E3-CF5CF70F565E}">
      <formula1>"简单平均,加权平均"</formula1>
    </dataValidation>
    <dataValidation type="list" allowBlank="1" showInputMessage="1" showErrorMessage="1" sqref="F2" xr:uid="{1CC3D16E-2414-41A3-A793-6EECAF0EC08F}">
      <formula1>估价方法</formula1>
    </dataValidation>
    <dataValidation type="list" allowBlank="1" showInputMessage="1" showErrorMessage="1" sqref="C2" xr:uid="{84FE5AFD-A332-4413-9902-69CBBD746435}">
      <formula1>"需扣减承租人权益,——"</formula1>
    </dataValidation>
    <dataValidation type="list" allowBlank="1" showInputMessage="1" showErrorMessage="1" sqref="F1" xr:uid="{2D6B2687-064C-4E23-B69F-30BCED5B0897}">
      <formula1>"售价,租金"</formula1>
    </dataValidation>
    <dataValidation type="list" allowBlank="1" showInputMessage="1" showErrorMessage="1" sqref="C22 E22 G22 I22" xr:uid="{08AAF123-91BF-4335-BF96-62C05FF401E7}">
      <formula1>基础设施水平</formula1>
    </dataValidation>
    <dataValidation type="list" allowBlank="1" showInputMessage="1" showErrorMessage="1" sqref="E9 G9 I9" xr:uid="{85050765-5D01-4ADD-98FA-57ACC8776461}">
      <formula1>住宅用途</formula1>
    </dataValidation>
    <dataValidation type="list" allowBlank="1" showInputMessage="1" showErrorMessage="1" sqref="D1" xr:uid="{538CE0E7-297A-4573-8F88-ED92B303DBC0}">
      <formula1>项目类型</formula1>
    </dataValidation>
    <dataValidation type="list" allowBlank="1" showInputMessage="1" showErrorMessage="1" sqref="E8 G8 I8 C8" xr:uid="{A5C05C14-06A7-4BE2-B16E-D541F4DE8B44}">
      <formula1>住宅交易情况</formula1>
    </dataValidation>
    <dataValidation type="list" allowBlank="1" showInputMessage="1" showErrorMessage="1" sqref="E43 G43 I43 C43" xr:uid="{80B26FB5-1CA9-4FD3-BED3-8A15DBC21F76}">
      <formula1>内部装修维护情况</formula1>
    </dataValidation>
    <dataValidation type="list" allowBlank="1" showInputMessage="1" showErrorMessage="1" sqref="E42 G42 I42 C42" xr:uid="{D7C9DBB5-8227-4A27-823F-149F50120C2A}">
      <formula1>住宅内部装修</formula1>
    </dataValidation>
    <dataValidation type="list" allowBlank="1" showInputMessage="1" showErrorMessage="1" sqref="E40 G40 I40 C40" xr:uid="{ED28AE54-A0D4-4374-9042-6F0B1D1F9CFA}">
      <formula1>住宅房型</formula1>
    </dataValidation>
    <dataValidation type="list" allowBlank="1" showInputMessage="1" showErrorMessage="1" sqref="E39 G39 I39 C39" xr:uid="{96AC683C-5CA1-492B-B093-BCA8B9A8B487}">
      <formula1>住宅基础设施水平</formula1>
    </dataValidation>
    <dataValidation type="list" allowBlank="1" showInputMessage="1" showErrorMessage="1" sqref="E38 G38 I38 C38" xr:uid="{CF506DF0-78D4-4340-88AD-75BFDDDEE701}">
      <formula1>住宅物业管理</formula1>
    </dataValidation>
    <dataValidation type="list" allowBlank="1" showInputMessage="1" showErrorMessage="1" sqref="E36 G36 I36 C36" xr:uid="{567BDEA5-C49D-48E4-9D0E-8E0F13460765}">
      <formula1>住宅公共部分装修</formula1>
    </dataValidation>
    <dataValidation type="list" allowBlank="1" showInputMessage="1" showErrorMessage="1" sqref="E35 G35 I35 C35" xr:uid="{FB7E5412-678C-4585-B76C-4849449D0205}">
      <formula1>住宅建筑品质</formula1>
    </dataValidation>
    <dataValidation type="list" allowBlank="1" showInputMessage="1" showErrorMessage="1" sqref="E34 G34 I34 C34" xr:uid="{214FFB3F-E95D-4AB5-BE16-89E453A82AC0}">
      <formula1>住宅建筑结构</formula1>
    </dataValidation>
    <dataValidation type="list" allowBlank="1" showInputMessage="1" showErrorMessage="1" sqref="E32 G32 I32 C32" xr:uid="{2CC6516D-1F70-4FD5-B385-DC598BAA1987}">
      <formula1>住宅建筑类型</formula1>
    </dataValidation>
    <dataValidation type="list" allowBlank="1" showInputMessage="1" showErrorMessage="1" sqref="E26 G26 I26 C26" xr:uid="{793ED292-876A-41E7-9DE1-C3CED049E120}">
      <formula1>住宅朝向</formula1>
    </dataValidation>
    <dataValidation type="list" allowBlank="1" showInputMessage="1" showErrorMessage="1" sqref="E25 G25 I25 C25" xr:uid="{931555D1-4C08-4307-BBBC-5D3BA49CD3DE}">
      <formula1>住宅楼层</formula1>
    </dataValidation>
    <dataValidation type="list" allowBlank="1" showInputMessage="1" showErrorMessage="1" sqref="C20 G20 E20 I20" xr:uid="{A4710C5A-5A51-4DDF-A8D0-A868380BA119}">
      <formula1>公共配套设施</formula1>
    </dataValidation>
    <dataValidation type="list" allowBlank="1" showInputMessage="1" showErrorMessage="1" sqref="E18 G18 I18 C18" xr:uid="{D1071F1C-7C92-49D8-9B59-8E87E942A431}">
      <formula1>交通便捷度</formula1>
    </dataValidation>
    <dataValidation type="list" allowBlank="1" showInputMessage="1" showErrorMessage="1" sqref="E16 G16 I16 C16" xr:uid="{077D2D71-67D1-4A00-A831-E6C7E24BE705}">
      <formula1>居住社区成熟度</formula1>
    </dataValidation>
    <dataValidation type="list" allowBlank="1" showInputMessage="1" showErrorMessage="1" sqref="E24 G24 I24 C24" xr:uid="{503F5ECA-061C-4D56-B92D-AA3A5D7BE6C3}">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1870.9067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45327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10693816.359999999</v>
      </c>
      <c r="D5" s="203" t="s">
        <v>1469</v>
      </c>
      <c r="E5" s="204" t="s">
        <v>1470</v>
      </c>
      <c r="F5" s="204" t="s">
        <v>1471</v>
      </c>
      <c r="G5" s="205"/>
    </row>
    <row r="6" spans="1:8" s="206" customFormat="1" ht="13.5" customHeight="1">
      <c r="A6" s="732" t="s">
        <v>1472</v>
      </c>
      <c r="B6" s="207" t="s">
        <v>1473</v>
      </c>
      <c r="C6" s="208">
        <f>基准地价修正!C33*基准地价修正!D33</f>
        <v>10313221.359999999</v>
      </c>
      <c r="D6" s="209"/>
      <c r="E6" s="210"/>
      <c r="F6" s="210"/>
      <c r="G6" s="211"/>
    </row>
    <row r="7" spans="1:8" s="206" customFormat="1" ht="13.5" customHeight="1">
      <c r="A7" s="732" t="s">
        <v>1474</v>
      </c>
      <c r="B7" s="207" t="s">
        <v>1475</v>
      </c>
      <c r="C7" s="212">
        <f>ROUND(C6*F7,0)</f>
        <v>314553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66042</v>
      </c>
      <c r="D8" s="214"/>
      <c r="E8" s="212"/>
      <c r="F8" s="213"/>
      <c r="G8" s="1714" t="s">
        <v>3464</v>
      </c>
    </row>
    <row r="9" spans="1:8" s="206" customFormat="1" ht="13.5" customHeight="1">
      <c r="A9" s="733" t="s">
        <v>355</v>
      </c>
      <c r="B9" s="216" t="s">
        <v>1478</v>
      </c>
      <c r="C9" s="217">
        <f ca="1">ROUND(D9*E9,0)</f>
        <v>66042</v>
      </c>
      <c r="D9" s="795">
        <f ca="1">IF(B1="",'数据-汇总表'!E5,IF(INDIRECT("'数据-取费表'!c"&amp;$G$1)="住宅",INDIRECT("'数据-取费表'!k"&amp;$G$1),0))</f>
        <v>412.76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412.76</v>
      </c>
      <c r="E19" s="203">
        <f>'数据-取费表'!B31</f>
        <v>200</v>
      </c>
      <c r="F19" s="223"/>
      <c r="G19" s="1714" t="s">
        <v>3465</v>
      </c>
    </row>
    <row r="20" spans="1:7" s="206" customFormat="1" ht="13.5" customHeight="1">
      <c r="A20" s="247" t="s">
        <v>1574</v>
      </c>
      <c r="B20" s="202" t="s">
        <v>1575</v>
      </c>
      <c r="C20" s="224">
        <f ca="1">ROUND((C5+C19)*F20,0)</f>
        <v>106938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322418</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320814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1604</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3240226</v>
      </c>
      <c r="D27" s="227">
        <f ca="1">C29</f>
        <v>8.9999999999999993E-3</v>
      </c>
      <c r="E27" s="228" t="s">
        <v>1514</v>
      </c>
      <c r="F27" s="238">
        <f ca="1">IF(B1="",'数据-取费表'!Q16,INDIRECT("'数据-取费表'!q"&amp;$G$1))</f>
        <v>0.3</v>
      </c>
      <c r="G27" s="239" t="s">
        <v>1515</v>
      </c>
    </row>
    <row r="28" spans="1:7" s="206" customFormat="1" ht="13.5" customHeight="1">
      <c r="A28" s="734" t="s">
        <v>346</v>
      </c>
      <c r="B28" s="240" t="s">
        <v>1516</v>
      </c>
      <c r="C28" s="241">
        <f ca="1">ROUND((C5+C19+C20)*F27,0)</f>
        <v>3240226</v>
      </c>
      <c r="D28" s="227"/>
      <c r="E28" s="228"/>
      <c r="F28" s="238"/>
      <c r="G28" s="239"/>
    </row>
    <row r="29" spans="1:7" s="206" customFormat="1" ht="13.5" customHeight="1">
      <c r="A29" s="734" t="s">
        <v>347</v>
      </c>
      <c r="B29" s="240" t="s">
        <v>1517</v>
      </c>
      <c r="C29" s="230">
        <f ca="1">ROUND(C21*F27,4)</f>
        <v>8.9999999999999993E-3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15832670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2311456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2063800</v>
      </c>
      <c r="D34" s="209"/>
      <c r="E34" s="212"/>
      <c r="F34" s="249"/>
      <c r="G34" s="211"/>
    </row>
    <row r="35" spans="1:7" ht="13.5" customHeight="1">
      <c r="A35" s="734" t="s">
        <v>351</v>
      </c>
      <c r="B35" s="207" t="s">
        <v>1527</v>
      </c>
      <c r="C35" s="212">
        <f ca="1">ROUND(C34*F35,0)</f>
        <v>61914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61914</v>
      </c>
      <c r="D36" s="212"/>
      <c r="E36" s="212"/>
      <c r="F36" s="251">
        <f>'数据-取费表'!B34</f>
        <v>0.03</v>
      </c>
      <c r="G36" s="252" t="s">
        <v>1530</v>
      </c>
    </row>
    <row r="37" spans="1:7" s="250" customFormat="1" ht="13.5" customHeight="1">
      <c r="A37" s="734" t="s">
        <v>353</v>
      </c>
      <c r="B37" s="207" t="s">
        <v>1531</v>
      </c>
      <c r="C37" s="241">
        <f ca="1">ROUND(E37*D37,0)</f>
        <v>82552</v>
      </c>
      <c r="D37" s="209">
        <f ca="1">D19</f>
        <v>412.76</v>
      </c>
      <c r="E37" s="241">
        <f>'数据-取费表'!B35</f>
        <v>200</v>
      </c>
      <c r="F37" s="251"/>
      <c r="G37" s="253"/>
    </row>
    <row r="38" spans="1:7" ht="13.5" customHeight="1">
      <c r="A38" s="734" t="s">
        <v>354</v>
      </c>
      <c r="B38" s="207" t="s">
        <v>1533</v>
      </c>
      <c r="C38" s="212">
        <f ca="1">ROUND(C34*F38,0)</f>
        <v>41276</v>
      </c>
      <c r="D38" s="212"/>
      <c r="E38" s="212"/>
      <c r="F38" s="251">
        <f>'数据-取费表'!B36</f>
        <v>0.02</v>
      </c>
      <c r="G38" s="211" t="s">
        <v>1528</v>
      </c>
    </row>
    <row r="39" spans="1:7" s="206" customFormat="1" ht="13.5" customHeight="1">
      <c r="A39" s="247" t="s">
        <v>1534</v>
      </c>
      <c r="B39" s="202" t="s">
        <v>1535</v>
      </c>
      <c r="C39" s="224">
        <f ca="1">ROUND(C33*F20,0)</f>
        <v>23115</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35019</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34672</v>
      </c>
      <c r="D42" s="230"/>
      <c r="E42" s="230"/>
      <c r="F42" s="231"/>
      <c r="G42" s="3377" t="s">
        <v>1591</v>
      </c>
    </row>
    <row r="43" spans="1:7" ht="13.5" customHeight="1">
      <c r="A43" s="734" t="s">
        <v>347</v>
      </c>
      <c r="B43" s="207" t="s">
        <v>1545</v>
      </c>
      <c r="C43" s="230">
        <f ca="1">ROUND(IF('数据-取费表'!B22&lt;=1,C39*F22*'数据-取费表'!B20/2,C39*(POWER((1+F22),'数据-取费表'!B20/2)-1)),0)</f>
        <v>347</v>
      </c>
      <c r="D43" s="230"/>
      <c r="E43" s="230"/>
      <c r="F43" s="231"/>
      <c r="G43" s="3378"/>
    </row>
    <row r="44" spans="1:7" ht="13.5" customHeight="1">
      <c r="A44" s="734" t="s">
        <v>348</v>
      </c>
      <c r="B44" s="207" t="s">
        <v>1546</v>
      </c>
      <c r="C44" s="230">
        <f ca="1">ROUND(IF('数据-取费表'!B22&lt;=1,C40*F22*'数据-取费表'!B20/2,C40*(POWER((1+F22),'数据-取费表'!B20/2)-1)),4)</f>
        <v>5.0000000000000001E-4</v>
      </c>
      <c r="D44" s="230"/>
      <c r="E44" s="230"/>
      <c r="F44" s="231"/>
      <c r="G44" s="3379"/>
    </row>
    <row r="45" spans="1:7" s="206" customFormat="1" ht="13.5" customHeight="1">
      <c r="A45" s="247" t="s">
        <v>1547</v>
      </c>
      <c r="B45" s="236" t="s">
        <v>1513</v>
      </c>
      <c r="C45" s="237">
        <f ca="1">C46</f>
        <v>700371</v>
      </c>
      <c r="D45" s="227">
        <f ca="1">C47</f>
        <v>8.9999999999999993E-3</v>
      </c>
      <c r="E45" s="228" t="s">
        <v>1539</v>
      </c>
      <c r="F45" s="238">
        <f ca="1">F27</f>
        <v>0.3</v>
      </c>
      <c r="G45" s="239" t="s">
        <v>1548</v>
      </c>
    </row>
    <row r="46" spans="1:7" s="206" customFormat="1" ht="13.5" customHeight="1">
      <c r="A46" s="734" t="s">
        <v>346</v>
      </c>
      <c r="B46" s="240" t="s">
        <v>1549</v>
      </c>
      <c r="C46" s="241">
        <f ca="1">ROUND((C33+C39)*F27,0)</f>
        <v>700371</v>
      </c>
      <c r="D46" s="255"/>
      <c r="E46" s="228"/>
      <c r="F46" s="238"/>
      <c r="G46" s="239"/>
    </row>
    <row r="47" spans="1:7" s="206" customFormat="1" ht="13.5" customHeight="1">
      <c r="A47" s="734" t="s">
        <v>347</v>
      </c>
      <c r="B47" s="240" t="s">
        <v>1550</v>
      </c>
      <c r="C47" s="230">
        <f ca="1">ROUND(C40*F27,4)</f>
        <v>8.9999999999999993E-3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3383996</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2876397</v>
      </c>
      <c r="D51" s="224"/>
      <c r="E51" s="224"/>
      <c r="F51" s="256"/>
      <c r="G51" s="226" t="s">
        <v>1560</v>
      </c>
    </row>
    <row r="52" spans="1:7" s="200" customFormat="1" ht="16.5" thickBot="1">
      <c r="A52" s="257" t="s">
        <v>1561</v>
      </c>
      <c r="B52" s="258"/>
      <c r="C52" s="259">
        <f ca="1">C31+C51</f>
        <v>18709067</v>
      </c>
      <c r="D52" s="258"/>
      <c r="E52" s="258"/>
      <c r="F52" s="258"/>
      <c r="G52" s="260"/>
    </row>
    <row r="55" spans="1:7" ht="15">
      <c r="B55" s="262" t="s">
        <v>1562</v>
      </c>
      <c r="C55" s="263"/>
    </row>
    <row r="56" spans="1:7">
      <c r="B56" s="265" t="s">
        <v>802</v>
      </c>
      <c r="C56" s="267">
        <f ca="1">1-C57</f>
        <v>0.84599999999999997</v>
      </c>
    </row>
    <row r="57" spans="1:7">
      <c r="B57" s="265" t="s">
        <v>803</v>
      </c>
      <c r="C57" s="266">
        <f ca="1">ROUND(C51/C52,3)</f>
        <v>0.154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E33" sqref="E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412.76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1031</v>
      </c>
      <c r="C2" s="1844" t="s">
        <v>1935</v>
      </c>
      <c r="D2" s="162" t="s">
        <v>1936</v>
      </c>
      <c r="E2" s="3118" t="s">
        <v>3402</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Ⅴ-13</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30709</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24978</v>
      </c>
      <c r="C3" s="1844" t="s">
        <v>1941</v>
      </c>
      <c r="D3" s="162" t="s">
        <v>1942</v>
      </c>
      <c r="E3" s="3116" t="s">
        <v>3411</v>
      </c>
      <c r="F3" s="1846" t="s">
        <v>3460</v>
      </c>
      <c r="G3" s="708">
        <f>IF(F3="宗地容积率",'数据-汇总表'!I4,IF(F3="估价对象容积率",'数据-汇总表'!I6,'数据-汇总表'!I7))</f>
        <v>1</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24205</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20457</v>
      </c>
      <c r="U4" s="1130"/>
      <c r="V4" s="3061">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18884</v>
      </c>
      <c r="D5" s="1252">
        <f>ROUND(C6*C17+C20,0)</f>
        <v>16350</v>
      </c>
      <c r="E5" s="1252"/>
      <c r="F5" s="1849"/>
      <c r="G5" s="1850"/>
      <c r="H5" s="1850"/>
      <c r="I5" s="1850"/>
      <c r="J5" s="1851"/>
      <c r="K5" s="1852"/>
      <c r="L5" s="1845" t="s">
        <v>1948</v>
      </c>
      <c r="M5" s="811">
        <f>SUMPRODUCT((区片价!B87:B126=I2)*(区片价!C3:G3=E2)*(区片价!C87:G126))</f>
        <v>16350</v>
      </c>
      <c r="N5" s="813">
        <f>SUMPRODUCT((因素修正幅度!B87:B126=I2)*(因素修正幅度!C3:G3=E2)*(因素修正幅度!C87:G126))</f>
        <v>0.1</v>
      </c>
      <c r="O5" s="1056"/>
      <c r="P5" s="1056"/>
      <c r="Q5" s="1056"/>
      <c r="R5" s="1129">
        <v>4</v>
      </c>
      <c r="S5" s="3061">
        <f>ROUND(SUMPRODUCT((B106:B110=R5)*(C105:N105=G2)*(C106:N110)),4)</f>
        <v>0.88239999999999996</v>
      </c>
      <c r="T5" s="3061">
        <f t="shared" si="0"/>
        <v>18042</v>
      </c>
      <c r="U5" s="1130"/>
      <c r="V5" s="3061">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16350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17339</v>
      </c>
      <c r="U6" s="1130"/>
      <c r="V6" s="3061">
        <f t="shared" si="1"/>
        <v>0</v>
      </c>
      <c r="W6" s="1133"/>
      <c r="X6" s="1133"/>
      <c r="Y6" s="1133"/>
      <c r="Z6" s="1133"/>
      <c r="AA6" s="1133"/>
      <c r="AB6" s="1133"/>
      <c r="AC6" s="1853"/>
      <c r="AD6" s="1854"/>
      <c r="AE6" s="1854"/>
      <c r="AF6" s="1854"/>
      <c r="AG6" s="1854"/>
      <c r="AH6" s="1854"/>
      <c r="AI6" s="1854"/>
      <c r="AJ6" s="1855"/>
    </row>
    <row r="7" spans="1:36" ht="24.75" thickBot="1">
      <c r="A7" s="3010" t="s">
        <v>3235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1</v>
      </c>
      <c r="AA7" s="1133"/>
      <c r="AB7" s="1133"/>
      <c r="AC7" s="1134"/>
      <c r="AD7" s="1135"/>
      <c r="AE7" s="1135"/>
      <c r="AF7" s="1135"/>
      <c r="AG7" s="1135"/>
      <c r="AH7" s="1135"/>
      <c r="AI7" s="1135"/>
      <c r="AJ7" s="1136"/>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8"/>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3240</v>
      </c>
      <c r="B13" s="1876" t="s">
        <v>1982</v>
      </c>
      <c r="C13" s="711">
        <f>ROUND(C16*D16*E16*F16*G16*H16*I16*J16,4)</f>
        <v>1.155</v>
      </c>
      <c r="D13" s="1877" t="s">
        <v>1983</v>
      </c>
      <c r="E13" s="1878"/>
      <c r="F13" s="1878"/>
      <c r="G13" s="1879"/>
      <c r="H13" s="1879"/>
      <c r="I13" s="1879"/>
      <c r="J13" s="1880"/>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1" t="s">
        <v>1985</v>
      </c>
      <c r="C14" s="1882"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3"/>
      <c r="C15" s="1884" t="s">
        <v>3461</v>
      </c>
      <c r="D15" s="1885" t="s">
        <v>3483</v>
      </c>
      <c r="E15" s="1886" t="s">
        <v>3484</v>
      </c>
      <c r="F15" s="1470" t="s">
        <v>3242</v>
      </c>
      <c r="G15" s="1926"/>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v>1.1000000000000001</v>
      </c>
      <c r="D16" s="3022">
        <v>1</v>
      </c>
      <c r="E16" s="3022">
        <v>1.05</v>
      </c>
      <c r="F16" s="3022">
        <v>1</v>
      </c>
      <c r="G16" s="3022">
        <v>1</v>
      </c>
      <c r="H16" s="3022">
        <v>1</v>
      </c>
      <c r="I16" s="3022">
        <v>1</v>
      </c>
      <c r="J16" s="3023">
        <v>1</v>
      </c>
      <c r="K16" s="1056"/>
      <c r="L16" s="1842"/>
      <c r="M16" s="1842"/>
      <c r="N16" s="1842"/>
      <c r="O16" s="1842"/>
      <c r="P16" s="1842"/>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3246</v>
      </c>
      <c r="E18" s="2354"/>
      <c r="F18" s="3028" t="s">
        <v>3249</v>
      </c>
      <c r="G18" s="3032">
        <f>ROUND(1-(1/(POWER(1+G24,E18))),4)</f>
        <v>0</v>
      </c>
      <c r="H18" s="3028" t="s">
        <v>3251</v>
      </c>
      <c r="I18" s="3032">
        <f>ROUND(1-(1/(POWER(1+G24,J24))),4)</f>
        <v>0.96709999999999996</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3247</v>
      </c>
      <c r="E19" s="3041"/>
      <c r="F19" s="3042" t="s">
        <v>3250</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3" t="s">
        <v>3252</v>
      </c>
      <c r="B20" s="159" t="s">
        <v>1994</v>
      </c>
      <c r="C20" s="3029">
        <f>ROUND(IF(F21="与级别开发程度一致",0,(G21-E21)/C21),0)</f>
        <v>0</v>
      </c>
      <c r="D20" s="3044" t="s">
        <v>1998</v>
      </c>
      <c r="E20" s="3045"/>
      <c r="F20" s="3499" t="s">
        <v>1995</v>
      </c>
      <c r="G20" s="3500"/>
      <c r="H20" s="3030" t="s">
        <v>3419</v>
      </c>
      <c r="I20" s="3030" t="s">
        <v>3420</v>
      </c>
      <c r="J20" s="3031" t="s">
        <v>3421</v>
      </c>
      <c r="K20" s="1887" t="s">
        <v>3422</v>
      </c>
      <c r="L20" s="1887" t="s">
        <v>3423</v>
      </c>
      <c r="M20" s="1887" t="s">
        <v>3424</v>
      </c>
      <c r="N20" s="1887" t="s">
        <v>3425</v>
      </c>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26.25" thickBot="1">
      <c r="A21" s="3494"/>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3486</v>
      </c>
      <c r="G21" s="1993">
        <f>SUM(H21:O21)</f>
        <v>265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1894" t="s">
        <v>2002</v>
      </c>
      <c r="E23" s="717">
        <v>44197</v>
      </c>
      <c r="F23" s="1894" t="s">
        <v>2003</v>
      </c>
      <c r="G23" s="718">
        <f>'数据-取费表'!B2</f>
        <v>45972</v>
      </c>
      <c r="H23" s="3046" t="s">
        <v>3462</v>
      </c>
      <c r="I23" s="3047" t="str">
        <f>IF(H23="季度增幅（自定义）",SUMIF(N25:N28,E2,O25:O28),"")</f>
        <v/>
      </c>
      <c r="J23" s="3139" t="s">
        <v>3463</v>
      </c>
      <c r="K23" s="1061"/>
      <c r="L23" s="1895" t="s">
        <v>2004</v>
      </c>
      <c r="M23" s="1241">
        <f>ROUND(SUMIF(地价!B2:G2,E2,地价!B16:G16),0)</f>
        <v>687</v>
      </c>
      <c r="N23" s="1896"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0.96060000000000001</v>
      </c>
      <c r="D24" s="1900" t="s">
        <v>2007</v>
      </c>
      <c r="E24" s="1248">
        <f>存贷款利率!E28/100</f>
        <v>4.3499999999999997E-2</v>
      </c>
      <c r="F24" s="1900" t="s">
        <v>1999</v>
      </c>
      <c r="G24" s="724">
        <f>SUMIF(M30:Q30,E2,M33:Q33)</f>
        <v>0.05</v>
      </c>
      <c r="H24" s="1900" t="s">
        <v>2008</v>
      </c>
      <c r="I24" s="725">
        <f>SUMIF('数据-取费表'!C6:C15,E2,'数据-取费表'!F6:F15)/COUNTIF('数据-取费表'!C6:C15,E2)</f>
        <v>54.22</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3331</v>
      </c>
      <c r="C25" s="461">
        <f>IF(B25="容积率修正",IF(G3&lt;10,D26,J26),C27)</f>
        <v>1.222</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3253</v>
      </c>
      <c r="D26" s="1263">
        <f>IF(E26=G26,F26,IF(G3&lt;10,ROUND(F26+(H26-F26)*(G3-E26)/(G26-E26),4),"——"))</f>
        <v>1.222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10" t="s">
        <v>3254</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1.0545</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1031</v>
      </c>
      <c r="D30" s="1923"/>
      <c r="E30" s="1840"/>
      <c r="F30" s="1924"/>
      <c r="G30" s="1840"/>
      <c r="H30" s="1840"/>
      <c r="I30" s="1840"/>
      <c r="J30" s="1925"/>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24986</v>
      </c>
      <c r="D33" s="1938">
        <f>'数据-汇总表'!F19</f>
        <v>412.76</v>
      </c>
      <c r="E33" s="727">
        <f>ROUND(C33*D33/10000,0)</f>
        <v>1031</v>
      </c>
      <c r="F33" s="3048" t="s">
        <v>3256</v>
      </c>
      <c r="G33" s="1939"/>
      <c r="H33" s="1939"/>
      <c r="I33" s="1939"/>
      <c r="J33" s="1940"/>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6247</v>
      </c>
      <c r="D34" s="1943"/>
      <c r="E34" s="727">
        <f>ROUND(IF(B25="楼层修正",SUM(V2:V16)*M40,C34*D34/10000),0)</f>
        <v>0</v>
      </c>
      <c r="F34" s="1944" t="s">
        <v>2032</v>
      </c>
      <c r="G34" s="1945"/>
      <c r="H34" s="1945"/>
      <c r="I34" s="1945"/>
      <c r="J34" s="1946"/>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3257</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7"/>
      <c r="B37" s="1953" t="s">
        <v>2036</v>
      </c>
      <c r="C37" s="167">
        <f>ROUND(D5*C22*C23*C24*C28*F37,0)</f>
        <v>10622</v>
      </c>
      <c r="D37" s="1938"/>
      <c r="E37" s="163">
        <f>ROUND(C37*D37/10000,0)</f>
        <v>0</v>
      </c>
      <c r="F37" s="163">
        <f>SUMIF(修正!A59:A70,G2,修正!B59:B70)</f>
        <v>0.6</v>
      </c>
      <c r="G37" s="163">
        <f>ROUND(IF(E2="工业",C37*$M$42,C37*$M$41),0)</f>
        <v>2656</v>
      </c>
      <c r="H37" s="163">
        <f>D37</f>
        <v>0</v>
      </c>
      <c r="I37" s="163">
        <f>ROUND(G37*H37/10000,0)</f>
        <v>0</v>
      </c>
      <c r="J37" s="2752"/>
      <c r="K37" s="3059" t="s">
        <v>3262</v>
      </c>
      <c r="L37" s="1962">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8"/>
      <c r="B38" s="1882" t="s">
        <v>2037</v>
      </c>
      <c r="C38" s="167">
        <f>ROUND(D5*C22*C23*C24*C28*F38,0)</f>
        <v>5311</v>
      </c>
      <c r="D38" s="1938"/>
      <c r="E38" s="163">
        <f t="shared" ref="E38:E42" si="4">ROUND(C38*D38/10000,0)</f>
        <v>0</v>
      </c>
      <c r="F38" s="163">
        <f>SUMIF(修正!A59:A70,G2,修正!C59:C70)</f>
        <v>0.3</v>
      </c>
      <c r="G38" s="163">
        <f>ROUND(IF(E2="工业",C38*$M$42,C38*$M$41),0)</f>
        <v>1328</v>
      </c>
      <c r="H38" s="163">
        <f t="shared" ref="H38:H42" si="5">D38</f>
        <v>0</v>
      </c>
      <c r="I38" s="163">
        <f t="shared" ref="I38:I42" si="6">ROUND(G38*H38/10000,0)</f>
        <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8"/>
      <c r="B39" s="1882" t="s">
        <v>3255</v>
      </c>
      <c r="C39" s="167">
        <f>ROUND(D5*C22*C23*C24*C28*F39,0)</f>
        <v>4426</v>
      </c>
      <c r="D39" s="1938"/>
      <c r="E39" s="163">
        <f t="shared" si="4"/>
        <v>0</v>
      </c>
      <c r="F39" s="163">
        <f>SUMIF(修正!A59:A70,G2,修正!D59:D70)</f>
        <v>0.25</v>
      </c>
      <c r="G39" s="163">
        <f>ROUND(IF(E2="工业",C39*$M$42,C39*$M$41),0)</f>
        <v>1107</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4426</v>
      </c>
      <c r="D40" s="1938"/>
      <c r="E40" s="163">
        <f t="shared" si="4"/>
        <v>0</v>
      </c>
      <c r="F40" s="167">
        <f>SUMIF(修正!A59:A70,G2,修正!E59:E70)</f>
        <v>0.25</v>
      </c>
      <c r="G40" s="163">
        <f>ROUND(IF(E2="工业",C40*$M$42,C40*$M$41),0)</f>
        <v>1107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0" t="s">
        <v>3263</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hidden="1">
      <c r="A51" s="1968" t="s">
        <v>2053</v>
      </c>
      <c r="B51" s="1262" t="str">
        <f>估价对象房地状况!C18</f>
        <v>估价对象距离地铁7号线郎辛庄站约100米，周边有411路、457路、专170、专171等公交通过并设站，综合评价交通便捷度较好。</v>
      </c>
      <c r="C51" s="1885"/>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3265</v>
      </c>
      <c r="B52" s="1262">
        <f>估价对象房地状况!C19</f>
        <v>0</v>
      </c>
      <c r="C52" s="1885"/>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2">
        <f>估价对象房地状况!C24</f>
        <v>0</v>
      </c>
      <c r="C54" s="1885"/>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5.75" hidden="1">
      <c r="A56" s="1974" t="s">
        <v>2059</v>
      </c>
      <c r="B5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56" s="1885"/>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2" t="str">
        <f>估价对象房地状况!C22</f>
        <v>估价对象所在区域基础设施水平</v>
      </c>
      <c r="C57" s="1885"/>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5" t="s">
        <v>2061</v>
      </c>
      <c r="B58" s="1976" t="str">
        <f>估价对象房地状况!C20</f>
        <v>周边有通惠河灌渠、马家湾湿地公园、聿博文体公园等自然人文环境，综合评价环境状况较好。</v>
      </c>
      <c r="C58" s="1885"/>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hidden="1">
      <c r="A62" s="1968" t="s">
        <v>2053</v>
      </c>
      <c r="B62" s="1262" t="str">
        <f>估价对象房地状况!C18</f>
        <v>估价对象距离地铁7号线郎辛庄站约100米，周边有411路、457路、专170、专171等公交通过并设站，综合评价交通便捷度较好。</v>
      </c>
      <c r="C62" s="1885"/>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8" t="s">
        <v>3265</v>
      </c>
      <c r="B63" s="1262">
        <f>估价对象房地状况!C19</f>
        <v>0</v>
      </c>
      <c r="C63" s="1885"/>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2">
        <f>估价对象房地状况!C24</f>
        <v>0</v>
      </c>
      <c r="C65" s="1885"/>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5.75" hidden="1">
      <c r="A67" s="1968" t="s">
        <v>2059</v>
      </c>
      <c r="B67"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67" s="1885"/>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40" t="str">
        <f>估价对象房地状况!C22</f>
        <v>估价对象所在区域基础设施水平</v>
      </c>
      <c r="C68" s="1885"/>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5" t="s">
        <v>2061</v>
      </c>
      <c r="B69" s="1977" t="str">
        <f>估价对象房地状况!C20</f>
        <v>周边有通惠河灌渠、马家湾湿地公园、聿博文体公园等自然人文环境，综合评价环境状况较好。</v>
      </c>
      <c r="C69" s="1885"/>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1.0545</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估价对象周边有CBD玲珑墅、朗悦家园、朝丰家园等住宅小区，居住社区发展完善程度较高，居住社区成熟度较好。</v>
      </c>
      <c r="C72" s="1885" t="s">
        <v>3449</v>
      </c>
      <c r="D72" s="1002">
        <f t="shared" ref="D72:D80" si="17">SUMIF($J$71:$N$71,C72,J72:N72)</f>
        <v>0.01</v>
      </c>
      <c r="E72" s="702">
        <f>ROUND(SUM(D72:D80),4)</f>
        <v>5.45E-2</v>
      </c>
      <c r="F72" s="1675">
        <f>IF(E2="住宅",SUMIF(L1:L12,G2,N1:N12),"——")</f>
        <v>0.1</v>
      </c>
      <c r="G72" s="1000">
        <v>0.01</v>
      </c>
      <c r="H72" s="1003">
        <f t="shared" ref="H72:H80" si="18">IFERROR(ROUNDDOWN($F$72*I72/2,4),"——")</f>
        <v>0.01</v>
      </c>
      <c r="I72" s="3066">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63.75">
      <c r="A73" s="1968" t="s">
        <v>2053</v>
      </c>
      <c r="B73" s="1262" t="str">
        <f>估价对象房地状况!C18</f>
        <v>估价对象距离地铁7号线郎辛庄站约100米，周边有411路、457路、专170、专171等公交通过并设站，综合评价交通便捷度较好。</v>
      </c>
      <c r="C73" s="1885" t="s">
        <v>3449</v>
      </c>
      <c r="D73" s="1002">
        <f t="shared" si="17"/>
        <v>1.2999999999999999E-2</v>
      </c>
      <c r="E73" s="705"/>
      <c r="F73" s="1675"/>
      <c r="G73" s="1000">
        <v>1.2999999999999999E-2</v>
      </c>
      <c r="H73" s="1003">
        <f t="shared" si="18"/>
        <v>1.2999999999999999E-2</v>
      </c>
      <c r="I73" s="3066">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2" customFormat="1" ht="36">
      <c r="A74" s="3068" t="s">
        <v>3265</v>
      </c>
      <c r="B74" s="1262">
        <f>估价对象房地状况!C19</f>
        <v>0</v>
      </c>
      <c r="C74" s="1885" t="s">
        <v>3449</v>
      </c>
      <c r="D74" s="1002">
        <f t="shared" si="17"/>
        <v>5.0000000000000001E-3</v>
      </c>
      <c r="E74" s="705"/>
      <c r="F74" s="1675"/>
      <c r="G74" s="1000">
        <v>5.0000000000000001E-3</v>
      </c>
      <c r="H74" s="1003">
        <f t="shared" si="18"/>
        <v>5.0000000000000001E-3</v>
      </c>
      <c r="I74" s="3066">
        <v>0.1</v>
      </c>
      <c r="J74" s="1001">
        <f t="shared" si="19"/>
        <v>0.01</v>
      </c>
      <c r="K74" s="1001">
        <f t="shared" si="20"/>
        <v>5.0000000000000001E-3</v>
      </c>
      <c r="L74" s="1001">
        <v>0</v>
      </c>
      <c r="M74" s="1001">
        <f t="shared" si="21"/>
        <v>-5.0000000000000001E-3</v>
      </c>
      <c r="N74" s="1001">
        <f t="shared" si="21"/>
        <v>-0.01</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t="s">
        <v>3449</v>
      </c>
      <c r="D75" s="1002">
        <f t="shared" si="17"/>
        <v>2.5000000000000001E-3</v>
      </c>
      <c r="E75" s="705"/>
      <c r="F75" s="1675"/>
      <c r="G75" s="1000">
        <v>2.5000000000000001E-3</v>
      </c>
      <c r="H75" s="1003">
        <f t="shared" si="18"/>
        <v>2.5000000000000001E-3</v>
      </c>
      <c r="I75" s="3066">
        <v>0.05</v>
      </c>
      <c r="J75" s="1001">
        <f t="shared" si="19"/>
        <v>5.0000000000000001E-3</v>
      </c>
      <c r="K75" s="1001">
        <f t="shared" si="20"/>
        <v>2.5000000000000001E-3</v>
      </c>
      <c r="L75" s="1001">
        <v>0</v>
      </c>
      <c r="M75" s="1001">
        <f t="shared" si="21"/>
        <v>-2.5000000000000001E-3</v>
      </c>
      <c r="N75" s="1001">
        <f t="shared" si="21"/>
        <v>-5.0000000000000001E-3</v>
      </c>
      <c r="O75" s="1056"/>
      <c r="P75" s="1056"/>
      <c r="Q75" s="1842"/>
      <c r="Z75" s="1843"/>
      <c r="AA75" s="1893"/>
      <c r="AG75" s="1058"/>
      <c r="AK75" s="1893"/>
    </row>
    <row r="76" spans="1:37" ht="165.75">
      <c r="A76" s="1968" t="s">
        <v>2059</v>
      </c>
      <c r="B76" s="1240"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76" s="1885" t="s">
        <v>3449</v>
      </c>
      <c r="D76" s="1002">
        <f t="shared" si="17"/>
        <v>4.0000000000000001E-3</v>
      </c>
      <c r="E76" s="705"/>
      <c r="F76" s="1675"/>
      <c r="G76" s="1000">
        <v>4.0000000000000001E-3</v>
      </c>
      <c r="H76" s="1003">
        <f t="shared" si="18"/>
        <v>4.0000000000000001E-3</v>
      </c>
      <c r="I76" s="3066">
        <v>0.08</v>
      </c>
      <c r="J76" s="1001">
        <f t="shared" si="19"/>
        <v>8.0000000000000002E-3</v>
      </c>
      <c r="K76" s="1001">
        <f t="shared" si="20"/>
        <v>4.0000000000000001E-3</v>
      </c>
      <c r="L76" s="1001">
        <v>0</v>
      </c>
      <c r="M76" s="1001">
        <f t="shared" si="21"/>
        <v>-4.0000000000000001E-3</v>
      </c>
      <c r="N76" s="1001">
        <f t="shared" si="21"/>
        <v>-8.0000000000000002E-3</v>
      </c>
      <c r="O76" s="1056"/>
      <c r="P76" s="1056"/>
      <c r="Z76" s="1843"/>
      <c r="AA76" s="1893"/>
      <c r="AG76" s="1058"/>
      <c r="AK76" s="1893"/>
    </row>
    <row r="77" spans="1:37" ht="25.5">
      <c r="A77" s="1968" t="s">
        <v>2060</v>
      </c>
      <c r="B77" s="1240" t="str">
        <f>估价对象房地状况!C22</f>
        <v>估价对象所在区域基础设施水平</v>
      </c>
      <c r="C77" s="1885" t="s">
        <v>3487</v>
      </c>
      <c r="D77" s="1002">
        <f t="shared" si="17"/>
        <v>8.9999999999999993E-3</v>
      </c>
      <c r="E77" s="705"/>
      <c r="F77" s="1675"/>
      <c r="G77" s="1000">
        <v>4.4999999999999997E-3</v>
      </c>
      <c r="H77" s="1003">
        <f t="shared" si="18"/>
        <v>4.4999999999999997E-3</v>
      </c>
      <c r="I77" s="3066">
        <v>0.09</v>
      </c>
      <c r="J77" s="1001">
        <f t="shared" si="19"/>
        <v>8.9999999999999993E-3</v>
      </c>
      <c r="K77" s="1001">
        <f t="shared" si="20"/>
        <v>4.4999999999999997E-3</v>
      </c>
      <c r="L77" s="1001">
        <v>0</v>
      </c>
      <c r="M77" s="1001">
        <f t="shared" si="21"/>
        <v>-4.4999999999999997E-3</v>
      </c>
      <c r="N77" s="1001">
        <f t="shared" si="21"/>
        <v>-8.9999999999999993E-3</v>
      </c>
      <c r="O77" s="1056"/>
      <c r="P77" s="1056"/>
      <c r="Z77" s="1843"/>
      <c r="AA77" s="1893"/>
      <c r="AG77" s="1058"/>
      <c r="AK77" s="1893"/>
    </row>
    <row r="78" spans="1:37" ht="24">
      <c r="A78" s="1968" t="s">
        <v>2057</v>
      </c>
      <c r="B78" s="1973" t="s">
        <v>2058</v>
      </c>
      <c r="C78" s="1885" t="s">
        <v>3449</v>
      </c>
      <c r="D78" s="1002">
        <f t="shared" si="17"/>
        <v>2.5000000000000001E-3</v>
      </c>
      <c r="E78" s="705"/>
      <c r="F78" s="1675"/>
      <c r="G78" s="1000">
        <v>2.5000000000000001E-3</v>
      </c>
      <c r="H78" s="1003">
        <f t="shared" si="18"/>
        <v>2.5000000000000001E-3</v>
      </c>
      <c r="I78" s="3066">
        <v>0.05</v>
      </c>
      <c r="J78" s="1001">
        <f t="shared" si="19"/>
        <v>5.0000000000000001E-3</v>
      </c>
      <c r="K78" s="1001">
        <f t="shared" si="20"/>
        <v>2.5000000000000001E-3</v>
      </c>
      <c r="L78" s="1001">
        <v>0</v>
      </c>
      <c r="M78" s="1001">
        <f t="shared" si="21"/>
        <v>-2.5000000000000001E-3</v>
      </c>
      <c r="N78" s="1001">
        <f t="shared" si="21"/>
        <v>-5.0000000000000001E-3</v>
      </c>
      <c r="O78" s="1842"/>
      <c r="P78" s="1842"/>
      <c r="Z78" s="1843"/>
      <c r="AA78" s="1893"/>
      <c r="AG78" s="1058"/>
      <c r="AK78" s="1893"/>
    </row>
    <row r="79" spans="1:37" ht="51">
      <c r="A79" s="1968" t="s">
        <v>2061</v>
      </c>
      <c r="B79" s="1971" t="str">
        <f>估价对象房地状况!C20</f>
        <v>周边有通惠河灌渠、马家湾湿地公园、聿博文体公园等自然人文环境，综合评价环境状况较好。</v>
      </c>
      <c r="C79" s="1885" t="s">
        <v>3449</v>
      </c>
      <c r="D79" s="1002">
        <f t="shared" si="17"/>
        <v>6.0000000000000001E-3</v>
      </c>
      <c r="E79" s="705"/>
      <c r="F79" s="1675"/>
      <c r="G79" s="1000">
        <v>6.0000000000000001E-3</v>
      </c>
      <c r="H79" s="1003">
        <f t="shared" si="18"/>
        <v>6.0000000000000001E-3</v>
      </c>
      <c r="I79" s="3066">
        <v>0.12</v>
      </c>
      <c r="J79" s="1001">
        <f t="shared" si="19"/>
        <v>1.2E-2</v>
      </c>
      <c r="K79" s="1001">
        <f t="shared" si="20"/>
        <v>6.0000000000000001E-3</v>
      </c>
      <c r="L79" s="1001">
        <v>0</v>
      </c>
      <c r="M79" s="1001">
        <f t="shared" si="21"/>
        <v>-6.0000000000000001E-3</v>
      </c>
      <c r="N79" s="1001">
        <f t="shared" si="21"/>
        <v>-1.2E-2</v>
      </c>
      <c r="Z79" s="1843"/>
      <c r="AA79" s="1893"/>
      <c r="AG79" s="1058"/>
      <c r="AK79" s="1893"/>
    </row>
    <row r="80" spans="1:37" ht="24.75" thickBot="1">
      <c r="A80" s="1975" t="s">
        <v>2068</v>
      </c>
      <c r="B80" s="1979"/>
      <c r="C80" s="1885" t="s">
        <v>3449</v>
      </c>
      <c r="D80" s="1002">
        <f t="shared" si="17"/>
        <v>2.5000000000000001E-3</v>
      </c>
      <c r="E80" s="706"/>
      <c r="F80" s="1675"/>
      <c r="G80" s="1000">
        <v>2.5000000000000001E-3</v>
      </c>
      <c r="H80" s="1003">
        <f t="shared" si="18"/>
        <v>2.5000000000000001E-3</v>
      </c>
      <c r="I80" s="3067">
        <v>0.05</v>
      </c>
      <c r="J80" s="1001">
        <f t="shared" si="19"/>
        <v>5.0000000000000001E-3</v>
      </c>
      <c r="K80" s="1001">
        <f t="shared" si="20"/>
        <v>2.5000000000000001E-3</v>
      </c>
      <c r="L80" s="1001">
        <v>0</v>
      </c>
      <c r="M80" s="1001">
        <f t="shared" si="21"/>
        <v>-2.5000000000000001E-3</v>
      </c>
      <c r="N80" s="1001">
        <f t="shared" si="21"/>
        <v>-5.0000000000000001E-3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3266</v>
      </c>
      <c r="B85" s="1262">
        <f>估价对象房地状况!G17</f>
        <v>0</v>
      </c>
      <c r="C85" s="1885"/>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3267</v>
      </c>
      <c r="B92" s="2307"/>
      <c r="C92" s="2307" t="s">
        <v>3276</v>
      </c>
      <c r="D92" s="2307" t="s">
        <v>3277</v>
      </c>
      <c r="E92" s="3050" t="s">
        <v>3278</v>
      </c>
      <c r="F92" s="3080" t="s">
        <v>3279</v>
      </c>
      <c r="G92" s="2307" t="s">
        <v>3280</v>
      </c>
      <c r="H92" s="3087" t="s">
        <v>3283</v>
      </c>
      <c r="I92" s="2307" t="s">
        <v>3284</v>
      </c>
      <c r="J92" s="2148" t="s">
        <v>3285</v>
      </c>
      <c r="K92" s="2148" t="s">
        <v>3286</v>
      </c>
      <c r="L92" s="2148" t="s">
        <v>3287</v>
      </c>
      <c r="M92" s="2148" t="s">
        <v>3288</v>
      </c>
      <c r="N92" s="2148" t="s">
        <v>3289</v>
      </c>
    </row>
    <row r="93" spans="1:37" ht="24">
      <c r="A93" s="3068" t="s">
        <v>3268</v>
      </c>
      <c r="B93" s="1221"/>
      <c r="C93" s="1885"/>
      <c r="D93" s="2307">
        <f>SUMIF($J$92:$N$92,C93,J93:N93)</f>
        <v>0</v>
      </c>
      <c r="E93" s="3081">
        <f>ROUND(SUM(D93:D101),4)</f>
        <v>0</v>
      </c>
      <c r="F93" s="1675"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63.75">
      <c r="A94" s="3078" t="s">
        <v>3269</v>
      </c>
      <c r="B94" s="3069" t="str">
        <f>估价对象房地状况!C18</f>
        <v>估价对象距离地铁7号线郎辛庄站约100米，周边有411路、457路、专170、专171等公交通过并设站，综合评价交通便捷度较好。</v>
      </c>
      <c r="C94" s="1885"/>
      <c r="D94" s="2307">
        <f t="shared" ref="D94:D101" si="30">SUMIF($J$60:$N$60,C94,J94:N94)</f>
        <v>0</v>
      </c>
      <c r="E94" s="3082"/>
      <c r="F94" s="1675"/>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3265</v>
      </c>
      <c r="B95" s="3069">
        <f>估价对象房地状况!C19</f>
        <v>0</v>
      </c>
      <c r="C95" s="1885"/>
      <c r="D95" s="2307">
        <f t="shared" si="30"/>
        <v>0</v>
      </c>
      <c r="E95" s="3082"/>
      <c r="F95" s="1675"/>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3270</v>
      </c>
      <c r="B96" s="3084" t="s">
        <v>3281</v>
      </c>
      <c r="C96" s="1885"/>
      <c r="D96" s="2307">
        <f t="shared" si="30"/>
        <v>0</v>
      </c>
      <c r="E96" s="3082"/>
      <c r="F96" s="1675"/>
      <c r="G96" s="3072"/>
      <c r="H96" s="3117" t="str">
        <f t="shared" si="31"/>
        <v>——</v>
      </c>
      <c r="I96" s="3066">
        <v>0.05</v>
      </c>
      <c r="J96" s="1910">
        <f t="shared" si="27"/>
        <v>0</v>
      </c>
      <c r="K96" s="1910">
        <f t="shared" si="28"/>
        <v>0</v>
      </c>
      <c r="L96" s="1910">
        <v>0</v>
      </c>
      <c r="M96" s="1910">
        <f t="shared" si="29"/>
        <v>0</v>
      </c>
      <c r="N96" s="1910">
        <f t="shared" si="29"/>
        <v>0</v>
      </c>
    </row>
    <row r="97" spans="1:14" ht="24">
      <c r="A97" s="3078" t="s">
        <v>3271</v>
      </c>
      <c r="B97" s="3069">
        <f>估价对象房地状况!C24</f>
        <v>0</v>
      </c>
      <c r="C97" s="1885"/>
      <c r="D97" s="2307">
        <f t="shared" si="30"/>
        <v>0</v>
      </c>
      <c r="E97" s="3082"/>
      <c r="F97" s="1675"/>
      <c r="G97" s="3072"/>
      <c r="H97" s="3117" t="str">
        <f t="shared" si="31"/>
        <v>——</v>
      </c>
      <c r="I97" s="3066">
        <v>0.05</v>
      </c>
      <c r="J97" s="1910">
        <f t="shared" si="27"/>
        <v>0</v>
      </c>
      <c r="K97" s="1910">
        <f t="shared" si="28"/>
        <v>0</v>
      </c>
      <c r="L97" s="1910">
        <v>0</v>
      </c>
      <c r="M97" s="1910">
        <f t="shared" si="29"/>
        <v>0</v>
      </c>
      <c r="N97" s="1910">
        <f t="shared" si="29"/>
        <v>0</v>
      </c>
    </row>
    <row r="98" spans="1:14" ht="24">
      <c r="A98" s="3078" t="s">
        <v>3272</v>
      </c>
      <c r="B98" s="3085" t="s">
        <v>3282</v>
      </c>
      <c r="C98" s="1885"/>
      <c r="D98" s="2307">
        <f t="shared" si="30"/>
        <v>0</v>
      </c>
      <c r="E98" s="3082"/>
      <c r="F98" s="1675"/>
      <c r="G98" s="3072"/>
      <c r="H98" s="3117" t="str">
        <f t="shared" si="31"/>
        <v>——</v>
      </c>
      <c r="I98" s="3066">
        <v>0.06</v>
      </c>
      <c r="J98" s="1910">
        <f t="shared" si="27"/>
        <v>0</v>
      </c>
      <c r="K98" s="1910">
        <f t="shared" si="28"/>
        <v>0</v>
      </c>
      <c r="L98" s="1910">
        <v>0</v>
      </c>
      <c r="M98" s="1910">
        <f t="shared" si="29"/>
        <v>0</v>
      </c>
      <c r="N98" s="1910">
        <f t="shared" si="29"/>
        <v>0</v>
      </c>
    </row>
    <row r="99" spans="1:14" ht="165.75">
      <c r="A99" s="3078" t="s">
        <v>3273</v>
      </c>
      <c r="B99" s="3069" t="str">
        <f>估价对象房地状况!C21</f>
        <v xml:space="preserve">银行：中国建设银行、北京银行等金融机构；
医院：北京市公安医院、黑庄户地区怡景城社区卫生服务站等医疗机构；
学校：芳草地国际学校、北京市第一七一中学朝阳豆各庄分校、朝花幼儿园等教育机构；
商业：会多刚购物中心、京客隆、华联购物中心等商业场所；
综上，公共配套设施较好。
</v>
      </c>
      <c r="C99" s="1885"/>
      <c r="D99" s="2307">
        <f t="shared" si="30"/>
        <v>0</v>
      </c>
      <c r="E99" s="3082"/>
      <c r="F99" s="1675"/>
      <c r="G99" s="3072"/>
      <c r="H99" s="3117" t="str">
        <f t="shared" si="31"/>
        <v>——</v>
      </c>
      <c r="I99" s="3066">
        <v>0.06</v>
      </c>
      <c r="J99" s="1910">
        <f t="shared" si="27"/>
        <v>0</v>
      </c>
      <c r="K99" s="1910">
        <f t="shared" si="28"/>
        <v>0</v>
      </c>
      <c r="L99" s="1910">
        <v>0</v>
      </c>
      <c r="M99" s="1910">
        <f t="shared" si="29"/>
        <v>0</v>
      </c>
      <c r="N99" s="1910">
        <f t="shared" si="29"/>
        <v>0</v>
      </c>
    </row>
    <row r="100" spans="1:14" ht="25.5">
      <c r="A100" s="3078" t="s">
        <v>3274</v>
      </c>
      <c r="B100" s="3069" t="str">
        <f>估价对象房地状况!C22</f>
        <v>估价对象所在区域基础设施水平</v>
      </c>
      <c r="C100" s="1885"/>
      <c r="D100" s="2307">
        <f t="shared" si="30"/>
        <v>0</v>
      </c>
      <c r="E100" s="3082"/>
      <c r="F100" s="1675"/>
      <c r="G100" s="3072"/>
      <c r="H100" s="3117" t="str">
        <f t="shared" si="31"/>
        <v>——</v>
      </c>
      <c r="I100" s="3066">
        <v>0.09</v>
      </c>
      <c r="J100" s="1910">
        <f t="shared" si="27"/>
        <v>0</v>
      </c>
      <c r="K100" s="1910">
        <f t="shared" si="28"/>
        <v>0</v>
      </c>
      <c r="L100" s="1910">
        <v>0</v>
      </c>
      <c r="M100" s="1910">
        <f t="shared" si="29"/>
        <v>0</v>
      </c>
      <c r="N100" s="1910">
        <f t="shared" si="29"/>
        <v>0</v>
      </c>
    </row>
    <row r="101" spans="1:14" ht="51.75" thickBot="1">
      <c r="A101" s="3079" t="s">
        <v>3275</v>
      </c>
      <c r="B101" s="3086" t="str">
        <f>估价对象房地状况!C20</f>
        <v>周边有通惠河灌渠、马家湾湿地公园、聿博文体公园等自然人文环境，综合评价环境状况较好。</v>
      </c>
      <c r="C101" s="1885"/>
      <c r="D101" s="2307">
        <f t="shared" si="30"/>
        <v>0</v>
      </c>
      <c r="E101" s="3083"/>
      <c r="F101" s="1675"/>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5" t="s">
        <v>3290</v>
      </c>
      <c r="B103" s="3495"/>
      <c r="C103" s="3495"/>
      <c r="D103" s="3495"/>
      <c r="E103" s="3495"/>
      <c r="F103" s="3495"/>
      <c r="G103" s="3495"/>
      <c r="H103" s="3495"/>
      <c r="I103" s="3495"/>
      <c r="J103" s="3495"/>
      <c r="K103" s="1667"/>
      <c r="L103" s="1667"/>
      <c r="M103" s="1667"/>
      <c r="N103" s="1667"/>
    </row>
    <row r="104" spans="1:14">
      <c r="A104" s="3496" t="s">
        <v>3291</v>
      </c>
      <c r="B104" s="3496" t="s">
        <v>3292</v>
      </c>
      <c r="C104" s="3088" t="s">
        <v>3293</v>
      </c>
      <c r="D104" s="3089"/>
      <c r="E104" s="3089"/>
      <c r="F104" s="3089"/>
      <c r="G104" s="3089"/>
      <c r="H104" s="3089"/>
      <c r="I104" s="3089"/>
      <c r="J104" s="3090"/>
      <c r="K104" s="3091"/>
      <c r="L104" s="3091"/>
      <c r="M104" s="3091"/>
      <c r="N104" s="3091"/>
    </row>
    <row r="105" spans="1:14">
      <c r="A105" s="3496"/>
      <c r="B105" s="3496"/>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2"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3307</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1</v>
      </c>
      <c r="C116" s="3097" t="s">
        <v>3309</v>
      </c>
      <c r="D116" s="3098">
        <f>SUMPRODUCT((A118:A122=F116)*(B117:M117=H116)*B118:M122)</f>
        <v>0.92249999999999999</v>
      </c>
      <c r="E116" s="162" t="s">
        <v>3310</v>
      </c>
      <c r="F116" s="3099" t="str">
        <f>E2</f>
        <v>住宅</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3325</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3326</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3327</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2610</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B8D2-272D-4537-AC1B-CF10EE83C18E}">
  <dimension ref="G2:AA35"/>
  <sheetViews>
    <sheetView topLeftCell="D1" workbookViewId="0">
      <selection activeCell="J43" sqref="J43"/>
    </sheetView>
  </sheetViews>
  <sheetFormatPr defaultRowHeight="13.5"/>
  <cols>
    <col min="11" max="11" width="11.625" bestFit="1" customWidth="1"/>
    <col min="18" max="18" width="10.5" bestFit="1" customWidth="1"/>
    <col min="19" max="19" width="11.625" bestFit="1" customWidth="1"/>
    <col min="21" max="22" width="0" hidden="1" customWidth="1"/>
    <col min="23" max="23" width="13.375" bestFit="1" customWidth="1"/>
    <col min="25" max="25" width="13.375" bestFit="1" customWidth="1"/>
    <col min="27" max="27" width="16.375" customWidth="1"/>
  </cols>
  <sheetData>
    <row r="2" spans="7:27">
      <c r="Y2" s="3178" t="s">
        <v>3482</v>
      </c>
    </row>
    <row r="5" spans="7:27" ht="57">
      <c r="G5" s="3179" t="s">
        <v>3473</v>
      </c>
      <c r="H5" s="3179" t="s">
        <v>3480</v>
      </c>
      <c r="I5" s="3179" t="s">
        <v>3475</v>
      </c>
      <c r="J5" s="3179" t="s">
        <v>3476</v>
      </c>
      <c r="K5" s="3179" t="s">
        <v>3477</v>
      </c>
      <c r="L5" s="3179">
        <v>416.46</v>
      </c>
      <c r="M5" s="3179" t="s">
        <v>3478</v>
      </c>
      <c r="N5" s="3179" t="s">
        <v>3479</v>
      </c>
      <c r="O5" s="3179">
        <v>5</v>
      </c>
      <c r="P5" s="3179">
        <v>2011</v>
      </c>
      <c r="Q5" s="3179" t="s">
        <v>633</v>
      </c>
      <c r="R5" s="3179" t="s">
        <v>633</v>
      </c>
      <c r="S5" s="3179" t="s">
        <v>633</v>
      </c>
      <c r="T5" s="3179">
        <v>51866</v>
      </c>
      <c r="U5" s="3179">
        <v>52167</v>
      </c>
      <c r="V5" s="3179">
        <v>21725469</v>
      </c>
      <c r="W5" s="3180">
        <v>45959</v>
      </c>
      <c r="X5" s="3501" t="s">
        <v>3501</v>
      </c>
      <c r="Y5" s="3502"/>
      <c r="Z5" s="3502"/>
      <c r="AA5" s="3502"/>
    </row>
    <row r="6" spans="7:27" ht="57">
      <c r="G6" s="3187" t="s">
        <v>3473</v>
      </c>
      <c r="H6" s="3187" t="s">
        <v>3474</v>
      </c>
      <c r="I6" s="3187" t="s">
        <v>3475</v>
      </c>
      <c r="J6" s="3187" t="s">
        <v>3476</v>
      </c>
      <c r="K6" s="3187" t="s">
        <v>3477</v>
      </c>
      <c r="L6" s="3187">
        <v>420.85</v>
      </c>
      <c r="M6" s="3187" t="s">
        <v>3478</v>
      </c>
      <c r="N6" s="3187" t="s">
        <v>3479</v>
      </c>
      <c r="O6" s="3187">
        <v>5</v>
      </c>
      <c r="P6" s="3187" t="s">
        <v>633</v>
      </c>
      <c r="Q6" s="3187">
        <v>2011</v>
      </c>
      <c r="R6" s="3187" t="s">
        <v>633</v>
      </c>
      <c r="S6" s="3187" t="s">
        <v>633</v>
      </c>
      <c r="T6" s="3187">
        <v>59404</v>
      </c>
      <c r="U6" s="3187">
        <v>59643</v>
      </c>
      <c r="V6" s="3187">
        <v>25100757</v>
      </c>
      <c r="W6" s="3188">
        <v>45811</v>
      </c>
      <c r="X6" s="3501" t="s">
        <v>3502</v>
      </c>
      <c r="Y6" s="3502"/>
      <c r="Z6" s="3502"/>
      <c r="AA6" s="3502"/>
    </row>
    <row r="7" spans="7:27" ht="14.25">
      <c r="G7" s="3189" t="s">
        <v>3485</v>
      </c>
      <c r="H7" s="3189"/>
      <c r="I7" s="3189"/>
      <c r="J7" s="3189"/>
      <c r="K7" s="3189"/>
      <c r="L7" s="3189">
        <v>420.85</v>
      </c>
      <c r="M7" s="3189"/>
      <c r="N7" s="3190" t="s">
        <v>3479</v>
      </c>
      <c r="O7" s="3190">
        <v>5</v>
      </c>
      <c r="P7" s="3189"/>
      <c r="Q7" s="3189"/>
      <c r="R7" s="3189"/>
      <c r="S7" s="3189">
        <v>2500</v>
      </c>
      <c r="T7" s="3189">
        <f>ROUND(S7*10000/L7,0)</f>
        <v>59404</v>
      </c>
      <c r="U7" s="3189"/>
      <c r="V7" s="3189"/>
      <c r="W7" s="3191">
        <v>45804</v>
      </c>
      <c r="X7" s="1405"/>
    </row>
    <row r="8" spans="7:27" ht="14.25">
      <c r="G8" s="3181" t="s">
        <v>3485</v>
      </c>
      <c r="H8" s="3182"/>
      <c r="I8" s="3182"/>
      <c r="J8" s="3182"/>
      <c r="K8" s="3182"/>
      <c r="L8" s="3182">
        <v>442.17</v>
      </c>
      <c r="M8" s="3182"/>
      <c r="N8" s="3183" t="s">
        <v>3481</v>
      </c>
      <c r="O8" s="3183">
        <v>6</v>
      </c>
      <c r="P8" s="3182"/>
      <c r="Q8" s="3182"/>
      <c r="R8" s="3182"/>
      <c r="S8" s="3182">
        <v>2130</v>
      </c>
      <c r="T8" s="3182">
        <f>ROUND(S8*10000/L8,0)</f>
        <v>48172</v>
      </c>
      <c r="U8" s="3182"/>
      <c r="V8" s="3182"/>
      <c r="W8" s="3184">
        <v>45803</v>
      </c>
      <c r="X8" s="1405" t="s">
        <v>3500</v>
      </c>
    </row>
    <row r="9" spans="7:27" ht="14.25">
      <c r="G9" s="3181" t="s">
        <v>3485</v>
      </c>
      <c r="H9" s="3182"/>
      <c r="I9" s="3182"/>
      <c r="J9" s="3182"/>
      <c r="K9" s="3182"/>
      <c r="L9" s="3182">
        <v>416.98</v>
      </c>
      <c r="M9" s="3182"/>
      <c r="N9" s="3183" t="s">
        <v>3481</v>
      </c>
      <c r="O9" s="3183">
        <v>6</v>
      </c>
      <c r="P9" s="3182"/>
      <c r="Q9" s="3182"/>
      <c r="R9" s="3182"/>
      <c r="S9" s="3182">
        <v>2380</v>
      </c>
      <c r="T9" s="3182">
        <f>ROUND(S9*10000/L9,0)</f>
        <v>57077</v>
      </c>
      <c r="U9" s="3182"/>
      <c r="V9" s="3182"/>
      <c r="W9" s="3184">
        <v>45740</v>
      </c>
    </row>
    <row r="10" spans="7:27">
      <c r="N10" s="3156"/>
      <c r="O10" s="3169"/>
      <c r="P10" s="3169"/>
      <c r="Q10" s="3156"/>
      <c r="R10" s="3170"/>
      <c r="S10" s="3159"/>
      <c r="T10" s="1405"/>
    </row>
    <row r="11" spans="7:27">
      <c r="O11" s="1405"/>
      <c r="P11" s="1405"/>
      <c r="R11" s="3167"/>
      <c r="S11" s="3168"/>
    </row>
    <row r="12" spans="7:27">
      <c r="N12" s="3156"/>
      <c r="O12" s="3169"/>
      <c r="P12" s="3169"/>
      <c r="Q12" s="3156"/>
      <c r="R12" s="3170"/>
      <c r="S12" s="3159"/>
      <c r="T12" s="1405"/>
    </row>
    <row r="13" spans="7:27">
      <c r="O13" s="1405"/>
      <c r="P13" s="1405"/>
      <c r="R13" s="3167"/>
      <c r="S13" s="3168"/>
    </row>
    <row r="14" spans="7:27">
      <c r="O14" s="1405"/>
      <c r="P14" s="1405"/>
      <c r="R14" s="3167"/>
      <c r="S14" s="3168"/>
    </row>
    <row r="15" spans="7:27" ht="14.25" customHeight="1">
      <c r="O15" s="1405"/>
      <c r="P15" s="1405"/>
      <c r="R15" s="3167"/>
      <c r="S15" s="3168"/>
      <c r="X15" s="3503" t="s">
        <v>3503</v>
      </c>
      <c r="Y15" s="3503"/>
      <c r="Z15" s="3503"/>
      <c r="AA15" s="3503"/>
    </row>
    <row r="16" spans="7:27">
      <c r="N16" s="3156"/>
      <c r="O16" s="3169"/>
      <c r="P16" s="3169"/>
      <c r="Q16" s="3156"/>
      <c r="R16" s="3170"/>
      <c r="S16" s="3156"/>
      <c r="T16" s="1405"/>
      <c r="X16" s="3503"/>
      <c r="Y16" s="3503"/>
      <c r="Z16" s="3503"/>
      <c r="AA16" s="3503"/>
    </row>
    <row r="20" spans="7:20">
      <c r="H20">
        <v>147.35</v>
      </c>
      <c r="I20">
        <v>14500</v>
      </c>
      <c r="J20">
        <f>ROUND(I20/H20,2)</f>
        <v>98.41</v>
      </c>
      <c r="K20" s="3186">
        <v>45929</v>
      </c>
      <c r="L20" s="1405" t="s">
        <v>3436</v>
      </c>
      <c r="M20" s="1405" t="s">
        <v>3491</v>
      </c>
    </row>
    <row r="21" spans="7:20">
      <c r="H21" s="3185">
        <v>428.35</v>
      </c>
      <c r="I21" s="3185">
        <v>66667</v>
      </c>
      <c r="J21" s="3185">
        <f t="shared" ref="J21:J32" si="0">ROUND(I21/H21,2)</f>
        <v>155.63999999999999</v>
      </c>
      <c r="K21" s="3192">
        <v>45798</v>
      </c>
      <c r="L21" s="3185" t="s">
        <v>3442</v>
      </c>
    </row>
    <row r="22" spans="7:20">
      <c r="H22" s="3185">
        <v>444.4</v>
      </c>
      <c r="I22" s="3185">
        <v>58333</v>
      </c>
      <c r="J22" s="3185">
        <f t="shared" si="0"/>
        <v>131.26</v>
      </c>
      <c r="K22" s="3192">
        <v>45580</v>
      </c>
      <c r="L22" s="3185" t="s">
        <v>3442</v>
      </c>
    </row>
    <row r="23" spans="7:20">
      <c r="H23">
        <v>171.51</v>
      </c>
      <c r="I23">
        <v>19000</v>
      </c>
      <c r="J23">
        <f t="shared" si="0"/>
        <v>110.78</v>
      </c>
      <c r="K23" s="3167">
        <v>45771</v>
      </c>
      <c r="L23" s="1405" t="s">
        <v>3436</v>
      </c>
      <c r="M23" s="1405" t="s">
        <v>3492</v>
      </c>
    </row>
    <row r="24" spans="7:20">
      <c r="H24">
        <v>155</v>
      </c>
      <c r="I24">
        <v>13500</v>
      </c>
      <c r="J24">
        <f t="shared" si="0"/>
        <v>87.1</v>
      </c>
      <c r="K24" s="3167">
        <v>45767</v>
      </c>
      <c r="L24" s="1405" t="s">
        <v>3493</v>
      </c>
      <c r="M24" s="1405" t="s">
        <v>3494</v>
      </c>
    </row>
    <row r="25" spans="7:20">
      <c r="H25">
        <v>170.27</v>
      </c>
      <c r="I25">
        <v>20000</v>
      </c>
      <c r="J25">
        <f t="shared" si="0"/>
        <v>117.46</v>
      </c>
      <c r="K25" s="3167">
        <v>45759</v>
      </c>
      <c r="L25" s="1405" t="s">
        <v>3436</v>
      </c>
      <c r="M25" s="1405" t="s">
        <v>3495</v>
      </c>
    </row>
    <row r="26" spans="7:20">
      <c r="H26">
        <v>171.51</v>
      </c>
      <c r="I26">
        <v>20500</v>
      </c>
      <c r="J26">
        <f t="shared" si="0"/>
        <v>119.53</v>
      </c>
      <c r="K26" s="3167">
        <v>45724</v>
      </c>
      <c r="L26" s="1405" t="s">
        <v>3436</v>
      </c>
      <c r="M26" s="1405" t="s">
        <v>3496</v>
      </c>
      <c r="O26" s="1405"/>
      <c r="P26" s="1405"/>
      <c r="R26" s="3167"/>
      <c r="T26" s="1405"/>
    </row>
    <row r="27" spans="7:20">
      <c r="H27">
        <v>172</v>
      </c>
      <c r="I27">
        <v>20000</v>
      </c>
      <c r="J27">
        <f t="shared" si="0"/>
        <v>116.28</v>
      </c>
      <c r="K27" s="3167">
        <v>45468</v>
      </c>
      <c r="L27" s="1405" t="s">
        <v>3497</v>
      </c>
      <c r="M27" s="1405" t="s">
        <v>3498</v>
      </c>
      <c r="O27" s="1405"/>
      <c r="P27" s="1405"/>
      <c r="R27" s="3167"/>
      <c r="T27" s="1405"/>
    </row>
    <row r="28" spans="7:20">
      <c r="O28" s="1405"/>
      <c r="P28" s="1405"/>
      <c r="R28" s="3167"/>
      <c r="T28" s="1405"/>
    </row>
    <row r="29" spans="7:20">
      <c r="G29" s="1405" t="s">
        <v>3505</v>
      </c>
      <c r="H29">
        <v>437</v>
      </c>
      <c r="I29">
        <v>80000</v>
      </c>
      <c r="J29">
        <f t="shared" si="0"/>
        <v>183.07</v>
      </c>
      <c r="K29" s="1405" t="s">
        <v>3499</v>
      </c>
      <c r="O29" s="1405"/>
      <c r="P29" s="1405"/>
      <c r="R29" s="3167"/>
    </row>
    <row r="30" spans="7:20">
      <c r="H30">
        <v>417</v>
      </c>
      <c r="I30">
        <v>75000</v>
      </c>
      <c r="J30">
        <f t="shared" si="0"/>
        <v>179.86</v>
      </c>
      <c r="K30" s="1405" t="s">
        <v>3499</v>
      </c>
    </row>
    <row r="31" spans="7:20">
      <c r="H31">
        <v>414.62</v>
      </c>
      <c r="I31">
        <v>58000</v>
      </c>
      <c r="J31">
        <f t="shared" si="0"/>
        <v>139.88999999999999</v>
      </c>
      <c r="K31" s="1405" t="s">
        <v>3444</v>
      </c>
    </row>
    <row r="32" spans="7:20">
      <c r="H32">
        <v>410.11</v>
      </c>
      <c r="I32">
        <v>55000</v>
      </c>
      <c r="J32">
        <f t="shared" si="0"/>
        <v>134.11000000000001</v>
      </c>
      <c r="K32" s="1405" t="s">
        <v>3442</v>
      </c>
    </row>
    <row r="34" spans="13:13">
      <c r="M34">
        <f>J30-J22</f>
        <v>48.600000000000023</v>
      </c>
    </row>
    <row r="35" spans="13:13">
      <c r="M35">
        <f>M34/J22</f>
        <v>0.37025750419015713</v>
      </c>
    </row>
  </sheetData>
  <mergeCells count="3">
    <mergeCell ref="X5:AA5"/>
    <mergeCell ref="X6:AA6"/>
    <mergeCell ref="X15:AA16"/>
  </mergeCells>
  <phoneticPr fontId="134" type="noConversion"/>
  <hyperlinks>
    <hyperlink ref="Y2" r:id="rId1" display="https://yewu.ghzrzyw.beijing.gov.cn/gwxxfb/tdsc/tdcjylb.html" xr:uid="{4D483588-0185-431B-A6C1-62665DBBD1ED}"/>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4" t="s">
        <v>2605</v>
      </c>
      <c r="B20" s="3504" t="s">
        <v>2626</v>
      </c>
      <c r="C20" s="3166" t="s">
        <v>2437</v>
      </c>
      <c r="D20" s="3166"/>
      <c r="E20" s="2842">
        <v>1</v>
      </c>
      <c r="F20" s="2843" t="s">
        <v>2438</v>
      </c>
      <c r="G20" s="2843"/>
    </row>
    <row r="21" spans="1:13" ht="19.5" customHeight="1">
      <c r="A21" s="3515"/>
      <c r="B21" s="3505"/>
      <c r="C21" s="2855" t="s">
        <v>2439</v>
      </c>
      <c r="D21" s="2855"/>
      <c r="E21" s="2846">
        <v>1</v>
      </c>
      <c r="F21" s="2843" t="s">
        <v>2440</v>
      </c>
      <c r="G21" s="2843"/>
    </row>
    <row r="22" spans="1:13" ht="19.5" customHeight="1">
      <c r="A22" s="3515"/>
      <c r="B22" s="3505"/>
      <c r="C22" s="2855" t="s">
        <v>2441</v>
      </c>
      <c r="D22" s="2855"/>
      <c r="E22" s="2846">
        <v>0.9</v>
      </c>
      <c r="F22" s="2843" t="s">
        <v>2442</v>
      </c>
      <c r="G22" s="2843"/>
    </row>
    <row r="23" spans="1:13" ht="19.5" customHeight="1">
      <c r="A23" s="3515"/>
      <c r="B23" s="3505"/>
      <c r="C23" s="2855" t="s">
        <v>2443</v>
      </c>
      <c r="D23" s="2855"/>
      <c r="E23" s="2846">
        <v>0.9</v>
      </c>
      <c r="F23" s="2843" t="s">
        <v>2444</v>
      </c>
      <c r="G23" s="2843"/>
    </row>
    <row r="24" spans="1:13" ht="19.5" customHeight="1">
      <c r="A24" s="3515"/>
      <c r="B24" s="3505"/>
      <c r="C24" s="2855" t="s">
        <v>2445</v>
      </c>
      <c r="D24" s="2855"/>
      <c r="E24" s="2846">
        <v>0.8</v>
      </c>
      <c r="F24" s="2843" t="s">
        <v>2446</v>
      </c>
      <c r="G24" s="2843"/>
    </row>
    <row r="25" spans="1:13" ht="19.5" customHeight="1">
      <c r="A25" s="3515"/>
      <c r="B25" s="3505"/>
      <c r="C25" s="2855" t="s">
        <v>2447</v>
      </c>
      <c r="D25" s="2855"/>
      <c r="E25" s="2846">
        <v>0.8</v>
      </c>
      <c r="F25" s="2843"/>
      <c r="G25" s="2843"/>
    </row>
    <row r="26" spans="1:13" ht="19.5" customHeight="1">
      <c r="A26" s="3515"/>
      <c r="B26" s="3505"/>
      <c r="C26" s="2855" t="s">
        <v>3408</v>
      </c>
      <c r="D26" s="2855"/>
      <c r="E26" s="2846">
        <v>0.43</v>
      </c>
      <c r="F26" s="2843"/>
      <c r="G26" s="2843"/>
    </row>
    <row r="27" spans="1:13" ht="19.5" customHeight="1" thickBot="1">
      <c r="A27" s="3516"/>
      <c r="B27" s="3506"/>
      <c r="C27" s="3162" t="s">
        <v>3409</v>
      </c>
      <c r="D27" s="3162"/>
      <c r="E27" s="2849">
        <f>E26*0.9</f>
        <v>0.38700000000000001</v>
      </c>
      <c r="F27" s="2843" t="s">
        <v>2448</v>
      </c>
      <c r="G27" s="2843"/>
    </row>
    <row r="28" spans="1:13" ht="19.5" customHeight="1" thickBot="1">
      <c r="A28" s="3161" t="s">
        <v>2627</v>
      </c>
      <c r="B28" s="3160" t="s">
        <v>2626</v>
      </c>
      <c r="C28" s="3163" t="s">
        <v>2628</v>
      </c>
      <c r="D28" s="3164"/>
      <c r="E28" s="3165">
        <v>1</v>
      </c>
      <c r="F28" s="2843" t="s">
        <v>2449</v>
      </c>
      <c r="G28" s="2843"/>
    </row>
    <row r="29" spans="1:13" ht="19.5" customHeight="1">
      <c r="A29" s="3507" t="s">
        <v>2629</v>
      </c>
      <c r="B29" s="3510" t="s">
        <v>2610</v>
      </c>
      <c r="C29" s="2840" t="s">
        <v>2450</v>
      </c>
      <c r="D29" s="2841"/>
      <c r="E29" s="2842">
        <v>1</v>
      </c>
      <c r="F29" s="2843" t="s">
        <v>2451</v>
      </c>
      <c r="G29" s="2843"/>
    </row>
    <row r="30" spans="1:13" ht="19.5" customHeight="1">
      <c r="A30" s="3508"/>
      <c r="B30" s="3511"/>
      <c r="C30" s="2844" t="s">
        <v>2452</v>
      </c>
      <c r="D30" s="2845"/>
      <c r="E30" s="2846">
        <v>1</v>
      </c>
      <c r="F30" s="2843" t="s">
        <v>2453</v>
      </c>
      <c r="G30" s="2843"/>
    </row>
    <row r="31" spans="1:13" ht="19.5" customHeight="1">
      <c r="A31" s="3508"/>
      <c r="B31" s="3511"/>
      <c r="C31" s="2844" t="s">
        <v>2454</v>
      </c>
      <c r="D31" s="2845"/>
      <c r="E31" s="2846">
        <v>0.8</v>
      </c>
      <c r="F31" s="2843" t="s">
        <v>2455</v>
      </c>
      <c r="G31" s="2843"/>
    </row>
    <row r="32" spans="1:13" ht="19.5" customHeight="1">
      <c r="A32" s="3508"/>
      <c r="B32" s="3511"/>
      <c r="C32" s="2844" t="s">
        <v>2456</v>
      </c>
      <c r="D32" s="2845"/>
      <c r="E32" s="2846">
        <v>0.8</v>
      </c>
      <c r="F32" s="2843" t="s">
        <v>2457</v>
      </c>
      <c r="G32" s="2843"/>
    </row>
    <row r="33" spans="1:7" ht="19.5" customHeight="1">
      <c r="A33" s="3508"/>
      <c r="B33" s="3511"/>
      <c r="C33" s="2844" t="s">
        <v>2458</v>
      </c>
      <c r="D33" s="2845"/>
      <c r="E33" s="2846">
        <v>0.8</v>
      </c>
      <c r="F33" s="2843" t="s">
        <v>2459</v>
      </c>
      <c r="G33" s="2843"/>
    </row>
    <row r="34" spans="1:7" ht="19.5" customHeight="1">
      <c r="A34" s="3508"/>
      <c r="B34" s="3511"/>
      <c r="C34" s="2844" t="s">
        <v>2460</v>
      </c>
      <c r="D34" s="2845"/>
      <c r="E34" s="2846">
        <v>0.7</v>
      </c>
      <c r="F34" s="2843" t="s">
        <v>2461</v>
      </c>
      <c r="G34" s="2843"/>
    </row>
    <row r="35" spans="1:7" ht="19.5" customHeight="1">
      <c r="A35" s="3508"/>
      <c r="B35" s="3511"/>
      <c r="C35" s="2844" t="s">
        <v>2462</v>
      </c>
      <c r="D35" s="2845"/>
      <c r="E35" s="2846">
        <v>0.8</v>
      </c>
      <c r="F35" s="2843" t="s">
        <v>2463</v>
      </c>
      <c r="G35" s="2843"/>
    </row>
    <row r="36" spans="1:7" ht="19.5" customHeight="1">
      <c r="A36" s="3508"/>
      <c r="B36" s="3511"/>
      <c r="C36" s="2844" t="s">
        <v>2464</v>
      </c>
      <c r="D36" s="2845"/>
      <c r="E36" s="2846">
        <v>0.6</v>
      </c>
      <c r="F36" s="2843" t="s">
        <v>2465</v>
      </c>
      <c r="G36" s="2843"/>
    </row>
    <row r="37" spans="1:7" ht="19.5" customHeight="1">
      <c r="A37" s="3508"/>
      <c r="B37" s="3511"/>
      <c r="C37" s="2844" t="s">
        <v>2466</v>
      </c>
      <c r="D37" s="2845"/>
      <c r="E37" s="2846">
        <v>0.2</v>
      </c>
      <c r="F37" s="2843" t="s">
        <v>2467</v>
      </c>
      <c r="G37" s="2843"/>
    </row>
    <row r="38" spans="1:7" ht="19.5" customHeight="1">
      <c r="A38" s="3508"/>
      <c r="B38" s="3511"/>
      <c r="C38" s="2844" t="s">
        <v>2468</v>
      </c>
      <c r="D38" s="2845"/>
      <c r="E38" s="2846">
        <v>0.2</v>
      </c>
      <c r="F38" s="2843" t="s">
        <v>2469</v>
      </c>
      <c r="G38" s="2843"/>
    </row>
    <row r="39" spans="1:7" ht="19.5" customHeight="1">
      <c r="A39" s="3508"/>
      <c r="B39" s="3512" t="s">
        <v>2630</v>
      </c>
      <c r="C39" s="2844" t="s">
        <v>2470</v>
      </c>
      <c r="D39" s="2845"/>
      <c r="E39" s="2846">
        <v>0.6</v>
      </c>
      <c r="F39" s="2843" t="s">
        <v>2471</v>
      </c>
      <c r="G39" s="2843"/>
    </row>
    <row r="40" spans="1:7" ht="19.5" customHeight="1">
      <c r="A40" s="3508"/>
      <c r="B40" s="3511"/>
      <c r="C40" s="2844" t="s">
        <v>2472</v>
      </c>
      <c r="D40" s="2845"/>
      <c r="E40" s="2846">
        <v>0.6</v>
      </c>
      <c r="F40" s="2843" t="s">
        <v>2473</v>
      </c>
      <c r="G40" s="2843"/>
    </row>
    <row r="41" spans="1:7" ht="19.5" customHeight="1" thickBot="1">
      <c r="A41" s="3509"/>
      <c r="B41" s="3513"/>
      <c r="C41" s="2847" t="s">
        <v>2474</v>
      </c>
      <c r="D41" s="2848"/>
      <c r="E41" s="2849">
        <v>0.6</v>
      </c>
      <c r="F41" s="2843" t="s">
        <v>2475</v>
      </c>
      <c r="G41" s="2843"/>
    </row>
    <row r="42" spans="1:7" ht="19.5" customHeight="1" thickBot="1">
      <c r="A42" s="2850" t="s">
        <v>2607</v>
      </c>
      <c r="B42" s="2851" t="s">
        <v>2607</v>
      </c>
      <c r="C42" s="2852" t="s">
        <v>2631</v>
      </c>
      <c r="D42" s="2853"/>
      <c r="E42" s="2854">
        <v>1</v>
      </c>
      <c r="F42" s="2843" t="s">
        <v>2476</v>
      </c>
      <c r="G42" s="2843"/>
    </row>
    <row r="43" spans="1:7" ht="19.5" customHeight="1">
      <c r="A43" s="3514" t="s">
        <v>2608</v>
      </c>
      <c r="B43" s="3510" t="s">
        <v>2632</v>
      </c>
      <c r="C43" s="2840" t="s">
        <v>2477</v>
      </c>
      <c r="D43" s="2841"/>
      <c r="E43" s="2842">
        <v>1</v>
      </c>
      <c r="F43" s="2843" t="s">
        <v>2478</v>
      </c>
      <c r="G43" s="2843"/>
    </row>
    <row r="44" spans="1:7" ht="19.5" customHeight="1">
      <c r="A44" s="3515"/>
      <c r="B44" s="3511"/>
      <c r="C44" s="2844" t="s">
        <v>2479</v>
      </c>
      <c r="D44" s="2845"/>
      <c r="E44" s="2846">
        <v>1</v>
      </c>
      <c r="F44" s="2843" t="s">
        <v>2480</v>
      </c>
      <c r="G44" s="2843"/>
    </row>
    <row r="45" spans="1:7" ht="19.5" customHeight="1">
      <c r="A45" s="3515"/>
      <c r="B45" s="3517"/>
      <c r="C45" s="2844" t="s">
        <v>2481</v>
      </c>
      <c r="D45" s="2845"/>
      <c r="E45" s="2846">
        <v>1.5</v>
      </c>
      <c r="F45" s="2843" t="s">
        <v>2482</v>
      </c>
      <c r="G45" s="2843"/>
    </row>
    <row r="46" spans="1:7" ht="19.5" customHeight="1">
      <c r="A46" s="3515"/>
      <c r="B46" s="2855" t="s">
        <v>2633</v>
      </c>
      <c r="C46" s="2844" t="s">
        <v>2634</v>
      </c>
      <c r="D46" s="2845"/>
      <c r="E46" s="2846">
        <v>2</v>
      </c>
      <c r="F46" s="2843" t="s">
        <v>2483</v>
      </c>
      <c r="G46" s="2843"/>
    </row>
    <row r="47" spans="1:7" ht="19.5" customHeight="1">
      <c r="A47" s="3515"/>
      <c r="B47" s="3512" t="s">
        <v>2635</v>
      </c>
      <c r="C47" s="2844" t="s">
        <v>2484</v>
      </c>
      <c r="D47" s="2845"/>
      <c r="E47" s="2846">
        <v>1</v>
      </c>
      <c r="F47" s="2843" t="s">
        <v>2485</v>
      </c>
      <c r="G47" s="2843"/>
    </row>
    <row r="48" spans="1:7" ht="19.5" customHeight="1">
      <c r="A48" s="3515"/>
      <c r="B48" s="3511"/>
      <c r="C48" s="2844" t="s">
        <v>2486</v>
      </c>
      <c r="D48" s="2845"/>
      <c r="E48" s="2846">
        <v>1</v>
      </c>
      <c r="F48" s="2843" t="s">
        <v>2487</v>
      </c>
      <c r="G48" s="2843"/>
    </row>
    <row r="49" spans="1:7" ht="19.5" customHeight="1">
      <c r="A49" s="3515"/>
      <c r="B49" s="3511"/>
      <c r="C49" s="2844" t="s">
        <v>2488</v>
      </c>
      <c r="D49" s="2845"/>
      <c r="E49" s="2846">
        <v>1</v>
      </c>
      <c r="F49" s="2843" t="s">
        <v>2489</v>
      </c>
      <c r="G49" s="2843"/>
    </row>
    <row r="50" spans="1:7" ht="19.5" customHeight="1">
      <c r="A50" s="3515"/>
      <c r="B50" s="3511"/>
      <c r="C50" s="2844" t="s">
        <v>2490</v>
      </c>
      <c r="D50" s="2845"/>
      <c r="E50" s="2846">
        <v>1</v>
      </c>
      <c r="F50" s="2843" t="s">
        <v>2491</v>
      </c>
      <c r="G50" s="2843"/>
    </row>
    <row r="51" spans="1:7" ht="19.5" customHeight="1">
      <c r="A51" s="3515"/>
      <c r="B51" s="3511"/>
      <c r="C51" s="2844" t="s">
        <v>2492</v>
      </c>
      <c r="D51" s="2845"/>
      <c r="E51" s="2846">
        <v>1</v>
      </c>
      <c r="F51" s="2843" t="s">
        <v>2493</v>
      </c>
      <c r="G51" s="2843"/>
    </row>
    <row r="52" spans="1:7" ht="19.5" customHeight="1">
      <c r="A52" s="3515"/>
      <c r="B52" s="3511"/>
      <c r="C52" s="2844" t="s">
        <v>2494</v>
      </c>
      <c r="D52" s="2845"/>
      <c r="E52" s="2846">
        <v>1</v>
      </c>
      <c r="F52" s="2843" t="s">
        <v>2495</v>
      </c>
      <c r="G52" s="2843"/>
    </row>
    <row r="53" spans="1:7" ht="19.5" customHeight="1" thickBot="1">
      <c r="A53" s="3516"/>
      <c r="B53" s="3513"/>
      <c r="C53" s="2847" t="s">
        <v>2496</v>
      </c>
      <c r="D53" s="2848"/>
      <c r="E53" s="2849">
        <v>1</v>
      </c>
      <c r="F53" s="2843" t="s">
        <v>2497</v>
      </c>
      <c r="G53" s="2843"/>
    </row>
    <row r="54" spans="1:7" ht="19.5" customHeight="1">
      <c r="A54" s="2856"/>
      <c r="B54" s="2856"/>
      <c r="C54" s="2856"/>
      <c r="D54" s="2856"/>
      <c r="E54" s="2856"/>
      <c r="F54" s="2856"/>
      <c r="G54" s="2856"/>
    </row>
    <row r="56" spans="1:7" ht="19.5" customHeight="1">
      <c r="A56" s="2857"/>
      <c r="B56" s="2829" t="s">
        <v>2636</v>
      </c>
      <c r="C56" s="2829" t="s">
        <v>2636</v>
      </c>
      <c r="D56" s="2829" t="s">
        <v>2636</v>
      </c>
      <c r="E56" s="2832" t="s">
        <v>2636</v>
      </c>
      <c r="F56" s="2832" t="s">
        <v>2637</v>
      </c>
      <c r="G56" s="2832" t="s">
        <v>2638</v>
      </c>
    </row>
    <row r="57" spans="1:7" ht="19.5" customHeight="1">
      <c r="A57" s="2858"/>
      <c r="B57" s="2832" t="s">
        <v>2605</v>
      </c>
      <c r="C57" s="2832" t="s">
        <v>2605</v>
      </c>
      <c r="D57" s="2832" t="s">
        <v>2605</v>
      </c>
      <c r="E57" s="2829" t="s">
        <v>2606</v>
      </c>
      <c r="F57" s="2829" t="s">
        <v>2608</v>
      </c>
      <c r="G57" s="2829" t="s">
        <v>2639</v>
      </c>
    </row>
    <row r="58" spans="1:7" ht="19.5" customHeight="1">
      <c r="A58" s="2859"/>
      <c r="B58" s="2829">
        <v>1</v>
      </c>
      <c r="C58" s="2829">
        <v>2</v>
      </c>
      <c r="D58" s="2829">
        <v>3</v>
      </c>
      <c r="E58" s="2860" t="s">
        <v>2640</v>
      </c>
      <c r="F58" s="2860" t="s">
        <v>2640</v>
      </c>
      <c r="G58" s="2860" t="s">
        <v>2640</v>
      </c>
    </row>
    <row r="59" spans="1:7" ht="19.5" customHeight="1">
      <c r="A59" s="2861" t="s">
        <v>2593</v>
      </c>
      <c r="B59" s="2829">
        <v>0.7</v>
      </c>
      <c r="C59" s="2829">
        <v>0.4</v>
      </c>
      <c r="D59" s="2829">
        <v>0.3</v>
      </c>
      <c r="E59" s="2860">
        <v>0.3</v>
      </c>
      <c r="F59" s="2829">
        <v>0.3</v>
      </c>
      <c r="G59" s="2829">
        <v>0.2</v>
      </c>
    </row>
    <row r="60" spans="1:7" ht="19.5" customHeight="1">
      <c r="A60" s="2861" t="s">
        <v>2594</v>
      </c>
      <c r="B60" s="2829">
        <v>0.7</v>
      </c>
      <c r="C60" s="2829">
        <v>0.4</v>
      </c>
      <c r="D60" s="2829">
        <v>0.3</v>
      </c>
      <c r="E60" s="2829">
        <v>0.3</v>
      </c>
      <c r="F60" s="2829">
        <v>0.3</v>
      </c>
      <c r="G60" s="2829">
        <v>0.2</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0.6</v>
      </c>
      <c r="C64" s="2829">
        <v>0.3</v>
      </c>
      <c r="D64" s="2829">
        <v>0.25</v>
      </c>
      <c r="E64" s="2829">
        <v>0.25</v>
      </c>
      <c r="F64" s="2829">
        <v>0.25</v>
      </c>
      <c r="G64" s="2829">
        <v>0.15</v>
      </c>
    </row>
    <row r="65" spans="1:7" ht="19.5" customHeight="1">
      <c r="A65" s="2861" t="s">
        <v>2599</v>
      </c>
      <c r="B65" s="2829">
        <v>0.6</v>
      </c>
      <c r="C65" s="2829">
        <v>0.3</v>
      </c>
      <c r="D65" s="2829">
        <v>0.25</v>
      </c>
      <c r="E65" s="2829">
        <v>0.25</v>
      </c>
      <c r="F65" s="2829">
        <v>0.25</v>
      </c>
      <c r="G65" s="2829">
        <v>0.15</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69" spans="1:7" ht="19.5" customHeight="1">
      <c r="A69" s="2861" t="s">
        <v>2603</v>
      </c>
      <c r="B69" s="2829">
        <v>0.5</v>
      </c>
      <c r="C69" s="2829">
        <v>0.2</v>
      </c>
      <c r="D69" s="2829">
        <v>0.2</v>
      </c>
      <c r="E69" s="2829">
        <v>0.2</v>
      </c>
      <c r="F69" s="2829">
        <v>0.2</v>
      </c>
      <c r="G69" s="2829">
        <v>0.1</v>
      </c>
    </row>
    <row r="70" spans="1:7" ht="19.5" customHeight="1">
      <c r="A70" s="2861" t="s">
        <v>2604</v>
      </c>
      <c r="B70" s="2829">
        <v>0.5</v>
      </c>
      <c r="C70" s="2829">
        <v>0.2</v>
      </c>
      <c r="D70" s="2829">
        <v>0.2</v>
      </c>
      <c r="E70" s="2829">
        <v>0.2</v>
      </c>
      <c r="F70" s="2829">
        <v>0.2</v>
      </c>
      <c r="G70" s="2829">
        <v>0.1</v>
      </c>
    </row>
    <row r="72" spans="1:7" ht="19.5" customHeight="1">
      <c r="A72" s="2843"/>
      <c r="B72" s="2862"/>
      <c r="C72" s="2862"/>
      <c r="D72" s="2862" t="s">
        <v>2641</v>
      </c>
      <c r="E72" s="2862"/>
      <c r="F72" s="2862"/>
    </row>
    <row r="73" spans="1:7" ht="19.5" customHeight="1">
      <c r="A73" s="2855" t="s">
        <v>2642</v>
      </c>
      <c r="B73" s="2855" t="s">
        <v>2643</v>
      </c>
      <c r="C73" s="2855" t="s">
        <v>2644</v>
      </c>
      <c r="D73" s="2855" t="s">
        <v>2645</v>
      </c>
      <c r="E73" s="2855" t="s">
        <v>2646</v>
      </c>
      <c r="F73" s="2855" t="s">
        <v>2647</v>
      </c>
    </row>
    <row r="74" spans="1:7" ht="13.5">
      <c r="A74" s="2855"/>
      <c r="B74" s="2855"/>
      <c r="C74" s="2855" t="s">
        <v>2648</v>
      </c>
      <c r="D74" s="2855"/>
      <c r="E74" s="2855" t="s">
        <v>2619</v>
      </c>
      <c r="F74" s="2855" t="s">
        <v>2619</v>
      </c>
    </row>
    <row r="75" spans="1:7" ht="13.5">
      <c r="A75" s="2855">
        <v>1</v>
      </c>
      <c r="B75" s="3512" t="s">
        <v>2649</v>
      </c>
      <c r="C75" s="2829" t="s">
        <v>2650</v>
      </c>
      <c r="D75" s="2829" t="s">
        <v>2651</v>
      </c>
      <c r="E75" s="2855">
        <v>0.2</v>
      </c>
      <c r="F75" s="2855">
        <v>25</v>
      </c>
    </row>
    <row r="76" spans="1:7" ht="24">
      <c r="A76" s="2855">
        <v>2</v>
      </c>
      <c r="B76" s="3511"/>
      <c r="C76" s="2829" t="s">
        <v>2652</v>
      </c>
      <c r="D76" s="2829" t="s">
        <v>2653</v>
      </c>
      <c r="E76" s="2855">
        <v>0.2</v>
      </c>
      <c r="F76" s="2855">
        <v>25</v>
      </c>
    </row>
    <row r="77" spans="1:7" ht="24">
      <c r="A77" s="2855">
        <v>3</v>
      </c>
      <c r="B77" s="3511"/>
      <c r="C77" s="2829" t="s">
        <v>2654</v>
      </c>
      <c r="D77" s="2829" t="s">
        <v>2655</v>
      </c>
      <c r="E77" s="2855">
        <v>0.2</v>
      </c>
      <c r="F77" s="2855">
        <v>25</v>
      </c>
    </row>
    <row r="78" spans="1:7" ht="13.5">
      <c r="A78" s="2855">
        <v>4</v>
      </c>
      <c r="B78" s="3511"/>
      <c r="C78" s="2829" t="s">
        <v>2656</v>
      </c>
      <c r="D78" s="2829" t="s">
        <v>2657</v>
      </c>
      <c r="E78" s="2855">
        <v>0.15</v>
      </c>
      <c r="F78" s="2855">
        <v>20</v>
      </c>
    </row>
    <row r="79" spans="1:7" ht="24">
      <c r="A79" s="2855">
        <v>5</v>
      </c>
      <c r="B79" s="3511"/>
      <c r="C79" s="2829" t="s">
        <v>2658</v>
      </c>
      <c r="D79" s="2829" t="s">
        <v>2659</v>
      </c>
      <c r="E79" s="2855">
        <v>0.15</v>
      </c>
      <c r="F79" s="2855">
        <v>20</v>
      </c>
    </row>
    <row r="80" spans="1:7" ht="24">
      <c r="A80" s="2855">
        <v>6</v>
      </c>
      <c r="B80" s="3511"/>
      <c r="C80" s="2829" t="s">
        <v>2660</v>
      </c>
      <c r="D80" s="2829" t="s">
        <v>2661</v>
      </c>
      <c r="E80" s="2855">
        <v>0.15</v>
      </c>
      <c r="F80" s="2855">
        <v>20</v>
      </c>
    </row>
    <row r="81" spans="1:6" ht="24">
      <c r="A81" s="2855">
        <v>7</v>
      </c>
      <c r="B81" s="3511"/>
      <c r="C81" s="2829" t="s">
        <v>2662</v>
      </c>
      <c r="D81" s="2829" t="s">
        <v>2663</v>
      </c>
      <c r="E81" s="2855">
        <v>0.15</v>
      </c>
      <c r="F81" s="2855">
        <v>20</v>
      </c>
    </row>
    <row r="82" spans="1:6" ht="24">
      <c r="A82" s="2855">
        <v>8</v>
      </c>
      <c r="B82" s="3511"/>
      <c r="C82" s="2829" t="s">
        <v>2664</v>
      </c>
      <c r="D82" s="2829" t="s">
        <v>2665</v>
      </c>
      <c r="E82" s="2855">
        <v>0.1</v>
      </c>
      <c r="F82" s="2855">
        <v>15</v>
      </c>
    </row>
    <row r="83" spans="1:6" ht="24">
      <c r="A83" s="2855">
        <v>9</v>
      </c>
      <c r="B83" s="3511"/>
      <c r="C83" s="2829" t="s">
        <v>2666</v>
      </c>
      <c r="D83" s="2829" t="s">
        <v>2667</v>
      </c>
      <c r="E83" s="2855">
        <v>0.1</v>
      </c>
      <c r="F83" s="2855">
        <v>15</v>
      </c>
    </row>
    <row r="84" spans="1:6" ht="24">
      <c r="A84" s="2855">
        <v>10</v>
      </c>
      <c r="B84" s="3511"/>
      <c r="C84" s="2829" t="s">
        <v>2668</v>
      </c>
      <c r="D84" s="2829" t="s">
        <v>2669</v>
      </c>
      <c r="E84" s="2855">
        <v>0.1</v>
      </c>
      <c r="F84" s="2855">
        <v>15</v>
      </c>
    </row>
    <row r="85" spans="1:6" ht="24">
      <c r="A85" s="2855">
        <v>11</v>
      </c>
      <c r="B85" s="3511"/>
      <c r="C85" s="2829" t="s">
        <v>2670</v>
      </c>
      <c r="D85" s="2829" t="s">
        <v>2671</v>
      </c>
      <c r="E85" s="2855">
        <v>0.1</v>
      </c>
      <c r="F85" s="2855">
        <v>15</v>
      </c>
    </row>
    <row r="86" spans="1:6" ht="24">
      <c r="A86" s="2855">
        <v>12</v>
      </c>
      <c r="B86" s="3511"/>
      <c r="C86" s="2829" t="s">
        <v>2672</v>
      </c>
      <c r="D86" s="2829" t="s">
        <v>2673</v>
      </c>
      <c r="E86" s="2855">
        <v>0.1</v>
      </c>
      <c r="F86" s="2855">
        <v>15</v>
      </c>
    </row>
    <row r="87" spans="1:6" ht="13.5">
      <c r="A87" s="2855">
        <v>13</v>
      </c>
      <c r="B87" s="3511"/>
      <c r="C87" s="2829" t="s">
        <v>2674</v>
      </c>
      <c r="D87" s="2829" t="s">
        <v>2675</v>
      </c>
      <c r="E87" s="2855">
        <v>0.1</v>
      </c>
      <c r="F87" s="2855">
        <v>15</v>
      </c>
    </row>
    <row r="88" spans="1:6" ht="13.5">
      <c r="A88" s="2855">
        <v>14</v>
      </c>
      <c r="B88" s="3511"/>
      <c r="C88" s="2829" t="s">
        <v>2676</v>
      </c>
      <c r="D88" s="2829" t="s">
        <v>2677</v>
      </c>
      <c r="E88" s="2855">
        <v>0.1</v>
      </c>
      <c r="F88" s="2855">
        <v>15</v>
      </c>
    </row>
    <row r="89" spans="1:6" ht="13.5">
      <c r="A89" s="2855">
        <v>15</v>
      </c>
      <c r="B89" s="3511"/>
      <c r="C89" s="2829" t="s">
        <v>2678</v>
      </c>
      <c r="D89" s="2829" t="s">
        <v>2679</v>
      </c>
      <c r="E89" s="2855">
        <v>0.1</v>
      </c>
      <c r="F89" s="2855">
        <v>15</v>
      </c>
    </row>
    <row r="90" spans="1:6" ht="24">
      <c r="A90" s="2855">
        <v>16</v>
      </c>
      <c r="B90" s="3511"/>
      <c r="C90" s="2829" t="s">
        <v>2680</v>
      </c>
      <c r="D90" s="2829" t="s">
        <v>2681</v>
      </c>
      <c r="E90" s="2855">
        <v>0.1</v>
      </c>
      <c r="F90" s="2855">
        <v>15</v>
      </c>
    </row>
    <row r="91" spans="1:6" ht="24">
      <c r="A91" s="2855">
        <v>17</v>
      </c>
      <c r="B91" s="3517"/>
      <c r="C91" s="2829" t="s">
        <v>2682</v>
      </c>
      <c r="D91" s="2829" t="s">
        <v>2683</v>
      </c>
      <c r="E91" s="2855">
        <v>0.1</v>
      </c>
      <c r="F91" s="2855">
        <v>15</v>
      </c>
    </row>
    <row r="92" spans="1:6" ht="13.5">
      <c r="A92" s="2855">
        <v>18</v>
      </c>
      <c r="B92" s="3512" t="s">
        <v>2684</v>
      </c>
      <c r="C92" s="2829" t="s">
        <v>2685</v>
      </c>
      <c r="D92" s="2829" t="s">
        <v>2686</v>
      </c>
      <c r="E92" s="2855">
        <v>0.2</v>
      </c>
      <c r="F92" s="2855">
        <v>25</v>
      </c>
    </row>
    <row r="93" spans="1:6" ht="24">
      <c r="A93" s="2855">
        <v>19</v>
      </c>
      <c r="B93" s="3511"/>
      <c r="C93" s="2829" t="s">
        <v>2687</v>
      </c>
      <c r="D93" s="2829" t="s">
        <v>2688</v>
      </c>
      <c r="E93" s="2855">
        <v>0.2</v>
      </c>
      <c r="F93" s="2855">
        <v>25</v>
      </c>
    </row>
    <row r="94" spans="1:6" ht="13.5">
      <c r="A94" s="2855">
        <v>20</v>
      </c>
      <c r="B94" s="3511"/>
      <c r="C94" s="2829" t="s">
        <v>2689</v>
      </c>
      <c r="D94" s="2829" t="s">
        <v>2690</v>
      </c>
      <c r="E94" s="2855">
        <v>0.15</v>
      </c>
      <c r="F94" s="2855">
        <v>20</v>
      </c>
    </row>
    <row r="95" spans="1:6" ht="13.5">
      <c r="A95" s="2855">
        <v>21</v>
      </c>
      <c r="B95" s="3511"/>
      <c r="C95" s="2829" t="s">
        <v>2691</v>
      </c>
      <c r="D95" s="2829" t="s">
        <v>2692</v>
      </c>
      <c r="E95" s="2855">
        <v>0.15</v>
      </c>
      <c r="F95" s="2855">
        <v>20</v>
      </c>
    </row>
    <row r="96" spans="1:6" ht="13.5">
      <c r="A96" s="2855">
        <v>22</v>
      </c>
      <c r="B96" s="3511"/>
      <c r="C96" s="2829" t="s">
        <v>2693</v>
      </c>
      <c r="D96" s="2829" t="s">
        <v>2694</v>
      </c>
      <c r="E96" s="2855">
        <v>0.15</v>
      </c>
      <c r="F96" s="2855">
        <v>20</v>
      </c>
    </row>
    <row r="97" spans="1:6" ht="36">
      <c r="A97" s="2855">
        <v>23</v>
      </c>
      <c r="B97" s="3511"/>
      <c r="C97" s="2829" t="s">
        <v>2695</v>
      </c>
      <c r="D97" s="2829" t="s">
        <v>2696</v>
      </c>
      <c r="E97" s="2855">
        <v>0.15</v>
      </c>
      <c r="F97" s="2855">
        <v>20</v>
      </c>
    </row>
    <row r="98" spans="1:6" ht="13.5">
      <c r="A98" s="2855">
        <v>24</v>
      </c>
      <c r="B98" s="3511"/>
      <c r="C98" s="2829" t="s">
        <v>2697</v>
      </c>
      <c r="D98" s="2829" t="s">
        <v>2698</v>
      </c>
      <c r="E98" s="2855">
        <v>0.1</v>
      </c>
      <c r="F98" s="2855">
        <v>15</v>
      </c>
    </row>
    <row r="99" spans="1:6" ht="13.5">
      <c r="A99" s="2855">
        <v>25</v>
      </c>
      <c r="B99" s="3511"/>
      <c r="C99" s="2829" t="s">
        <v>2699</v>
      </c>
      <c r="D99" s="2829" t="s">
        <v>2700</v>
      </c>
      <c r="E99" s="2855">
        <v>0.1</v>
      </c>
      <c r="F99" s="2855">
        <v>15</v>
      </c>
    </row>
    <row r="100" spans="1:6" ht="24">
      <c r="A100" s="2855">
        <v>26</v>
      </c>
      <c r="B100" s="3511"/>
      <c r="C100" s="2829" t="s">
        <v>2701</v>
      </c>
      <c r="D100" s="2829" t="s">
        <v>2702</v>
      </c>
      <c r="E100" s="2855">
        <v>0.1</v>
      </c>
      <c r="F100" s="2855">
        <v>15</v>
      </c>
    </row>
    <row r="101" spans="1:6" ht="24">
      <c r="A101" s="2855">
        <v>27</v>
      </c>
      <c r="B101" s="3511"/>
      <c r="C101" s="2829" t="s">
        <v>2703</v>
      </c>
      <c r="D101" s="2829" t="s">
        <v>2704</v>
      </c>
      <c r="E101" s="2855">
        <v>0.1</v>
      </c>
      <c r="F101" s="2855">
        <v>15</v>
      </c>
    </row>
    <row r="102" spans="1:6" ht="13.5">
      <c r="A102" s="2855">
        <v>28</v>
      </c>
      <c r="B102" s="3511"/>
      <c r="C102" s="2829" t="s">
        <v>2705</v>
      </c>
      <c r="D102" s="2829" t="s">
        <v>2706</v>
      </c>
      <c r="E102" s="2855">
        <v>0.1</v>
      </c>
      <c r="F102" s="2855">
        <v>15</v>
      </c>
    </row>
    <row r="103" spans="1:6" ht="13.5">
      <c r="A103" s="2855">
        <v>29</v>
      </c>
      <c r="B103" s="3511"/>
      <c r="C103" s="2829" t="s">
        <v>2707</v>
      </c>
      <c r="D103" s="2829" t="s">
        <v>2708</v>
      </c>
      <c r="E103" s="2855">
        <v>0.1</v>
      </c>
      <c r="F103" s="2855">
        <v>15</v>
      </c>
    </row>
    <row r="104" spans="1:6" ht="13.5">
      <c r="A104" s="2855">
        <v>30</v>
      </c>
      <c r="B104" s="3511"/>
      <c r="C104" s="2829" t="s">
        <v>2709</v>
      </c>
      <c r="D104" s="2829" t="s">
        <v>2710</v>
      </c>
      <c r="E104" s="2855">
        <v>0.1</v>
      </c>
      <c r="F104" s="2855">
        <v>15</v>
      </c>
    </row>
    <row r="105" spans="1:6" ht="24">
      <c r="A105" s="2855">
        <v>31</v>
      </c>
      <c r="B105" s="3511"/>
      <c r="C105" s="2829" t="s">
        <v>2711</v>
      </c>
      <c r="D105" s="2829" t="s">
        <v>2712</v>
      </c>
      <c r="E105" s="2855">
        <v>0.1</v>
      </c>
      <c r="F105" s="2855">
        <v>15</v>
      </c>
    </row>
    <row r="106" spans="1:6" ht="24">
      <c r="A106" s="2855">
        <v>32</v>
      </c>
      <c r="B106" s="3511"/>
      <c r="C106" s="2829" t="s">
        <v>2713</v>
      </c>
      <c r="D106" s="2829" t="s">
        <v>2714</v>
      </c>
      <c r="E106" s="2855">
        <v>0.1</v>
      </c>
      <c r="F106" s="2855">
        <v>15</v>
      </c>
    </row>
    <row r="107" spans="1:6" ht="24">
      <c r="A107" s="2855">
        <v>33</v>
      </c>
      <c r="B107" s="3511"/>
      <c r="C107" s="2829" t="s">
        <v>2715</v>
      </c>
      <c r="D107" s="2829" t="s">
        <v>2716</v>
      </c>
      <c r="E107" s="2855">
        <v>0.1</v>
      </c>
      <c r="F107" s="2855">
        <v>15</v>
      </c>
    </row>
    <row r="108" spans="1:6" ht="24">
      <c r="A108" s="2855">
        <v>34</v>
      </c>
      <c r="B108" s="3517"/>
      <c r="C108" s="2829" t="s">
        <v>2717</v>
      </c>
      <c r="D108" s="2829" t="s">
        <v>2718</v>
      </c>
      <c r="E108" s="2855">
        <v>0.1</v>
      </c>
      <c r="F108" s="2855">
        <v>15</v>
      </c>
    </row>
    <row r="109" spans="1:6" ht="24">
      <c r="A109" s="2855">
        <v>35</v>
      </c>
      <c r="B109" s="3512" t="s">
        <v>2719</v>
      </c>
      <c r="C109" s="2855" t="s">
        <v>2720</v>
      </c>
      <c r="D109" s="2829" t="s">
        <v>2721</v>
      </c>
      <c r="E109" s="2855">
        <v>0.15</v>
      </c>
      <c r="F109" s="2855">
        <v>20</v>
      </c>
    </row>
    <row r="110" spans="1:6" ht="13.5">
      <c r="A110" s="2855">
        <v>36</v>
      </c>
      <c r="B110" s="3511"/>
      <c r="C110" s="2855" t="s">
        <v>2722</v>
      </c>
      <c r="D110" s="2829" t="s">
        <v>2723</v>
      </c>
      <c r="E110" s="2855">
        <v>0.15</v>
      </c>
      <c r="F110" s="2855">
        <v>20</v>
      </c>
    </row>
    <row r="111" spans="1:6" ht="13.5">
      <c r="A111" s="2855">
        <v>37</v>
      </c>
      <c r="B111" s="3511"/>
      <c r="C111" s="2855" t="s">
        <v>2724</v>
      </c>
      <c r="D111" s="2829" t="s">
        <v>2725</v>
      </c>
      <c r="E111" s="2855">
        <v>0.15</v>
      </c>
      <c r="F111" s="2855">
        <v>20</v>
      </c>
    </row>
    <row r="112" spans="1:6" ht="13.5">
      <c r="A112" s="2855">
        <v>38</v>
      </c>
      <c r="B112" s="3511"/>
      <c r="C112" s="2855" t="s">
        <v>2726</v>
      </c>
      <c r="D112" s="2829" t="s">
        <v>2727</v>
      </c>
      <c r="E112" s="2855">
        <v>0.1</v>
      </c>
      <c r="F112" s="2855">
        <v>15</v>
      </c>
    </row>
    <row r="113" spans="1:6" ht="24">
      <c r="A113" s="2855">
        <v>39</v>
      </c>
      <c r="B113" s="3511"/>
      <c r="C113" s="2855" t="s">
        <v>2728</v>
      </c>
      <c r="D113" s="2829" t="s">
        <v>2729</v>
      </c>
      <c r="E113" s="2855">
        <v>0.1</v>
      </c>
      <c r="F113" s="2855">
        <v>15</v>
      </c>
    </row>
    <row r="114" spans="1:6" ht="24">
      <c r="A114" s="2855">
        <v>40</v>
      </c>
      <c r="B114" s="3517"/>
      <c r="C114" s="2855" t="s">
        <v>2730</v>
      </c>
      <c r="D114" s="2829" t="s">
        <v>2731</v>
      </c>
      <c r="E114" s="2855">
        <v>0.1</v>
      </c>
      <c r="F114" s="2855">
        <v>15</v>
      </c>
    </row>
    <row r="115" spans="1:6" ht="13.5">
      <c r="A115" s="2855">
        <v>41</v>
      </c>
      <c r="B115" s="3505" t="s">
        <v>2732</v>
      </c>
      <c r="C115" s="2855" t="s">
        <v>2733</v>
      </c>
      <c r="D115" s="2829" t="s">
        <v>2734</v>
      </c>
      <c r="E115" s="2855">
        <v>0.1</v>
      </c>
      <c r="F115" s="2855">
        <v>15</v>
      </c>
    </row>
    <row r="116" spans="1:6" ht="13.5">
      <c r="A116" s="2855">
        <v>42</v>
      </c>
      <c r="B116" s="3505"/>
      <c r="C116" s="2855" t="s">
        <v>2735</v>
      </c>
      <c r="D116" s="2829" t="s">
        <v>2736</v>
      </c>
      <c r="E116" s="2855">
        <v>0.1</v>
      </c>
      <c r="F116" s="2855">
        <v>15</v>
      </c>
    </row>
    <row r="117" spans="1:6" ht="24">
      <c r="A117" s="2855">
        <v>43</v>
      </c>
      <c r="B117" s="3505"/>
      <c r="C117" s="2855" t="s">
        <v>2737</v>
      </c>
      <c r="D117" s="2829" t="s">
        <v>2738</v>
      </c>
      <c r="E117" s="2855">
        <v>0.1</v>
      </c>
      <c r="F117" s="2855">
        <v>15</v>
      </c>
    </row>
    <row r="118" spans="1:6" ht="13.5">
      <c r="A118" s="2855">
        <v>44</v>
      </c>
      <c r="B118" s="3512" t="s">
        <v>2739</v>
      </c>
      <c r="C118" s="2855" t="s">
        <v>2740</v>
      </c>
      <c r="D118" s="2829" t="s">
        <v>2741</v>
      </c>
      <c r="E118" s="2855">
        <v>0.1</v>
      </c>
      <c r="F118" s="2855">
        <v>15</v>
      </c>
    </row>
    <row r="119" spans="1:6" ht="24">
      <c r="A119" s="2855">
        <v>45</v>
      </c>
      <c r="B119" s="3517"/>
      <c r="C119" s="2829" t="s">
        <v>2742</v>
      </c>
      <c r="D119" s="2829" t="s">
        <v>2743</v>
      </c>
      <c r="E119" s="2855">
        <v>0.1</v>
      </c>
      <c r="F119" s="2855">
        <v>15</v>
      </c>
    </row>
    <row r="120" spans="1:6" ht="24">
      <c r="A120" s="2855">
        <v>46</v>
      </c>
      <c r="B120" s="3512" t="s">
        <v>2744</v>
      </c>
      <c r="C120" s="2855" t="s">
        <v>2745</v>
      </c>
      <c r="D120" s="2829" t="s">
        <v>2746</v>
      </c>
      <c r="E120" s="2855">
        <v>0.1</v>
      </c>
      <c r="F120" s="2855">
        <v>15</v>
      </c>
    </row>
    <row r="121" spans="1:6" ht="24">
      <c r="A121" s="2855">
        <v>47</v>
      </c>
      <c r="B121" s="3517"/>
      <c r="C121" s="2855" t="s">
        <v>2747</v>
      </c>
      <c r="D121" s="2829" t="s">
        <v>2748</v>
      </c>
      <c r="E121" s="2855">
        <v>0.1</v>
      </c>
      <c r="F121" s="2855">
        <v>15</v>
      </c>
    </row>
    <row r="122" spans="1:6" ht="13.5">
      <c r="A122" s="2855">
        <v>48</v>
      </c>
      <c r="B122" s="3512" t="s">
        <v>2749</v>
      </c>
      <c r="C122" s="2855" t="s">
        <v>2750</v>
      </c>
      <c r="D122" s="2829" t="s">
        <v>2751</v>
      </c>
      <c r="E122" s="2855">
        <v>0.1</v>
      </c>
      <c r="F122" s="2855">
        <v>15</v>
      </c>
    </row>
    <row r="123" spans="1:6" ht="13.5">
      <c r="A123" s="2855">
        <v>49</v>
      </c>
      <c r="B123" s="3517"/>
      <c r="C123" s="2855" t="s">
        <v>2752</v>
      </c>
      <c r="D123" s="2829" t="s">
        <v>2753</v>
      </c>
      <c r="E123" s="2855">
        <v>0.1</v>
      </c>
      <c r="F123" s="2855">
        <v>15</v>
      </c>
    </row>
    <row r="124" spans="1:6" ht="24">
      <c r="A124" s="2855">
        <v>50</v>
      </c>
      <c r="B124" s="3505" t="s">
        <v>2754</v>
      </c>
      <c r="C124" s="2855" t="s">
        <v>2755</v>
      </c>
      <c r="D124" s="2829" t="s">
        <v>2756</v>
      </c>
      <c r="E124" s="2855">
        <v>0.1</v>
      </c>
      <c r="F124" s="2855">
        <v>15</v>
      </c>
    </row>
    <row r="125" spans="1:6" ht="24">
      <c r="A125" s="2855">
        <v>51</v>
      </c>
      <c r="B125" s="3505"/>
      <c r="C125" s="2855" t="s">
        <v>2757</v>
      </c>
      <c r="D125" s="2829" t="s">
        <v>2758</v>
      </c>
      <c r="E125" s="2855">
        <v>0.1</v>
      </c>
      <c r="F125" s="2855">
        <v>15</v>
      </c>
    </row>
    <row r="126" spans="1:6" ht="24">
      <c r="A126" s="2855">
        <v>52</v>
      </c>
      <c r="B126" s="3505" t="s">
        <v>2759</v>
      </c>
      <c r="C126" s="2855" t="s">
        <v>2760</v>
      </c>
      <c r="D126" s="2829" t="s">
        <v>2761</v>
      </c>
      <c r="E126" s="2855">
        <v>0.1</v>
      </c>
      <c r="F126" s="2855">
        <v>15</v>
      </c>
    </row>
    <row r="127" spans="1:6" ht="24">
      <c r="A127" s="2855">
        <v>53</v>
      </c>
      <c r="B127" s="3505"/>
      <c r="C127" s="2855" t="s">
        <v>2762</v>
      </c>
      <c r="D127" s="2829" t="s">
        <v>2763</v>
      </c>
      <c r="E127" s="2855">
        <v>0.1</v>
      </c>
      <c r="F127" s="2855">
        <v>15</v>
      </c>
    </row>
    <row r="128" spans="1:6" ht="13.5">
      <c r="A128" s="2855">
        <v>54</v>
      </c>
      <c r="B128" s="2855" t="s">
        <v>2764</v>
      </c>
      <c r="C128" s="2855" t="s">
        <v>2765</v>
      </c>
      <c r="D128" s="2829" t="s">
        <v>2766</v>
      </c>
      <c r="E128" s="2855">
        <v>0.1</v>
      </c>
      <c r="F128" s="2855">
        <v>15</v>
      </c>
    </row>
    <row r="129" spans="1:6" ht="13.5">
      <c r="A129" s="2855">
        <v>55</v>
      </c>
      <c r="B129" s="3505" t="s">
        <v>2767</v>
      </c>
      <c r="C129" s="2855" t="s">
        <v>2768</v>
      </c>
      <c r="D129" s="2829" t="s">
        <v>2769</v>
      </c>
      <c r="E129" s="2855">
        <v>0.1</v>
      </c>
      <c r="F129" s="2855">
        <v>15</v>
      </c>
    </row>
    <row r="130" spans="1:6" ht="13.5">
      <c r="A130" s="2855">
        <v>56</v>
      </c>
      <c r="B130" s="3505"/>
      <c r="C130" s="2855" t="s">
        <v>2770</v>
      </c>
      <c r="D130" s="2829" t="s">
        <v>2771</v>
      </c>
      <c r="E130" s="2855">
        <v>0.1</v>
      </c>
      <c r="F130" s="2855">
        <v>15</v>
      </c>
    </row>
    <row r="131" spans="1:6" ht="24">
      <c r="A131" s="2855">
        <v>57</v>
      </c>
      <c r="B131" s="3505"/>
      <c r="C131" s="2855" t="s">
        <v>2772</v>
      </c>
      <c r="D131" s="2829" t="s">
        <v>2773</v>
      </c>
      <c r="E131" s="2855">
        <v>0.1</v>
      </c>
      <c r="F131" s="2855">
        <v>15</v>
      </c>
    </row>
    <row r="132" spans="1:6" ht="24">
      <c r="A132" s="2855">
        <v>58</v>
      </c>
      <c r="B132" s="3505" t="s">
        <v>2774</v>
      </c>
      <c r="C132" s="2855" t="s">
        <v>2775</v>
      </c>
      <c r="D132" s="2829" t="s">
        <v>2776</v>
      </c>
      <c r="E132" s="2855">
        <v>0.1</v>
      </c>
      <c r="F132" s="2855">
        <v>15</v>
      </c>
    </row>
    <row r="133" spans="1:6" ht="13.5">
      <c r="A133" s="2855">
        <v>59</v>
      </c>
      <c r="B133" s="3505"/>
      <c r="C133" s="2855" t="s">
        <v>2777</v>
      </c>
      <c r="D133" s="2829" t="s">
        <v>2778</v>
      </c>
      <c r="E133" s="2855">
        <v>0.1</v>
      </c>
      <c r="F133" s="2855">
        <v>15</v>
      </c>
    </row>
    <row r="134" spans="1:6" ht="13.5">
      <c r="A134" s="2855">
        <v>60</v>
      </c>
      <c r="B134" s="3512" t="s">
        <v>2779</v>
      </c>
      <c r="C134" s="2855" t="s">
        <v>2780</v>
      </c>
      <c r="D134" s="2829" t="s">
        <v>2781</v>
      </c>
      <c r="E134" s="2855">
        <v>0.1</v>
      </c>
      <c r="F134" s="2855">
        <v>15</v>
      </c>
    </row>
    <row r="135" spans="1:6" ht="13.5">
      <c r="A135" s="2855">
        <v>61</v>
      </c>
      <c r="B135" s="3517"/>
      <c r="C135" s="2855" t="s">
        <v>2782</v>
      </c>
      <c r="D135" s="2829" t="s">
        <v>2783</v>
      </c>
      <c r="E135" s="2855">
        <v>0.1</v>
      </c>
      <c r="F135" s="2855">
        <v>15</v>
      </c>
    </row>
    <row r="136" spans="1:6" ht="24">
      <c r="A136" s="2855">
        <v>62</v>
      </c>
      <c r="B136" s="2855" t="s">
        <v>2784</v>
      </c>
      <c r="C136" s="2855" t="s">
        <v>2785</v>
      </c>
      <c r="D136" s="2829" t="s">
        <v>2786</v>
      </c>
      <c r="E136" s="2855">
        <v>0.1</v>
      </c>
      <c r="F136" s="2855">
        <v>15</v>
      </c>
    </row>
    <row r="137" spans="1:6" ht="13.5">
      <c r="A137" s="2855">
        <v>63</v>
      </c>
      <c r="B137" s="3505" t="s">
        <v>2787</v>
      </c>
      <c r="C137" s="2855" t="s">
        <v>2788</v>
      </c>
      <c r="D137" s="2829" t="s">
        <v>2789</v>
      </c>
      <c r="E137" s="2855">
        <v>0.1</v>
      </c>
      <c r="F137" s="2855">
        <v>15</v>
      </c>
    </row>
    <row r="138" spans="1:6" ht="13.5">
      <c r="A138" s="2855">
        <v>64</v>
      </c>
      <c r="B138" s="3505"/>
      <c r="C138" s="2855" t="s">
        <v>2790</v>
      </c>
      <c r="D138" s="2829" t="s">
        <v>2791</v>
      </c>
      <c r="E138" s="2855">
        <v>0.1</v>
      </c>
      <c r="F138" s="2855">
        <v>15</v>
      </c>
    </row>
    <row r="139" spans="1:6" ht="13.5">
      <c r="A139" s="2855">
        <v>65</v>
      </c>
      <c r="B139" s="2855" t="s">
        <v>2792</v>
      </c>
      <c r="C139" s="2855" t="s">
        <v>2793</v>
      </c>
      <c r="D139" s="2829" t="s">
        <v>2794</v>
      </c>
      <c r="E139" s="2855">
        <v>0.1</v>
      </c>
      <c r="F139" s="2855">
        <v>15</v>
      </c>
    </row>
    <row r="140" spans="1:6" ht="13.5">
      <c r="A140" s="2855"/>
      <c r="B140" s="2855"/>
      <c r="C140" s="2855"/>
      <c r="D140" s="2855"/>
      <c r="E140" s="2855" t="s">
        <v>2795</v>
      </c>
      <c r="F140" s="2855"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估价结果一览表（市场价值不需“结果表-1”）</v>
      </c>
      <c r="B3" s="3201"/>
      <c r="C3" s="3201"/>
      <c r="D3" s="3201"/>
      <c r="E3" s="3201"/>
    </row>
    <row r="4" spans="1:5" ht="19.5" thickBot="1">
      <c r="A4" s="1391"/>
      <c r="B4" s="3199" t="s">
        <v>917</v>
      </c>
      <c r="C4" s="3199"/>
      <c r="D4" s="3199"/>
      <c r="E4" s="1391"/>
    </row>
    <row r="5" spans="1:5" ht="16.5" thickTop="1">
      <c r="B5" s="3197" t="s">
        <v>909</v>
      </c>
      <c r="C5" s="1392" t="s">
        <v>910</v>
      </c>
      <c r="D5" s="797" t="e">
        <f ca="1">结果表!H101</f>
        <v>#REF!</v>
      </c>
    </row>
    <row r="6" spans="1:5" ht="15.75">
      <c r="B6" s="3197"/>
      <c r="C6" s="1392" t="s">
        <v>911</v>
      </c>
      <c r="D6" s="797" t="e">
        <f ca="1">NUMBERSTRING(INT(D5*10000),2)&amp;"元整"</f>
        <v>#REF!</v>
      </c>
    </row>
    <row r="7" spans="1:5" ht="15.75">
      <c r="B7" s="3202"/>
      <c r="C7" s="1393" t="s">
        <v>912</v>
      </c>
      <c r="D7" s="798" t="e">
        <f ca="1">结果表!H102</f>
        <v>#REF!</v>
      </c>
    </row>
    <row r="8" spans="1:5" ht="15.75">
      <c r="B8" s="3203" t="str">
        <f>结果表!E103</f>
        <v>2.估价师知悉的法定优先受偿款</v>
      </c>
      <c r="C8" s="1394" t="s">
        <v>913</v>
      </c>
      <c r="D8" s="798">
        <f>结果表!H103</f>
        <v>0</v>
      </c>
    </row>
    <row r="9" spans="1:5" ht="15.75">
      <c r="B9" s="320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6" t="str">
        <f>结果表!E107</f>
        <v>3.房地产抵押价值</v>
      </c>
      <c r="C13" s="1397" t="s">
        <v>910</v>
      </c>
      <c r="D13" s="800" t="e">
        <f ca="1">结果表!H107</f>
        <v>#REF!</v>
      </c>
    </row>
    <row r="14" spans="1:5" ht="15.75">
      <c r="B14" s="3197"/>
      <c r="C14" s="1392" t="s">
        <v>911</v>
      </c>
      <c r="D14" s="797" t="e">
        <f ca="1">NUMBERSTRING(INT(D13*10000),2)&amp;"元整"</f>
        <v>#REF!</v>
      </c>
    </row>
    <row r="15" spans="1:5" ht="15">
      <c r="B15" s="3202"/>
      <c r="C15" s="1393" t="s">
        <v>921</v>
      </c>
      <c r="D15" s="806" t="e">
        <f ca="1">结果表!H108</f>
        <v>#REF!</v>
      </c>
    </row>
    <row r="16" spans="1:5" ht="15">
      <c r="B16" s="3203" t="str">
        <f>结果表!E109</f>
        <v>——</v>
      </c>
      <c r="C16" s="1397" t="s">
        <v>922</v>
      </c>
      <c r="D16" s="1398" t="str">
        <f>结果表!H109</f>
        <v>——</v>
      </c>
    </row>
    <row r="17" spans="1:5" ht="15.75">
      <c r="B17" s="3204"/>
      <c r="C17" s="1392" t="s">
        <v>923</v>
      </c>
      <c r="D17" s="797" t="e">
        <f>NUMBERSTRING(INT(D16*10000),2)&amp;"元整"</f>
        <v>#VALUE!</v>
      </c>
    </row>
    <row r="18" spans="1:5" ht="15">
      <c r="B18" s="3205"/>
      <c r="C18" s="1393" t="s">
        <v>912</v>
      </c>
      <c r="D18" s="806" t="str">
        <f>结果表!H110</f>
        <v>——</v>
      </c>
    </row>
    <row r="19" spans="1:5" ht="15.75">
      <c r="B19" s="3196" t="str">
        <f>结果表!E111</f>
        <v>——</v>
      </c>
      <c r="C19" s="1397" t="s">
        <v>910</v>
      </c>
      <c r="D19" s="798" t="str">
        <f>结果表!H111</f>
        <v>——</v>
      </c>
    </row>
    <row r="20" spans="1:5" ht="15.75">
      <c r="B20" s="3197"/>
      <c r="C20" s="1392" t="s">
        <v>923</v>
      </c>
      <c r="D20" s="797" t="e">
        <f>NUMBERSTRING(INT(D19*10000),2)&amp;"元整"</f>
        <v>#VALUE!</v>
      </c>
    </row>
    <row r="21" spans="1:5" ht="15.75" thickBot="1">
      <c r="B21" s="319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1.2158</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1.1565000000000001</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30812</v>
      </c>
      <c r="C2" s="2" t="s">
        <v>106</v>
      </c>
      <c r="D2" s="191"/>
      <c r="E2" s="191"/>
      <c r="F2" s="191"/>
      <c r="G2" s="191"/>
    </row>
    <row r="3" spans="1:7" s="192" customFormat="1" ht="18" customHeight="1" thickBot="1">
      <c r="A3" s="195" t="s">
        <v>58</v>
      </c>
      <c r="B3" s="196">
        <f ca="1">ROUND(B2*10000/'数据-汇总表'!E3,0)</f>
        <v>746487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7</v>
      </c>
      <c r="D9" s="795">
        <f>'数据-汇总表'!E5</f>
        <v>412.76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412.76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6247</v>
      </c>
      <c r="D27" s="227">
        <f>C29</f>
        <v>8.9999999999999993E-3</v>
      </c>
      <c r="E27" s="228" t="s">
        <v>99</v>
      </c>
      <c r="F27" s="238">
        <f>'数据-取费表'!Q16</f>
        <v>0.3</v>
      </c>
      <c r="G27" s="239" t="s">
        <v>431</v>
      </c>
    </row>
    <row r="28" spans="1:7" s="206" customFormat="1" ht="13.5" customHeight="1">
      <c r="A28" s="734" t="s">
        <v>349</v>
      </c>
      <c r="B28" s="240" t="s">
        <v>424</v>
      </c>
      <c r="C28" s="241">
        <f>ROUND((C5+C19+C20)*F27*'数据-取费表'!B21/'数据-取费表'!B20,0)</f>
        <v>6247</v>
      </c>
      <c r="D28" s="227"/>
      <c r="E28" s="228"/>
      <c r="F28" s="238"/>
      <c r="G28" s="239"/>
    </row>
    <row r="29" spans="1:7" s="206" customFormat="1" ht="13.5" customHeight="1">
      <c r="A29" s="734" t="s">
        <v>347</v>
      </c>
      <c r="B29" s="240" t="s">
        <v>425</v>
      </c>
      <c r="C29" s="230">
        <f>ROUND(C21*F27*'数据-取费表'!B21/'数据-取费表'!B20,4)</f>
        <v>8.9999999999999993E-3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30526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206</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0.03</v>
      </c>
      <c r="G36" s="252" t="s">
        <v>35</v>
      </c>
    </row>
    <row r="37" spans="1:7" s="250" customFormat="1" ht="13.5" customHeight="1">
      <c r="A37" s="734" t="s">
        <v>353</v>
      </c>
      <c r="B37" s="207" t="s">
        <v>91</v>
      </c>
      <c r="C37" s="241">
        <f>ROUND(E37*D37*F34/10000,0)</f>
        <v>8</v>
      </c>
      <c r="D37" s="209">
        <f>'数据-汇总表'!E3</f>
        <v>412.76</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377" t="s">
        <v>94</v>
      </c>
    </row>
    <row r="43" spans="1:7" ht="13.5" customHeight="1">
      <c r="A43" s="734" t="s">
        <v>347</v>
      </c>
      <c r="B43" s="207" t="s">
        <v>426</v>
      </c>
      <c r="C43" s="230">
        <f ca="1">ROUND(IF('数据-取费表'!B22&lt;=1,C39*F22*'数据-取费表'!B21/2,C39*(POWER((1+F22),'数据-取费表'!B21/2)-1)),0)</f>
        <v>0</v>
      </c>
      <c r="D43" s="230"/>
      <c r="E43" s="230"/>
      <c r="F43" s="231"/>
      <c r="G43" s="3378"/>
    </row>
    <row r="44" spans="1:7" ht="13.5" customHeight="1">
      <c r="A44" s="734" t="s">
        <v>348</v>
      </c>
      <c r="B44" s="207" t="s">
        <v>428</v>
      </c>
      <c r="C44" s="230">
        <f ca="1">ROUND(IF('数据-取费表'!B22&lt;=1,C40*F22*'数据-取费表'!B21/2,C40*(POWER((1+F22),'数据-取费表'!B21/2)-1)),4)</f>
        <v>5.0000000000000001E-4</v>
      </c>
      <c r="D44" s="230"/>
      <c r="E44" s="230"/>
      <c r="F44" s="231"/>
      <c r="G44" s="3379"/>
    </row>
    <row r="45" spans="1:7" s="206" customFormat="1" ht="13.5" customHeight="1">
      <c r="A45" s="731" t="s">
        <v>341</v>
      </c>
      <c r="B45" s="236" t="s">
        <v>85</v>
      </c>
      <c r="C45" s="237">
        <f>C46</f>
        <v>70</v>
      </c>
      <c r="D45" s="227">
        <f>C47</f>
        <v>8.9999999999999993E-3</v>
      </c>
      <c r="E45" s="228" t="s">
        <v>102</v>
      </c>
      <c r="F45" s="238"/>
      <c r="G45" s="239" t="s">
        <v>434</v>
      </c>
    </row>
    <row r="46" spans="1:7" s="206" customFormat="1" ht="13.5" customHeight="1">
      <c r="A46" s="734" t="s">
        <v>349</v>
      </c>
      <c r="B46" s="240" t="s">
        <v>427</v>
      </c>
      <c r="C46" s="241">
        <f>ROUND((C33+C39)*F27,0)</f>
        <v>70</v>
      </c>
      <c r="D46" s="255"/>
      <c r="E46" s="228"/>
      <c r="F46" s="238"/>
      <c r="G46" s="239"/>
    </row>
    <row r="47" spans="1:7" s="206" customFormat="1" ht="13.5" customHeight="1">
      <c r="A47" s="734" t="s">
        <v>347</v>
      </c>
      <c r="B47" s="240" t="s">
        <v>429</v>
      </c>
      <c r="C47" s="230">
        <f>ROUND(C40*F27,4)</f>
        <v>8.9999999999999993E-3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336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286</v>
      </c>
      <c r="D51" s="224"/>
      <c r="E51" s="224"/>
      <c r="F51" s="256"/>
      <c r="G51" s="226" t="s">
        <v>37</v>
      </c>
    </row>
    <row r="52" spans="1:7" s="200" customFormat="1" ht="16.5" thickBot="1">
      <c r="A52" s="257" t="s">
        <v>38</v>
      </c>
      <c r="B52" s="258"/>
      <c r="C52" s="259">
        <f ca="1">C31+C51</f>
        <v>30812</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8" t="s">
        <v>3179</v>
      </c>
      <c r="B1" s="3518"/>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19" t="s">
        <v>3230</v>
      </c>
      <c r="B1" s="3519"/>
      <c r="C1" s="3519"/>
      <c r="D1" s="3519"/>
      <c r="E1" s="3519"/>
      <c r="F1" s="3520"/>
    </row>
    <row r="2" spans="1:6" ht="14.25">
      <c r="A2" s="3000" t="s">
        <v>3231</v>
      </c>
    </row>
    <row r="3" spans="1:6" ht="14.25">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5">
        <f>基准地价修正!G23</f>
        <v>45972</v>
      </c>
      <c r="B1" s="2927" t="s">
        <v>3374</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8" customFormat="1" ht="14.25" thickBot="1">
      <c r="B2" s="2879"/>
      <c r="C2" s="2880"/>
      <c r="D2" s="2009" t="s">
        <v>2808</v>
      </c>
      <c r="E2" s="2010" t="s">
        <v>2809</v>
      </c>
      <c r="F2" s="2010" t="s">
        <v>2810</v>
      </c>
      <c r="G2" s="2010" t="s">
        <v>2811</v>
      </c>
      <c r="H2" s="2010" t="s">
        <v>2812</v>
      </c>
      <c r="I2" s="2010" t="s">
        <v>2629</v>
      </c>
      <c r="J2" s="2881"/>
      <c r="K2" s="2009" t="s">
        <v>2808</v>
      </c>
      <c r="L2" s="2010" t="s">
        <v>2809</v>
      </c>
      <c r="M2" s="2010" t="s">
        <v>2810</v>
      </c>
      <c r="N2" s="2010" t="s">
        <v>2811</v>
      </c>
      <c r="O2" s="2010" t="s">
        <v>2813</v>
      </c>
      <c r="P2" s="2010" t="s">
        <v>2629</v>
      </c>
      <c r="Q2" s="2881"/>
      <c r="R2" s="2009" t="s">
        <v>2808</v>
      </c>
      <c r="S2" s="2010" t="s">
        <v>2809</v>
      </c>
      <c r="T2" s="2010" t="s">
        <v>2810</v>
      </c>
      <c r="U2" s="2010" t="s">
        <v>2814</v>
      </c>
      <c r="V2" s="2010" t="s">
        <v>2815</v>
      </c>
      <c r="W2" s="2010" t="s">
        <v>2629</v>
      </c>
      <c r="X2" s="2881"/>
      <c r="Y2" s="2009" t="s">
        <v>2808</v>
      </c>
      <c r="Z2" s="2010" t="s">
        <v>2809</v>
      </c>
      <c r="AA2" s="2010" t="s">
        <v>2810</v>
      </c>
      <c r="AB2" s="2010" t="s">
        <v>2816</v>
      </c>
      <c r="AC2" s="2010" t="s">
        <v>2815</v>
      </c>
      <c r="AD2" s="2010" t="s">
        <v>2629</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2817</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3400</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3" customFormat="1" ht="12.75">
      <c r="A6" s="2038" t="s">
        <v>3399</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3398</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3" customFormat="1" ht="12.75">
      <c r="A9" s="2038" t="s">
        <v>3405</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3" customFormat="1" ht="12.75">
      <c r="A10" s="2038" t="s">
        <v>3378</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3" customFormat="1" ht="12.75">
      <c r="A11" s="2903" t="s">
        <v>3372</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3" customFormat="1" ht="12.75">
      <c r="A12" s="2903" t="s">
        <v>3371</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3" customFormat="1" ht="12.75">
      <c r="A13" s="2903" t="s">
        <v>3367</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3" customFormat="1" ht="12.75">
      <c r="A14" s="2903" t="s">
        <v>3366</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3" customFormat="1" ht="12.75">
      <c r="A15" s="2903" t="s">
        <v>3364</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3" customFormat="1" ht="12.75">
      <c r="A16" s="2903" t="s">
        <v>3363</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3" customFormat="1" ht="12.75">
      <c r="A17" s="2903" t="s">
        <v>3362</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3" customFormat="1" ht="12.75">
      <c r="A18" s="2903" t="s">
        <v>3360</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3" customFormat="1" ht="12.75">
      <c r="A19" s="2903" t="s">
        <v>3351</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3" customFormat="1" ht="12.75">
      <c r="A20" s="2903" t="s">
        <v>2818</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3" customFormat="1" ht="12.75">
      <c r="A21" s="2903" t="s">
        <v>2819</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3" customFormat="1" ht="12.75">
      <c r="A22" s="2903" t="s">
        <v>2820</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3" customFormat="1" ht="12.75">
      <c r="A23" s="2903" t="s">
        <v>2821</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3377</v>
      </c>
    </row>
    <row r="27" spans="1:44">
      <c r="I27" s="1405" t="s">
        <v>2823</v>
      </c>
    </row>
    <row r="29" spans="1:44" s="2007" customFormat="1" ht="12.75">
      <c r="B29" s="2927" t="s">
        <v>3375</v>
      </c>
      <c r="C29" s="2928"/>
      <c r="D29" s="2928"/>
      <c r="E29" s="2928"/>
      <c r="F29" s="2928"/>
      <c r="G29" s="2928"/>
      <c r="H29" s="2928"/>
      <c r="I29" s="2928"/>
      <c r="J29" s="2894"/>
      <c r="K29" s="2928" t="s">
        <v>2824</v>
      </c>
      <c r="L29" s="2928"/>
      <c r="M29" s="2928"/>
      <c r="N29" s="2928"/>
      <c r="O29" s="2928"/>
      <c r="P29" s="2928"/>
      <c r="Q29" s="2894"/>
      <c r="R29" s="3521" t="s">
        <v>2825</v>
      </c>
      <c r="S29" s="3522"/>
      <c r="T29" s="3522"/>
      <c r="U29" s="3522"/>
      <c r="V29" s="3522"/>
      <c r="W29" s="3522"/>
      <c r="X29" s="2894"/>
      <c r="Y29" s="3521" t="s">
        <v>2826</v>
      </c>
      <c r="Z29" s="3522"/>
      <c r="AA29" s="3522"/>
      <c r="AB29" s="3522"/>
      <c r="AC29" s="3522"/>
      <c r="AD29" s="3522"/>
    </row>
    <row r="30" spans="1:44" s="2008" customFormat="1" ht="14.25" thickBot="1">
      <c r="B30" s="2879"/>
      <c r="C30" s="2880"/>
      <c r="D30" s="2009" t="s">
        <v>2827</v>
      </c>
      <c r="E30" s="2010" t="s">
        <v>2828</v>
      </c>
      <c r="F30" s="2010" t="s">
        <v>2829</v>
      </c>
      <c r="G30" s="2010" t="s">
        <v>2830</v>
      </c>
      <c r="H30" s="2010"/>
      <c r="I30" s="2010" t="s">
        <v>2831</v>
      </c>
      <c r="J30" s="2881"/>
      <c r="K30" s="2009" t="s">
        <v>2827</v>
      </c>
      <c r="L30" s="2010" t="s">
        <v>2828</v>
      </c>
      <c r="M30" s="2010" t="s">
        <v>2829</v>
      </c>
      <c r="N30" s="2010" t="s">
        <v>2830</v>
      </c>
      <c r="O30" s="2010"/>
      <c r="P30" s="2010" t="s">
        <v>2831</v>
      </c>
      <c r="Q30" s="2881"/>
      <c r="R30" s="2009" t="s">
        <v>2827</v>
      </c>
      <c r="S30" s="2010" t="s">
        <v>2828</v>
      </c>
      <c r="T30" s="2010" t="s">
        <v>2829</v>
      </c>
      <c r="U30" s="2010" t="s">
        <v>2830</v>
      </c>
      <c r="V30" s="2010"/>
      <c r="W30" s="2010" t="s">
        <v>2831</v>
      </c>
      <c r="X30" s="2881"/>
      <c r="Y30" s="2009" t="s">
        <v>2827</v>
      </c>
      <c r="Z30" s="2010" t="s">
        <v>2828</v>
      </c>
      <c r="AA30" s="2010" t="s">
        <v>2829</v>
      </c>
      <c r="AB30" s="2010" t="s">
        <v>2830</v>
      </c>
      <c r="AC30" s="2010"/>
      <c r="AD30" s="2010" t="s">
        <v>2831</v>
      </c>
      <c r="AG30" t="s">
        <v>673</v>
      </c>
      <c r="AH30" t="s">
        <v>21</v>
      </c>
      <c r="AI30" t="s">
        <v>3402</v>
      </c>
      <c r="AJ30"/>
      <c r="AK30" t="s">
        <v>3403</v>
      </c>
      <c r="AN30" t="s">
        <v>673</v>
      </c>
      <c r="AO30" t="s">
        <v>21</v>
      </c>
      <c r="AP30" t="s">
        <v>3402</v>
      </c>
      <c r="AQ30"/>
      <c r="AR30" t="s">
        <v>3403</v>
      </c>
    </row>
    <row r="31" spans="1:44" s="2884" customFormat="1" ht="12.75">
      <c r="A31" s="2882" t="s">
        <v>2832</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3400</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3" customFormat="1" ht="12.75">
      <c r="A34" s="2038" t="s">
        <v>3399</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3407</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3404</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3" customFormat="1" ht="12.75">
      <c r="A37" s="2038" t="s">
        <v>3405</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3" customFormat="1" ht="12.75">
      <c r="A38" s="2038" t="s">
        <v>3369</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3" customFormat="1" ht="12.75">
      <c r="A39" s="2903" t="s">
        <v>3373</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3" customFormat="1" ht="12.75">
      <c r="A40" s="2903" t="s">
        <v>3370</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3" customFormat="1" ht="12.75">
      <c r="A41" s="2903" t="s">
        <v>3368</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3" customFormat="1" ht="12.75">
      <c r="A42" s="2903" t="s">
        <v>3366</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3" customFormat="1" ht="12.75">
      <c r="A43" s="2903" t="s">
        <v>3365</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3" customFormat="1" ht="12.75">
      <c r="A44" s="2903" t="s">
        <v>3363</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3" customFormat="1" ht="12.75">
      <c r="A45" s="2903" t="s">
        <v>3362</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3" customFormat="1" ht="12.75">
      <c r="A46" s="2903" t="s">
        <v>3361</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3" customFormat="1" ht="12.75">
      <c r="A47" s="2903" t="s">
        <v>3351</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3" customFormat="1" ht="12.75">
      <c r="A48" s="2903" t="s">
        <v>2833</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3.5000000000000001E-3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3" customFormat="1" ht="12.75">
      <c r="A49" s="2903" t="s">
        <v>2834</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3.3E-3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3" customFormat="1" ht="12.75">
      <c r="A50" s="2903" t="s">
        <v>2835</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4.1000000000000003E-3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3" customFormat="1" ht="12.75">
      <c r="A51" s="2903" t="s">
        <v>2836</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4.7000000000000002E-3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2434</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2311</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2310</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2309</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4">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4"/>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4"/>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1"/>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7">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4"/>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4"/>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1"/>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7">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4"/>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4"/>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5"/>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3">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4"/>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4"/>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5"/>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3">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4"/>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4"/>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5"/>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8">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9"/>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9"/>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0"/>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3">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4"/>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4"/>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5"/>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3">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4">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4">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5">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3">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4">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4">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5">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3">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4">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4">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5">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3">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4">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4">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5">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3">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4">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4">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5">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3">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4">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4">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5">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3">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4">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4">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5">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3">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4">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4">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5">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3">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4">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4">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5">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3">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4">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4">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5">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34" t="s">
        <v>2837</v>
      </c>
      <c r="B1" s="3534"/>
      <c r="C1" s="3534"/>
      <c r="D1" s="3534"/>
      <c r="E1" s="3534"/>
      <c r="F1" s="3534"/>
      <c r="G1" s="353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3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3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17" sqref="F17"/>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45972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估价结果一览表</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房地产市场价值</v>
      </c>
      <c r="I2" s="3207"/>
    </row>
    <row r="3" spans="1:9" ht="15">
      <c r="A3" s="3208"/>
      <c r="B3" s="3208"/>
      <c r="C3" s="3208"/>
      <c r="D3" s="801" t="s">
        <v>925</v>
      </c>
      <c r="E3" s="801" t="s">
        <v>931</v>
      </c>
      <c r="F3" s="801" t="s">
        <v>925</v>
      </c>
      <c r="G3" s="801" t="s">
        <v>926</v>
      </c>
      <c r="H3" s="801" t="s">
        <v>925</v>
      </c>
      <c r="I3" s="801" t="s">
        <v>926</v>
      </c>
    </row>
    <row r="4" spans="1:9" ht="15">
      <c r="A4" s="1403" t="str">
        <f>项目基本情况!S2</f>
        <v>北京市房地产</v>
      </c>
      <c r="B4" s="801">
        <f>项目基本情况!C17</f>
        <v>412.76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8" t="s">
        <v>927</v>
      </c>
      <c r="B5" s="3208"/>
      <c r="C5" s="3208"/>
      <c r="D5" s="3208" t="e">
        <f ca="1">结果表!D119</f>
        <v>#REF!</v>
      </c>
      <c r="E5" s="3208"/>
      <c r="F5" s="3208" t="e">
        <f ca="1">结果表!F119</f>
        <v>#REF!</v>
      </c>
      <c r="G5" s="3208"/>
      <c r="H5" s="3208" t="e">
        <f ca="1">结果表!H119</f>
        <v>#REF!</v>
      </c>
      <c r="I5" s="3208"/>
    </row>
    <row r="6" spans="1:9" ht="15.75">
      <c r="A6" s="3209" t="str">
        <f>结果表!A120</f>
        <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75">
      <c r="A8" s="3209" t="str">
        <f>结果表!A122</f>
        <v/>
      </c>
      <c r="B8" s="3209"/>
      <c r="C8" s="3209"/>
      <c r="D8" s="3209" t="e">
        <f ca="1">结果表!D122</f>
        <v>#REF!</v>
      </c>
      <c r="E8" s="3209"/>
      <c r="F8" s="3209"/>
      <c r="G8" s="3209"/>
      <c r="H8" s="3209"/>
      <c r="I8" s="3209"/>
    </row>
    <row r="9" spans="1:9" ht="15">
      <c r="A9" s="3208" t="s">
        <v>927</v>
      </c>
      <c r="B9" s="3208"/>
      <c r="C9" s="3208"/>
      <c r="D9" s="3208" t="e">
        <f ca="1">结果表!D123</f>
        <v>#REF!</v>
      </c>
      <c r="E9" s="3208"/>
      <c r="F9" s="3208"/>
      <c r="G9" s="3208"/>
      <c r="H9" s="3208"/>
      <c r="I9" s="3208"/>
    </row>
    <row r="10" spans="1:9" ht="15.75">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75">
      <c r="A12" s="3209" t="str">
        <f>结果表!A126</f>
        <v/>
      </c>
      <c r="B12" s="3209"/>
      <c r="C12" s="3209"/>
      <c r="D12" s="3209" t="str">
        <f>结果表!D126</f>
        <v>——</v>
      </c>
      <c r="E12" s="3209"/>
      <c r="F12" s="3209"/>
      <c r="G12" s="3209"/>
      <c r="H12" s="3209"/>
      <c r="I12" s="3209"/>
    </row>
    <row r="13" spans="1:9" ht="15.75" thickBot="1">
      <c r="A13" s="3213" t="s">
        <v>927</v>
      </c>
      <c r="B13" s="3213"/>
      <c r="C13" s="3213"/>
      <c r="D13" s="3213" t="e">
        <f>结果表!D127</f>
        <v>#VALUE!</v>
      </c>
      <c r="E13" s="3213"/>
      <c r="F13" s="3213"/>
      <c r="G13" s="3213"/>
      <c r="H13" s="3213"/>
      <c r="I13" s="3213"/>
    </row>
    <row r="14" spans="1:9" ht="15" thickTop="1">
      <c r="A14" s="3214" t="s">
        <v>932</v>
      </c>
      <c r="B14" s="3214"/>
      <c r="C14" s="3214"/>
      <c r="D14" s="3214"/>
      <c r="E14" s="3214"/>
      <c r="F14" s="3214"/>
      <c r="G14" s="3214"/>
      <c r="H14" s="3214"/>
      <c r="I14" s="321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5" t="s">
        <v>949</v>
      </c>
      <c r="B1" s="3215"/>
      <c r="C1" s="3215"/>
      <c r="D1" s="3215"/>
    </row>
    <row r="2" spans="1:4" ht="18">
      <c r="A2" s="3216" t="s">
        <v>933</v>
      </c>
      <c r="B2" s="3216"/>
      <c r="C2" s="3216"/>
      <c r="D2" s="321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6" t="s">
        <v>939</v>
      </c>
      <c r="B6" s="3216"/>
      <c r="C6" s="3216"/>
      <c r="D6" s="321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7"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9"/>
      <c r="C12" s="3219"/>
      <c r="D12" s="3219"/>
    </row>
    <row r="13" spans="1:4" ht="30" customHeight="1">
      <c r="A13" s="3218" t="str">
        <f>IF(项目基本情况!B8="抵押","3.抵押双方在办理抵押登记手续时，应使用本公司出具的正式《房地产评估报告》，特提醒报告使用者注意。","——")</f>
        <v>——</v>
      </c>
      <c r="B13" s="3219"/>
      <c r="C13" s="3219"/>
      <c r="D13" s="3219"/>
    </row>
    <row r="14" spans="1:4" ht="15.75" customHeight="1">
      <c r="A14" s="3218" t="str">
        <f>IF(项目基本情况!B8="抵押","4.本次评估估价师所知悉的法定优先受偿款情况说明如下：","——")</f>
        <v>——</v>
      </c>
      <c r="B14" s="3219"/>
      <c r="C14" s="3219"/>
      <c r="D14" s="3219"/>
    </row>
    <row r="15" spans="1:4" ht="42" customHeight="1">
      <c r="A15" s="3218" t="str">
        <f>IF(项目基本情况!B8="抵押","（1）"&amp;CONCATENATE(项目基本情况!L20,项目基本情况!L21,项目基本情况!L22),"——")</f>
        <v>——</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945</v>
      </c>
      <c r="B22" s="3223"/>
      <c r="C22" s="3223"/>
      <c r="D22" s="322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9" t="s">
        <v>956</v>
      </c>
      <c r="B15" s="3224" t="s">
        <v>109</v>
      </c>
      <c r="C15" s="3225"/>
    </row>
    <row r="16" spans="1:7" ht="13.5">
      <c r="A16" s="3230"/>
      <c r="B16" s="3224" t="s">
        <v>42</v>
      </c>
      <c r="C16" s="3225"/>
    </row>
    <row r="17" spans="1:3" ht="13.5">
      <c r="A17" s="3230"/>
      <c r="B17" s="3227" t="s">
        <v>957</v>
      </c>
      <c r="C17" s="1429" t="s">
        <v>956</v>
      </c>
    </row>
    <row r="18" spans="1:3" ht="13.5">
      <c r="A18" s="3230"/>
      <c r="B18" s="3227"/>
      <c r="C18" s="1429" t="s">
        <v>958</v>
      </c>
    </row>
    <row r="19" spans="1:3" ht="13.5">
      <c r="A19" s="3230"/>
      <c r="B19" s="3227"/>
      <c r="C19" s="1429" t="s">
        <v>959</v>
      </c>
    </row>
    <row r="20" spans="1:3" ht="13.5">
      <c r="A20" s="3231"/>
      <c r="B20" s="3226" t="s">
        <v>960</v>
      </c>
      <c r="C20" s="3225"/>
    </row>
    <row r="21" spans="1:3" ht="13.5">
      <c r="A21" s="1430" t="s">
        <v>961</v>
      </c>
      <c r="B21" s="1431"/>
      <c r="C21" s="1432"/>
    </row>
    <row r="22" spans="1:3" ht="13.5">
      <c r="A22" s="3228" t="s">
        <v>962</v>
      </c>
      <c r="B22" s="3226" t="s">
        <v>963</v>
      </c>
      <c r="C22" s="3225"/>
    </row>
    <row r="23" spans="1:3" ht="13.5">
      <c r="A23" s="3228"/>
      <c r="B23" s="3226" t="s">
        <v>964</v>
      </c>
      <c r="C23" s="3225"/>
    </row>
    <row r="24" spans="1:3" ht="13.5">
      <c r="A24" s="3228"/>
      <c r="B24" s="3226" t="s">
        <v>965</v>
      </c>
      <c r="C24" s="3225"/>
    </row>
    <row r="25" spans="1:3" ht="13.5">
      <c r="A25" s="3228"/>
      <c r="B25" s="3227" t="s">
        <v>966</v>
      </c>
      <c r="C25" s="1429" t="s">
        <v>967</v>
      </c>
    </row>
    <row r="26" spans="1:3" ht="13.5">
      <c r="A26" s="3228"/>
      <c r="B26" s="3227"/>
      <c r="C26" s="1429" t="s">
        <v>968</v>
      </c>
    </row>
    <row r="27" spans="1:3" ht="13.5">
      <c r="A27" s="3228"/>
      <c r="B27" s="3227"/>
      <c r="C27" s="1429" t="s">
        <v>969</v>
      </c>
    </row>
    <row r="28" spans="1:3" ht="13.5">
      <c r="A28" s="3228"/>
      <c r="B28" s="3227"/>
      <c r="C28" s="1429" t="s">
        <v>970</v>
      </c>
    </row>
    <row r="29" spans="1:3" ht="13.5">
      <c r="A29" s="3228"/>
      <c r="B29" s="3227"/>
      <c r="C29" s="1429" t="s">
        <v>971</v>
      </c>
    </row>
    <row r="30" spans="1:3" ht="13.5">
      <c r="A30" s="3228"/>
      <c r="B30" s="3227"/>
      <c r="C30" s="1429" t="s">
        <v>972</v>
      </c>
    </row>
    <row r="31" spans="1:3" ht="13.5">
      <c r="A31" s="3228"/>
      <c r="B31" s="3227"/>
      <c r="C31" s="1429" t="s">
        <v>973</v>
      </c>
    </row>
    <row r="32" spans="1:3" ht="13.5">
      <c r="A32" s="3228"/>
      <c r="B32" s="3227"/>
      <c r="C32" s="1429" t="s">
        <v>974</v>
      </c>
    </row>
    <row r="33" spans="1:3" ht="13.5">
      <c r="A33" s="3228"/>
      <c r="B33" s="322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46000</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2435</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58"/>
      <c r="E18" s="3234" t="s">
        <v>2162</v>
      </c>
      <c r="F18" s="3233"/>
      <c r="G18" s="323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2436</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比较法-住宅租金</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2025-12-09T06:31:05Z</dcterms:modified>
</cp:coreProperties>
</file>